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threadedComments/threadedComment5.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comments7.xml" ContentType="application/vnd.openxmlformats-officedocument.spreadsheetml.comments+xml"/>
  <Override PartName="/xl/threadedComments/threadedComment6.xml" ContentType="application/vnd.ms-excel.threaded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jrsppr-my.sharepoint.com/personal/mcruz_jrsp_pr_gov/Documents/"/>
    </mc:Choice>
  </mc:AlternateContent>
  <xr:revisionPtr revIDLastSave="0" documentId="8_{B4112FCF-6EF8-47DC-B830-82C6FDDF0D47}" xr6:coauthVersionLast="47" xr6:coauthVersionMax="47" xr10:uidLastSave="{00000000-0000-0000-0000-000000000000}"/>
  <bookViews>
    <workbookView xWindow="-120" yWindow="-120" windowWidth="29040" windowHeight="15720" firstSheet="23" activeTab="27" xr2:uid="{AA40240D-FFF3-4BE5-BC69-38AA54D0E879}"/>
    <workbookView xWindow="-120" yWindow="-120" windowWidth="29040" windowHeight="15720" firstSheet="23" activeTab="24" xr2:uid="{E71AB771-5FCB-4147-A71D-B410CFEBCE56}"/>
    <workbookView xWindow="-120" yWindow="-120" windowWidth="29040" windowHeight="15720" firstSheet="23" activeTab="25" xr2:uid="{B65B252B-D804-430E-B180-BE5E4232D80B}"/>
  </bookViews>
  <sheets>
    <sheet name="Cover" sheetId="85" state="hidden" r:id="rId1"/>
    <sheet name="TOC" sheetId="255" state="hidden" r:id="rId2"/>
    <sheet name="Index" sheetId="150" state="hidden" r:id="rId3"/>
    <sheet name="Schedule Details" sheetId="207" state="hidden" r:id="rId4"/>
    <sheet name="Schedules A &gt;&gt;&gt;" sheetId="151" state="hidden" r:id="rId5"/>
    <sheet name="A-1" sheetId="211" state="hidden" r:id="rId6"/>
    <sheet name="A-2" sheetId="219" state="hidden" r:id="rId7"/>
    <sheet name="Schedules B &gt;&gt;&gt;" sheetId="152" state="hidden" r:id="rId8"/>
    <sheet name="B-1 - OPTIMAL" sheetId="200" state="hidden" r:id="rId9"/>
    <sheet name="A216810396964DCDB399904ED81BA8E" sheetId="241" state="veryHidden" r:id="rId10"/>
    <sheet name="B-1 - CONSTRAINED" sheetId="243" state="hidden" r:id="rId11"/>
    <sheet name="BAD DEBT" sheetId="257" state="hidden" r:id="rId12"/>
    <sheet name="S" sheetId="252" state="veryHidden" r:id="rId13"/>
    <sheet name="B-2" sheetId="167" state="hidden" r:id="rId14"/>
    <sheet name="B-3" sheetId="214" state="hidden" r:id="rId15"/>
    <sheet name="B-4" sheetId="215" state="hidden" r:id="rId16"/>
    <sheet name="B-5" sheetId="246" state="hidden" r:id="rId17"/>
    <sheet name="B-6" sheetId="160" state="hidden" r:id="rId18"/>
    <sheet name="B-7" sheetId="161" state="hidden" r:id="rId19"/>
    <sheet name="Schedules C &gt;&gt;&gt;" sheetId="164" state="hidden" r:id="rId20"/>
    <sheet name="C-1" sheetId="202" state="hidden" r:id="rId21"/>
    <sheet name="C-2 - OPTIMAL" sheetId="156" state="hidden" r:id="rId22"/>
    <sheet name="C-2 - CONSTRAINED" sheetId="242" state="hidden" r:id="rId23"/>
    <sheet name="Information" sheetId="268" r:id="rId24"/>
    <sheet name="Sheet1" sheetId="269" r:id="rId25"/>
    <sheet name="C-2 Optimal" sheetId="258" r:id="rId26"/>
    <sheet name="C-2 Constrained" sheetId="259" r:id="rId27"/>
    <sheet name="FY26-FY28_PREPA Consolidated" sheetId="266" r:id="rId28"/>
    <sheet name="Genera - Updates" sheetId="271" r:id="rId29"/>
    <sheet name="LUMA’s Updates to RR" sheetId="270" r:id="rId30"/>
    <sheet name="C-3" sheetId="205" state="hidden" r:id="rId31"/>
    <sheet name="C-4" sheetId="209" state="hidden" r:id="rId32"/>
    <sheet name="C-5" sheetId="208" state="hidden" r:id="rId33"/>
    <sheet name="C-6" sheetId="171" state="hidden" r:id="rId34"/>
    <sheet name="C-7" sheetId="244" state="hidden" r:id="rId35"/>
    <sheet name="C-8" sheetId="222" state="hidden" r:id="rId36"/>
    <sheet name="C-8 Lighting" sheetId="173" state="hidden" r:id="rId37"/>
    <sheet name="C-9" sheetId="201" state="hidden" r:id="rId38"/>
    <sheet name="C-10" sheetId="175" state="hidden" r:id="rId39"/>
    <sheet name="C-11" sheetId="256" state="hidden" r:id="rId40"/>
    <sheet name="Schedule D &gt;&gt;&gt;" sheetId="176" state="hidden" r:id="rId41"/>
    <sheet name="D-1-Optimal" sheetId="210" state="hidden" r:id="rId42"/>
    <sheet name="D-2-Optimal" sheetId="180" state="hidden" r:id="rId43"/>
    <sheet name="D-3-Optimal" sheetId="181" state="hidden" r:id="rId44"/>
    <sheet name="D-4-Optimal" sheetId="196" state="hidden" r:id="rId45"/>
    <sheet name="D-1-Constrained" sheetId="227" state="hidden" r:id="rId46"/>
    <sheet name="D-2-Constrained" sheetId="228" state="hidden" r:id="rId47"/>
    <sheet name="D-3-Constrained" sheetId="229" state="hidden" r:id="rId48"/>
    <sheet name="D-4-Constrained" sheetId="230" state="hidden" r:id="rId49"/>
    <sheet name="Schedule E &gt;&gt;&gt;" sheetId="177" state="hidden" r:id="rId50"/>
    <sheet name="E-1" sheetId="221" state="hidden" r:id="rId51"/>
    <sheet name="E-2 FY2026" sheetId="184" state="hidden" r:id="rId52"/>
    <sheet name="E-2 FY2027" sheetId="248" state="hidden" r:id="rId53"/>
    <sheet name="E-2 FY2028" sheetId="249" state="hidden" r:id="rId54"/>
    <sheet name="E-2 Lighting FY2026" sheetId="234" state="hidden" r:id="rId55"/>
    <sheet name="E-2 Lighting FY2027" sheetId="250" state="hidden" r:id="rId56"/>
    <sheet name="E-2 Lighting FY2028" sheetId="251" state="hidden" r:id="rId57"/>
    <sheet name="E-2 Riders" sheetId="247" state="hidden" r:id="rId58"/>
    <sheet name="E-3" sheetId="253" state="hidden" r:id="rId59"/>
    <sheet name="E-4" sheetId="254" state="hidden" r:id="rId60"/>
    <sheet name="E-5" sheetId="187" state="hidden" r:id="rId61"/>
    <sheet name="Schedule F &gt;&gt;&gt;" sheetId="178" state="hidden" r:id="rId62"/>
    <sheet name="F-1" sheetId="238" state="hidden" r:id="rId63"/>
    <sheet name="F-2" sheetId="190" state="hidden" r:id="rId64"/>
    <sheet name="F-3" sheetId="237" state="hidden" r:id="rId65"/>
    <sheet name="F-3 (old)" sheetId="204" state="hidden" r:id="rId66"/>
    <sheet name="F-4" sheetId="192" state="hidden" r:id="rId67"/>
    <sheet name="F-5" sheetId="193" state="hidden" r:id="rId68"/>
    <sheet name="F-6" sheetId="194" state="hidden" r:id="rId69"/>
    <sheet name="F-7" sheetId="198" state="hidden" r:id="rId70"/>
    <sheet name="Schedule G" sheetId="235" state="hidden" r:id="rId71"/>
    <sheet name="Schedule H" sheetId="236" state="hidden" r:id="rId72"/>
    <sheet name="Schedule I" sheetId="226" state="hidden" r:id="rId73"/>
    <sheet name="Schedule J" sheetId="232" state="hidden" r:id="rId74"/>
    <sheet name="Reference Sheets&gt;" sheetId="223" state="hidden" r:id="rId75"/>
    <sheet name="Consumer Analysis(C8 Reference)" sheetId="213" state="hidden" r:id="rId76"/>
    <sheet name="Consumer Analysis Lighting" sheetId="220" state="hidden" r:id="rId77"/>
    <sheet name="A Outline" sheetId="199" state="hidden" r:id="rId78"/>
    <sheet name="Prev. References" sheetId="197" state="hidden" r:id="rId79"/>
    <sheet name="Filing Requirements-working" sheetId="43" state="hidden"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____12373990" localSheetId="10" hidden="1">#REF!</definedName>
    <definedName name="_____12373990" localSheetId="8" hidden="1">#REF!</definedName>
    <definedName name="_____12373990" localSheetId="37" hidden="1">#REF!</definedName>
    <definedName name="_____12373990" localSheetId="75" hidden="1">#REF!</definedName>
    <definedName name="_____12373990" localSheetId="65" hidden="1">#REF!</definedName>
    <definedName name="_____12373990" localSheetId="2" hidden="1">#REF!</definedName>
    <definedName name="_____12373990" localSheetId="78" hidden="1">#REF!</definedName>
    <definedName name="_____12373990" localSheetId="3" hidden="1">#REF!</definedName>
    <definedName name="_____12373990" hidden="1">#REF!</definedName>
    <definedName name="_____20316327" localSheetId="10" hidden="1">#REF!</definedName>
    <definedName name="_____20316327" localSheetId="8" hidden="1">#REF!</definedName>
    <definedName name="_____20316327" localSheetId="37" hidden="1">#REF!</definedName>
    <definedName name="_____20316327" localSheetId="65" hidden="1">#REF!</definedName>
    <definedName name="_____20316327" localSheetId="2" hidden="1">#REF!</definedName>
    <definedName name="_____20316327" localSheetId="78" hidden="1">#REF!</definedName>
    <definedName name="_____20316327" localSheetId="3" hidden="1">#REF!</definedName>
    <definedName name="_____20316327" hidden="1">#REF!</definedName>
    <definedName name="_____26559955" localSheetId="10" hidden="1">#REF!</definedName>
    <definedName name="_____26559955" localSheetId="8" hidden="1">#REF!</definedName>
    <definedName name="_____26559955" localSheetId="37" hidden="1">#REF!</definedName>
    <definedName name="_____26559955" localSheetId="65" hidden="1">#REF!</definedName>
    <definedName name="_____26559955" localSheetId="78" hidden="1">#REF!</definedName>
    <definedName name="_____26559955" hidden="1">#REF!</definedName>
    <definedName name="_____26617992" hidden="1">#REF!</definedName>
    <definedName name="_____27743197" hidden="1">#REF!</definedName>
    <definedName name="_____29735166" hidden="1">#REF!</definedName>
    <definedName name="_____34935946" hidden="1">#REF!</definedName>
    <definedName name="_____38776458" hidden="1">#REF!</definedName>
    <definedName name="_____45491100" hidden="1">#REF!</definedName>
    <definedName name="_____46059514" hidden="1">#REF!</definedName>
    <definedName name="_____4952205" hidden="1">#REF!</definedName>
    <definedName name="_____50213469" hidden="1">#REF!</definedName>
    <definedName name="_____50747318" hidden="1">#REF!</definedName>
    <definedName name="_____52407319" hidden="1">#REF!</definedName>
    <definedName name="_____52819467" hidden="1">#REF!</definedName>
    <definedName name="_____69542641" hidden="1">#REF!</definedName>
    <definedName name="_____72294719" hidden="1">#REF!</definedName>
    <definedName name="_____73489494" hidden="1">#REF!</definedName>
    <definedName name="__123Graph_A" localSheetId="75" hidden="1">[1]Fuel!#REF!</definedName>
    <definedName name="__123Graph_A" localSheetId="27" hidden="1">#REF!</definedName>
    <definedName name="__123Graph_A" localSheetId="29" hidden="1">#REF!</definedName>
    <definedName name="__123Graph_A" hidden="1">'[2]Month 8'!#REF!</definedName>
    <definedName name="__123Graph_A2" localSheetId="75" hidden="1">'[3]August 2009'!#REF!</definedName>
    <definedName name="__123Graph_A2" localSheetId="27" hidden="1">#REF!</definedName>
    <definedName name="__123Graph_A2" localSheetId="29" hidden="1">#REF!</definedName>
    <definedName name="__123Graph_A2" hidden="1">'[3]August 2009'!#REF!</definedName>
    <definedName name="__123Graph_ADSM" localSheetId="75" hidden="1">#REF!</definedName>
    <definedName name="__123Graph_ADSM" hidden="1">#REF!</definedName>
    <definedName name="__123Graph_AGraph17" localSheetId="75" hidden="1">#REF!</definedName>
    <definedName name="__123Graph_AGraph17" hidden="1">#REF!</definedName>
    <definedName name="__123Graph_AGROSSREQ" localSheetId="75" hidden="1">#REF!</definedName>
    <definedName name="__123Graph_AGROSSREQ" hidden="1">#REF!</definedName>
    <definedName name="__123Graph_APEAKS" hidden="1">#REF!</definedName>
    <definedName name="__123Graph_APKDEMAND" hidden="1">#REF!</definedName>
    <definedName name="__123Graph_APOPSALES" hidden="1">#REF!</definedName>
    <definedName name="__123Graph_ASALEBAND" hidden="1">#REF!</definedName>
    <definedName name="__123Graph_ASALECOMP" hidden="1">#REF!</definedName>
    <definedName name="__123Graph_ASALES" hidden="1">#REF!</definedName>
    <definedName name="__123Graph_ATAB13" hidden="1">#REF!</definedName>
    <definedName name="__123Graph_AUSERATE" hidden="1">#REF!</definedName>
    <definedName name="__123Graph_B" localSheetId="75" hidden="1">#REF!</definedName>
    <definedName name="__123Graph_B" hidden="1">#REF!</definedName>
    <definedName name="__123Graph_BGraph17" localSheetId="75" hidden="1">#REF!</definedName>
    <definedName name="__123Graph_BGraph17" hidden="1">#REF!</definedName>
    <definedName name="__123Graph_BGROSSREQ" localSheetId="75" hidden="1">#REF!</definedName>
    <definedName name="__123Graph_BGROSSREQ" hidden="1">#REF!</definedName>
    <definedName name="__123Graph_BPEAKS" localSheetId="75" hidden="1">#REF!</definedName>
    <definedName name="__123Graph_BPEAKS" hidden="1">#REF!</definedName>
    <definedName name="__123Graph_BPKDEMAND" hidden="1">#REF!</definedName>
    <definedName name="__123Graph_BPOPSALES" hidden="1">#REF!</definedName>
    <definedName name="__123Graph_BSALEBAND" hidden="1">#REF!</definedName>
    <definedName name="__123Graph_BSALECOMP" hidden="1">#REF!</definedName>
    <definedName name="__123Graph_BSALES" hidden="1">#REF!</definedName>
    <definedName name="__123Graph_BTAB13" hidden="1">#REF!</definedName>
    <definedName name="__123Graph_BUSERATE" hidden="1">#REF!</definedName>
    <definedName name="__123Graph_C" localSheetId="75" hidden="1">#REF!</definedName>
    <definedName name="__123Graph_C" hidden="1">#REF!</definedName>
    <definedName name="__123Graph_CGraph17" localSheetId="75" hidden="1">#REF!</definedName>
    <definedName name="__123Graph_CGraph17" hidden="1">#REF!</definedName>
    <definedName name="__123Graph_CGROSSREQ" localSheetId="75" hidden="1">#REF!</definedName>
    <definedName name="__123Graph_CGROSSREQ" hidden="1">#REF!</definedName>
    <definedName name="__123Graph_CPEAKS" localSheetId="75" hidden="1">#REF!</definedName>
    <definedName name="__123Graph_CPEAKS" hidden="1">#REF!</definedName>
    <definedName name="__123Graph_CPKDEMAND" hidden="1">#REF!</definedName>
    <definedName name="__123Graph_CSALEBAND" hidden="1">#REF!</definedName>
    <definedName name="__123Graph_CSALES" hidden="1">#REF!</definedName>
    <definedName name="__123Graph_CTAB13" hidden="1">#REF!</definedName>
    <definedName name="__123Graph_D" localSheetId="75" hidden="1">'[2]Month 8'!#REF!</definedName>
    <definedName name="__123Graph_D" hidden="1">#REF!</definedName>
    <definedName name="__123Graph_DGraph17" localSheetId="75" hidden="1">#REF!</definedName>
    <definedName name="__123Graph_DGraph17" hidden="1">#REF!</definedName>
    <definedName name="__123Graph_DPEAKS" localSheetId="75" hidden="1">#REF!</definedName>
    <definedName name="__123Graph_DPEAKS" hidden="1">#REF!</definedName>
    <definedName name="__123Graph_DSALES" localSheetId="75" hidden="1">#REF!</definedName>
    <definedName name="__123Graph_DSALES" hidden="1">#REF!</definedName>
    <definedName name="__123Graph_DTAB13" hidden="1">#REF!</definedName>
    <definedName name="__123Graph_EGraph17" hidden="1">#REF!</definedName>
    <definedName name="__123Graph_ETAB13" hidden="1">#REF!</definedName>
    <definedName name="__123Graph_FTAB13" hidden="1">#REF!</definedName>
    <definedName name="__123Graph_X" localSheetId="75" hidden="1">#REF!</definedName>
    <definedName name="__123Graph_X" hidden="1">#REF!</definedName>
    <definedName name="__123Graph_XDSM" localSheetId="75" hidden="1">#REF!</definedName>
    <definedName name="__123Graph_XDSM" hidden="1">#REF!</definedName>
    <definedName name="__123Graph_XGROSSREQ" localSheetId="75" hidden="1">#REF!</definedName>
    <definedName name="__123Graph_XGROSSREQ" hidden="1">#REF!</definedName>
    <definedName name="__123Graph_XPEAKS" localSheetId="75" hidden="1">#REF!</definedName>
    <definedName name="__123Graph_XPEAKS" hidden="1">#REF!</definedName>
    <definedName name="__123Graph_XPKDEMAND" hidden="1">#REF!</definedName>
    <definedName name="__123Graph_XPOPSALES" hidden="1">#REF!</definedName>
    <definedName name="__123Graph_XSALEBAND" hidden="1">#REF!</definedName>
    <definedName name="__123Graph_XSALECOMP" hidden="1">#REF!</definedName>
    <definedName name="__123Graph_XSALES" hidden="1">#REF!</definedName>
    <definedName name="__123Graph_XTAB13" hidden="1">#REF!</definedName>
    <definedName name="__123Graph_XUSERATE" hidden="1">#REF!</definedName>
    <definedName name="__IntlFixup" hidden="1">TRUE</definedName>
    <definedName name="_1__123Graph_ACHART_1" localSheetId="75" hidden="1">#REF!</definedName>
    <definedName name="_1__123Graph_ACHART_1" hidden="1">#REF!</definedName>
    <definedName name="_1__123Graph_AR_M_MARG" localSheetId="75" hidden="1">#REF!</definedName>
    <definedName name="_1__123Graph_AR_M_MARG" hidden="1">#REF!</definedName>
    <definedName name="_10__123Graph_DCHART_1" hidden="1">#REF!</definedName>
    <definedName name="_11__123Graph_DCHART_3" hidden="1">#REF!</definedName>
    <definedName name="_2__123Graph_ACHART_2" localSheetId="75" hidden="1">#REF!</definedName>
    <definedName name="_2__123Graph_ACHART_2" hidden="1">#REF!</definedName>
    <definedName name="_3__123Graph_ACHART_3" localSheetId="75" hidden="1">#REF!</definedName>
    <definedName name="_3__123Graph_ACHART_3" hidden="1">#REF!</definedName>
    <definedName name="_3_0__123Grap" localSheetId="75" hidden="1">#REF!</definedName>
    <definedName name="_3_0__123Grap" hidden="1">#REF!</definedName>
    <definedName name="_4__123Graph_BCHART_1" localSheetId="75" hidden="1">#REF!</definedName>
    <definedName name="_4__123Graph_BCHART_1" hidden="1">#REF!</definedName>
    <definedName name="_5__123Graph_BCHART_2" hidden="1">#REF!</definedName>
    <definedName name="_5__123Graph_CCHART_1" localSheetId="75" hidden="1">#REF!</definedName>
    <definedName name="_5__123Graph_CCHART_1" hidden="1">#REF!</definedName>
    <definedName name="_6__123Graph_BCHART_3" localSheetId="75" hidden="1">#REF!</definedName>
    <definedName name="_6__123Graph_BCHART_3" hidden="1">#REF!</definedName>
    <definedName name="_6__123Graph_DCHART_1" localSheetId="75" hidden="1">#REF!</definedName>
    <definedName name="_6__123Graph_DCHART_1" hidden="1">#REF!</definedName>
    <definedName name="_7__123Graph_CCHART_1" hidden="1">#REF!</definedName>
    <definedName name="_7__123Graph_XCHART_2" localSheetId="75" hidden="1">#REF!</definedName>
    <definedName name="_7__123Graph_XCHART_2" hidden="1">#REF!</definedName>
    <definedName name="_8__123Graph_CCHART_2" hidden="1">#REF!</definedName>
    <definedName name="_8__123Graph_XCHART_3" localSheetId="75" hidden="1">#REF!</definedName>
    <definedName name="_8__123Graph_XCHART_3" hidden="1">#REF!</definedName>
    <definedName name="_9__123Graph_CCHART_3" localSheetId="75" hidden="1">#REF!</definedName>
    <definedName name="_9__123Graph_CCHART_3" hidden="1">#REF!</definedName>
    <definedName name="_AI" localSheetId="75" hidden="1">#REF!</definedName>
    <definedName name="_AI"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14FD9419BB94533AF28C034C312B1BE.edm" hidden="1">#REF!</definedName>
    <definedName name="_bdm.095e75f33956414fae7b0c9bbb98fade.edm" hidden="1">#REF!</definedName>
    <definedName name="_bdm.0adb93bbf74446e6827eeefb83e21a2a.edm" hidden="1">#REF!</definedName>
    <definedName name="_bdm.0E59881AC0E44B969D48761DB6FC33B5.edm" hidden="1">#REF!</definedName>
    <definedName name="_bdm.204033D4E7FD4DE6A67166AE14521930.edm" hidden="1">#REF!</definedName>
    <definedName name="_bdm.380e1303da744dfdbf6ccba50b770a08.edm" hidden="1">#REF!</definedName>
    <definedName name="_bdm.49839103C83A42EE84CD8C2DBEF4C623.edm" hidden="1">#REF!</definedName>
    <definedName name="_bdm.4F57087C3D484196BD4BED70B94B1680.edm" hidden="1">#REF!</definedName>
    <definedName name="_bdm.54FEDCB6892A471383BE72D0E6F4DF4C.edm" hidden="1">#REF!</definedName>
    <definedName name="_bdm.6333969F14C7422A979F88C002ADBC03.edm" hidden="1">#REF!</definedName>
    <definedName name="_bdm.6DDFF3E8FE4D473EA5157150B0FBA502.edm" hidden="1">#REF!</definedName>
    <definedName name="_bdm.83ce03a788c345deb98cab037a1dd39f.edm" hidden="1">#REF!</definedName>
    <definedName name="_bdm.866DD84208EE4C9AB603A9AAD8FE1930.edm" hidden="1">#REF!</definedName>
    <definedName name="_bdm.98B65313C9A94C659B8680866B9FCD86.edm" hidden="1">#REF!</definedName>
    <definedName name="_bdm.C2D188A744CB405CA437BE468542B365.edm" hidden="1">#REF!</definedName>
    <definedName name="_Fill" hidden="1">#REF!</definedName>
    <definedName name="_Fill2" hidden="1">#REF!</definedName>
    <definedName name="_xlnm._FilterDatabase" localSheetId="9" hidden="1">A216810396964DCDB399904ED81BA8E!$A$1:$C$1</definedName>
    <definedName name="_xlnm._FilterDatabase" localSheetId="79" hidden="1">'Filing Requirements-working'!$B$6:$L$67</definedName>
    <definedName name="_xlnm._FilterDatabase" localSheetId="78" hidden="1">'Prev. References'!$B$8:$M$69</definedName>
    <definedName name="_Key1" localSheetId="10" hidden="1">#REF!</definedName>
    <definedName name="_Key1" localSheetId="8" hidden="1">#REF!</definedName>
    <definedName name="_Key1" localSheetId="37" hidden="1">#REF!</definedName>
    <definedName name="_Key1" localSheetId="75" hidden="1">#REF!</definedName>
    <definedName name="_Key1" localSheetId="65" hidden="1">#REF!</definedName>
    <definedName name="_Key1" localSheetId="78" hidden="1">#REF!</definedName>
    <definedName name="_Key1" hidden="1">#REF!</definedName>
    <definedName name="_Key2" localSheetId="10" hidden="1">#REF!</definedName>
    <definedName name="_Key2" localSheetId="8" hidden="1">#REF!</definedName>
    <definedName name="_Key2" localSheetId="37" hidden="1">#REF!</definedName>
    <definedName name="_Key2" localSheetId="65" hidden="1">#REF!</definedName>
    <definedName name="_Key2" localSheetId="78" hidden="1">#REF!</definedName>
    <definedName name="_Key2" hidden="1">#REF!</definedName>
    <definedName name="_Order1" hidden="1">255</definedName>
    <definedName name="_Order2" hidden="1">255</definedName>
    <definedName name="_Regression_Int" hidden="1">1</definedName>
    <definedName name="_Regression_Out" localSheetId="10" hidden="1">#REF!</definedName>
    <definedName name="_Regression_Out" localSheetId="8" hidden="1">#REF!</definedName>
    <definedName name="_Regression_Out" localSheetId="37" hidden="1">#REF!</definedName>
    <definedName name="_Regression_Out" localSheetId="75" hidden="1">#REF!</definedName>
    <definedName name="_Regression_Out" localSheetId="65" hidden="1">#REF!</definedName>
    <definedName name="_Regression_Out" hidden="1">#REF!</definedName>
    <definedName name="_Regression_X" hidden="1">#REF!</definedName>
    <definedName name="_Regression_Y" hidden="1">#REF!</definedName>
    <definedName name="_Sort" hidden="1">#REF!</definedName>
    <definedName name="_Sort2"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UNDO_UPS_" hidden="1">'[4]Non-Federal Capital'!#REF!</definedName>
    <definedName name="_UNDO_UPS_SEL_" hidden="1">'[4]Non-Federal Capital'!#REF!</definedName>
    <definedName name="_UNDO31X31X_" hidden="1">'[4]Non-Federal Capital'!#REF!</definedName>
    <definedName name="a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hidden="1">#REF!</definedName>
    <definedName name="AAA_DOCTOPS" hidden="1">"AAA_SET"</definedName>
    <definedName name="AAA_duser" hidden="1">"OFF"</definedName>
    <definedName name="aaaaaaaaaaaa" hidden="1">#REF!</definedName>
    <definedName name="aaaaaaaaaaaaa" localSheetId="75" hidden="1">#REF!</definedName>
    <definedName name="aaaaaaaaaaaaa" hidden="1">#REF!</definedName>
    <definedName name="AAB_Addin5" hidden="1">"AAB_Description for addin 5,Description for addin 5,Description for addin 5,Description for addin 5,Description for addin 5,Description for addin 5"</definedName>
    <definedName name="abd" localSheetId="10" hidden="1">{#N/A,#N/A,FALSE,"FY97P1";#N/A,#N/A,FALSE,"FY97Z312";#N/A,#N/A,FALSE,"FY97LRBC";#N/A,#N/A,FALSE,"FY97O";#N/A,#N/A,FALSE,"FY97DAM"}</definedName>
    <definedName name="abd" localSheetId="8" hidden="1">{#N/A,#N/A,FALSE,"FY97P1";#N/A,#N/A,FALSE,"FY97Z312";#N/A,#N/A,FALSE,"FY97LRBC";#N/A,#N/A,FALSE,"FY97O";#N/A,#N/A,FALSE,"FY97DAM"}</definedName>
    <definedName name="abd" localSheetId="39" hidden="1">{#N/A,#N/A,FALSE,"FY97P1";#N/A,#N/A,FALSE,"FY97Z312";#N/A,#N/A,FALSE,"FY97LRBC";#N/A,#N/A,FALSE,"FY97O";#N/A,#N/A,FALSE,"FY97DAM"}</definedName>
    <definedName name="abd" localSheetId="37" hidden="1">{#N/A,#N/A,FALSE,"FY97P1";#N/A,#N/A,FALSE,"FY97Z312";#N/A,#N/A,FALSE,"FY97LRBC";#N/A,#N/A,FALSE,"FY97O";#N/A,#N/A,FALSE,"FY97DAM"}</definedName>
    <definedName name="abd" localSheetId="75" hidden="1">{#N/A,#N/A,FALSE,"FY97P1";#N/A,#N/A,FALSE,"FY97Z312";#N/A,#N/A,FALSE,"FY97LRBC";#N/A,#N/A,FALSE,"FY97O";#N/A,#N/A,FALSE,"FY97DAM"}</definedName>
    <definedName name="abd" localSheetId="65" hidden="1">{#N/A,#N/A,FALSE,"FY97P1";#N/A,#N/A,FALSE,"FY97Z312";#N/A,#N/A,FALSE,"FY97LRBC";#N/A,#N/A,FALSE,"FY97O";#N/A,#N/A,FALSE,"FY97DAM"}</definedName>
    <definedName name="abd" localSheetId="27" hidden="1">{#N/A,#N/A,FALSE,"FY97P1";#N/A,#N/A,FALSE,"FY97Z312";#N/A,#N/A,FALSE,"FY97LRBC";#N/A,#N/A,FALSE,"FY97O";#N/A,#N/A,FALSE,"FY97DAM"}</definedName>
    <definedName name="abd" localSheetId="2" hidden="1">{#N/A,#N/A,FALSE,"FY97P1";#N/A,#N/A,FALSE,"FY97Z312";#N/A,#N/A,FALSE,"FY97LRBC";#N/A,#N/A,FALSE,"FY97O";#N/A,#N/A,FALSE,"FY97DAM"}</definedName>
    <definedName name="abd" localSheetId="29" hidden="1">{#N/A,#N/A,FALSE,"FY97P1";#N/A,#N/A,FALSE,"FY97Z312";#N/A,#N/A,FALSE,"FY97LRBC";#N/A,#N/A,FALSE,"FY97O";#N/A,#N/A,FALSE,"FY97DAM"}</definedName>
    <definedName name="abd" localSheetId="78" hidden="1">{#N/A,#N/A,FALSE,"FY97P1";#N/A,#N/A,FALSE,"FY97Z312";#N/A,#N/A,FALSE,"FY97LRBC";#N/A,#N/A,FALSE,"FY97O";#N/A,#N/A,FALSE,"FY97DAM"}</definedName>
    <definedName name="abd" localSheetId="3" hidden="1">{#N/A,#N/A,FALSE,"FY97P1";#N/A,#N/A,FALSE,"FY97Z312";#N/A,#N/A,FALSE,"FY97LRBC";#N/A,#N/A,FALSE,"FY97O";#N/A,#N/A,FALSE,"FY97DAM"}</definedName>
    <definedName name="abd" localSheetId="1" hidden="1">{#N/A,#N/A,FALSE,"FY97P1";#N/A,#N/A,FALSE,"FY97Z312";#N/A,#N/A,FALSE,"FY97LRBC";#N/A,#N/A,FALSE,"FY97O";#N/A,#N/A,FALSE,"FY97DAM"}</definedName>
    <definedName name="abd" hidden="1">{#N/A,#N/A,FALSE,"FY97P1";#N/A,#N/A,FALSE,"FY97Z312";#N/A,#N/A,FALSE,"FY97LRBC";#N/A,#N/A,FALSE,"FY97O";#N/A,#N/A,FALSE,"FY97DAM"}</definedName>
    <definedName name="AccessDatabase" hidden="1">"J:\data\PS\pso\IO&amp;RM\jdb\r2d2\MCMResults.mdb"</definedName>
    <definedName name="ActiveLoad" localSheetId="39">'C-11'!#REF!</definedName>
    <definedName name="ActiveLoad" localSheetId="1">#REF!</definedName>
    <definedName name="ActiveLoad">[5]Chart!$C$3</definedName>
    <definedName name="aedfadf" localSheetId="6" hidden="1">TextRefCopy1</definedName>
    <definedName name="aedfadf" localSheetId="10" hidden="1">TextRefCopy1</definedName>
    <definedName name="aedfadf" localSheetId="8" hidden="1">TextRefCopy1</definedName>
    <definedName name="aedfadf" localSheetId="14" hidden="1">TextRefCopy1</definedName>
    <definedName name="aedfadf" localSheetId="15" hidden="1">TextRefCopy1</definedName>
    <definedName name="aedfadf" localSheetId="16" hidden="1">TextRefCopy1</definedName>
    <definedName name="aedfadf" localSheetId="20" hidden="1">TextRefCopy1</definedName>
    <definedName name="aedfadf" localSheetId="39" hidden="1">TextRefCopy1</definedName>
    <definedName name="aedfadf" localSheetId="22" hidden="1">TextRefCopy1</definedName>
    <definedName name="aedfadf" localSheetId="26" hidden="1">TextRefCopy1</definedName>
    <definedName name="aedfadf" localSheetId="25" hidden="1">TextRefCopy1</definedName>
    <definedName name="aedfadf" localSheetId="30" hidden="1">TextRefCopy1</definedName>
    <definedName name="aedfadf" localSheetId="31" hidden="1">TextRefCopy1</definedName>
    <definedName name="aedfadf" localSheetId="32" hidden="1">TextRefCopy1</definedName>
    <definedName name="aedfadf" localSheetId="34" hidden="1">TextRefCopy1</definedName>
    <definedName name="aedfadf" localSheetId="35" hidden="1">TextRefCopy1</definedName>
    <definedName name="aedfadf" localSheetId="37" hidden="1">TextRefCopy1</definedName>
    <definedName name="aedfadf" localSheetId="75" hidden="1">TextRefCopy1</definedName>
    <definedName name="aedfadf" localSheetId="0" hidden="1">TextRefCopy1</definedName>
    <definedName name="aedfadf" localSheetId="45" hidden="1">TextRefCopy1</definedName>
    <definedName name="aedfadf" localSheetId="41" hidden="1">TextRefCopy1</definedName>
    <definedName name="aedfadf" localSheetId="48" hidden="1">TextRefCopy1</definedName>
    <definedName name="aedfadf" localSheetId="44" hidden="1">TextRefCopy1</definedName>
    <definedName name="aedfadf" localSheetId="52" hidden="1">TextRefCopy1</definedName>
    <definedName name="aedfadf" localSheetId="53" hidden="1">TextRefCopy1</definedName>
    <definedName name="aedfadf" localSheetId="55" hidden="1">TextRefCopy1</definedName>
    <definedName name="aedfadf" localSheetId="56" hidden="1">TextRefCopy1</definedName>
    <definedName name="aedfadf" localSheetId="57" hidden="1">TextRefCopy1</definedName>
    <definedName name="aedfadf" localSheetId="58" hidden="1">TextRefCopy1</definedName>
    <definedName name="aedfadf" localSheetId="59" hidden="1">TextRefCopy1</definedName>
    <definedName name="aedfadf" localSheetId="62" hidden="1">TextRefCopy1</definedName>
    <definedName name="aedfadf" localSheetId="64" hidden="1">TextRefCopy1</definedName>
    <definedName name="aedfadf" localSheetId="65" hidden="1">TextRefCopy1</definedName>
    <definedName name="aedfadf" localSheetId="27" hidden="1">TextRefCopy1</definedName>
    <definedName name="aedfadf" localSheetId="2" hidden="1">TextRefCopy1</definedName>
    <definedName name="aedfadf" localSheetId="29" hidden="1">TextRefCopy1</definedName>
    <definedName name="aedfadf" localSheetId="78" hidden="1">TextRefCopy1</definedName>
    <definedName name="aedfadf" localSheetId="3" hidden="1">TextRefCopy1</definedName>
    <definedName name="aedfadf" localSheetId="70" hidden="1">TextRefCopy1</definedName>
    <definedName name="aedfadf" localSheetId="71" hidden="1">TextRefCopy1</definedName>
    <definedName name="aedfadf" localSheetId="72" hidden="1">TextRefCopy1</definedName>
    <definedName name="aedfadf" localSheetId="73" hidden="1">TextRefCopy1</definedName>
    <definedName name="aedfadf" localSheetId="7" hidden="1">TextRefCopy1</definedName>
    <definedName name="aedfadf" localSheetId="1" hidden="1">TextRefCopy1</definedName>
    <definedName name="aedfadf" hidden="1">TextRefCopy1</definedName>
    <definedName name="AllocBilledDemand" localSheetId="39">'C-11'!#REF!</definedName>
    <definedName name="AllocBilledDemand" localSheetId="1">#REF!</definedName>
    <definedName name="AllocBilledDemand">[6]Allocators!$E$11:$P$11</definedName>
    <definedName name="AllocConsumption" localSheetId="39">'C-11'!#REF!</definedName>
    <definedName name="AllocConsumption" localSheetId="1">#REF!</definedName>
    <definedName name="AllocConsumption">[6]Allocators!$E$63:$P$63</definedName>
    <definedName name="AllocEnergy" localSheetId="39">'C-11'!#REF!</definedName>
    <definedName name="AllocEnergy" localSheetId="1">#REF!</definedName>
    <definedName name="AllocEnergy">[6]Allocators!$E$69:$P$69</definedName>
    <definedName name="AllocEnergyPeak" localSheetId="39">'C-11'!#REF!</definedName>
    <definedName name="AllocEnergyPeak" localSheetId="1">#REF!</definedName>
    <definedName name="AllocEnergyPeak">[6]Allocators!$E$71:$P$71</definedName>
    <definedName name="AllocLamps" localSheetId="39">'C-11'!#REF!</definedName>
    <definedName name="AllocLamps" localSheetId="1">#REF!</definedName>
    <definedName name="AllocLamps">[6]Allocators!$E$76:$P$76</definedName>
    <definedName name="AllocLampsCount" localSheetId="39">'C-11'!#REF!</definedName>
    <definedName name="AllocLampsCount" localSheetId="1">#REF!</definedName>
    <definedName name="AllocLampsCount">[6]Allocators!$E$75:$P$75</definedName>
    <definedName name="AllocMeterNCP" localSheetId="39">'C-11'!#REF!</definedName>
    <definedName name="AllocMeterNCP" localSheetId="1">#REF!</definedName>
    <definedName name="AllocMeterNCP">[6]Allocators!$E$13:$P$13</definedName>
    <definedName name="AllocMeters" localSheetId="39">'C-11'!#REF!</definedName>
    <definedName name="AllocMeters" localSheetId="1">#REF!</definedName>
    <definedName name="AllocMeters">[6]Allocators!$E$81:$P$81</definedName>
    <definedName name="AllocPrimaryNCP" localSheetId="39">'C-11'!#REF!</definedName>
    <definedName name="AllocPrimaryNCP" localSheetId="1">#REF!</definedName>
    <definedName name="AllocPrimaryNCP">[6]Allocators!$E$22:$P$22</definedName>
    <definedName name="AllocPrimaryWgtCust" localSheetId="39">'C-11'!#REF!</definedName>
    <definedName name="AllocPrimaryWgtCust" localSheetId="1">#REF!</definedName>
    <definedName name="AllocPrimaryWgtCust">[6]Allocators!$E$54:$P$54</definedName>
    <definedName name="AllocProduction" localSheetId="39">'C-11'!#REF!</definedName>
    <definedName name="AllocProduction" localSheetId="1">#REF!</definedName>
    <definedName name="AllocProduction">[6]Allocators!$E$45:$P$45</definedName>
    <definedName name="AllocRates" localSheetId="39">'C-11'!#REF!</definedName>
    <definedName name="AllocRates" localSheetId="1">#REF!</definedName>
    <definedName name="AllocRates">[6]Allocators!$E$10:$P$10</definedName>
    <definedName name="AllocSecondaryNCP" localSheetId="39">'C-11'!#REF!</definedName>
    <definedName name="AllocSecondaryNCP" localSheetId="1">#REF!</definedName>
    <definedName name="AllocSecondaryNCP">[6]Allocators!$E$25:$P$25</definedName>
    <definedName name="AllocSecondWgtCust" localSheetId="39">'C-11'!#REF!</definedName>
    <definedName name="AllocSecondWgtCust" localSheetId="1">#REF!</definedName>
    <definedName name="AllocSecondWgtCust">[6]Allocators!$E$57:$P$57</definedName>
    <definedName name="AllocSubstationCP" localSheetId="39">'C-11'!#REF!</definedName>
    <definedName name="AllocSubstationCP" localSheetId="1">#REF!</definedName>
    <definedName name="AllocSubstationCP">[6]Allocators!$E$37:$P$37</definedName>
    <definedName name="AllocTransCP" localSheetId="39">'C-11'!#REF!</definedName>
    <definedName name="AllocTransCP" localSheetId="1">#REF!</definedName>
    <definedName name="AllocTransCP">[6]Allocators!$E$31:$P$31</definedName>
    <definedName name="AllocTransNCP" localSheetId="39">'C-11'!#REF!</definedName>
    <definedName name="AllocTransNCP" localSheetId="1">#REF!</definedName>
    <definedName name="AllocTransNCP">[6]Allocators!$E$18:$P$18</definedName>
    <definedName name="AllocTransWgtCust" localSheetId="39">'C-11'!#REF!</definedName>
    <definedName name="AllocTransWgtCust" localSheetId="1">#REF!</definedName>
    <definedName name="AllocTransWgtCust">[6]Allocators!$E$60:$P$60</definedName>
    <definedName name="AllocWeightCust" localSheetId="39">'C-11'!#REF!</definedName>
    <definedName name="AllocWeightCust" localSheetId="1">#REF!</definedName>
    <definedName name="AllocWeightCust">[6]Allocators!$E$51:$P$51</definedName>
    <definedName name="Applicant">#REF!</definedName>
    <definedName name="Applicant_Damage">#REF!</definedName>
    <definedName name="Applicant_Damage_Component_Type">#REF!</definedName>
    <definedName name="Applicant_Damage_Id">#REF!</definedName>
    <definedName name="Array_TariffSummary" localSheetId="39">'C-11'!#REF!</definedName>
    <definedName name="Array_TariffSummary" localSheetId="1">#REF!</definedName>
    <definedName name="Array_TariffSummary">[7]TariffSummary!$C$6:$X$21</definedName>
    <definedName name="as" localSheetId="10" hidden="1">#REF!</definedName>
    <definedName name="as" localSheetId="8" hidden="1">#REF!</definedName>
    <definedName name="as" localSheetId="37" hidden="1">#REF!</definedName>
    <definedName name="as" localSheetId="75" hidden="1">#REF!</definedName>
    <definedName name="as" localSheetId="65" hidden="1">#REF!</definedName>
    <definedName name="as" localSheetId="2" hidden="1">#REF!</definedName>
    <definedName name="as" localSheetId="78" hidden="1">#REF!</definedName>
    <definedName name="as" localSheetId="3" hidden="1">#REF!</definedName>
    <definedName name="as" hidden="1">#REF!</definedName>
    <definedName name="AS2TickmarkLS" localSheetId="10" hidden="1">#REF!</definedName>
    <definedName name="AS2TickmarkLS" localSheetId="8" hidden="1">#REF!</definedName>
    <definedName name="AS2TickmarkLS" localSheetId="37" hidden="1">#REF!</definedName>
    <definedName name="AS2TickmarkLS" localSheetId="65" hidden="1">#REF!</definedName>
    <definedName name="AS2TickmarkLS" localSheetId="2" hidden="1">#REF!</definedName>
    <definedName name="AS2TickmarkLS" localSheetId="78" hidden="1">#REF!</definedName>
    <definedName name="AS2TickmarkLS" localSheetId="3" hidden="1">#REF!</definedName>
    <definedName name="AS2TickmarkLS" hidden="1">#REF!</definedName>
    <definedName name="asASas" localSheetId="10" hidden="1">#REF!</definedName>
    <definedName name="asASas" localSheetId="8" hidden="1">#REF!</definedName>
    <definedName name="asASas" localSheetId="37" hidden="1">#REF!</definedName>
    <definedName name="asASas" localSheetId="65" hidden="1">#REF!</definedName>
    <definedName name="asASas" localSheetId="2" hidden="1">#REF!</definedName>
    <definedName name="asASas" localSheetId="78" hidden="1">#REF!</definedName>
    <definedName name="asASas" localSheetId="3" hidden="1">#REF!</definedName>
    <definedName name="asASas" hidden="1">#REF!</definedName>
    <definedName name="asd" localSheetId="10" hidden="1">#REF!</definedName>
    <definedName name="asd" localSheetId="8" hidden="1">#REF!</definedName>
    <definedName name="asd" localSheetId="37" hidden="1">#REF!</definedName>
    <definedName name="asd" localSheetId="65" hidden="1">#REF!</definedName>
    <definedName name="asd" localSheetId="2" hidden="1">'[8]PD Fixed Proforma'!#REF!</definedName>
    <definedName name="asd" localSheetId="78" hidden="1">'[8]PD Fixed Proforma'!#REF!</definedName>
    <definedName name="asd" localSheetId="3" hidden="1">'[8]PD Fixed Proforma'!#REF!</definedName>
    <definedName name="asd" hidden="1">#REF!</definedName>
    <definedName name="asda" localSheetId="10" hidden="1">{#N/A,#N/A,FALSE,"FY97P1";#N/A,#N/A,FALSE,"FY97Z312";#N/A,#N/A,FALSE,"FY97LRBC";#N/A,#N/A,FALSE,"FY97O";#N/A,#N/A,FALSE,"FY97DAM"}</definedName>
    <definedName name="asda" localSheetId="8" hidden="1">{#N/A,#N/A,FALSE,"FY97P1";#N/A,#N/A,FALSE,"FY97Z312";#N/A,#N/A,FALSE,"FY97LRBC";#N/A,#N/A,FALSE,"FY97O";#N/A,#N/A,FALSE,"FY97DAM"}</definedName>
    <definedName name="asda" localSheetId="39" hidden="1">{#N/A,#N/A,FALSE,"FY97P1";#N/A,#N/A,FALSE,"FY97Z312";#N/A,#N/A,FALSE,"FY97LRBC";#N/A,#N/A,FALSE,"FY97O";#N/A,#N/A,FALSE,"FY97DAM"}</definedName>
    <definedName name="asda" localSheetId="37" hidden="1">{#N/A,#N/A,FALSE,"FY97P1";#N/A,#N/A,FALSE,"FY97Z312";#N/A,#N/A,FALSE,"FY97LRBC";#N/A,#N/A,FALSE,"FY97O";#N/A,#N/A,FALSE,"FY97DAM"}</definedName>
    <definedName name="asda" localSheetId="75" hidden="1">{#N/A,#N/A,FALSE,"FY97P1";#N/A,#N/A,FALSE,"FY97Z312";#N/A,#N/A,FALSE,"FY97LRBC";#N/A,#N/A,FALSE,"FY97O";#N/A,#N/A,FALSE,"FY97DAM"}</definedName>
    <definedName name="asda" localSheetId="65" hidden="1">{#N/A,#N/A,FALSE,"FY97P1";#N/A,#N/A,FALSE,"FY97Z312";#N/A,#N/A,FALSE,"FY97LRBC";#N/A,#N/A,FALSE,"FY97O";#N/A,#N/A,FALSE,"FY97DAM"}</definedName>
    <definedName name="asda" localSheetId="27" hidden="1">{#N/A,#N/A,FALSE,"FY97P1";#N/A,#N/A,FALSE,"FY97Z312";#N/A,#N/A,FALSE,"FY97LRBC";#N/A,#N/A,FALSE,"FY97O";#N/A,#N/A,FALSE,"FY97DAM"}</definedName>
    <definedName name="asda" localSheetId="2" hidden="1">{#N/A,#N/A,FALSE,"FY97P1";#N/A,#N/A,FALSE,"FY97Z312";#N/A,#N/A,FALSE,"FY97LRBC";#N/A,#N/A,FALSE,"FY97O";#N/A,#N/A,FALSE,"FY97DAM"}</definedName>
    <definedName name="asda" localSheetId="29" hidden="1">{#N/A,#N/A,FALSE,"FY97P1";#N/A,#N/A,FALSE,"FY97Z312";#N/A,#N/A,FALSE,"FY97LRBC";#N/A,#N/A,FALSE,"FY97O";#N/A,#N/A,FALSE,"FY97DAM"}</definedName>
    <definedName name="asda" localSheetId="78" hidden="1">{#N/A,#N/A,FALSE,"FY97P1";#N/A,#N/A,FALSE,"FY97Z312";#N/A,#N/A,FALSE,"FY97LRBC";#N/A,#N/A,FALSE,"FY97O";#N/A,#N/A,FALSE,"FY97DAM"}</definedName>
    <definedName name="asda" localSheetId="3" hidden="1">{#N/A,#N/A,FALSE,"FY97P1";#N/A,#N/A,FALSE,"FY97Z312";#N/A,#N/A,FALSE,"FY97LRBC";#N/A,#N/A,FALSE,"FY97O";#N/A,#N/A,FALSE,"FY97DAM"}</definedName>
    <definedName name="asda" localSheetId="1" hidden="1">{#N/A,#N/A,FALSE,"FY97P1";#N/A,#N/A,FALSE,"FY97Z312";#N/A,#N/A,FALSE,"FY97LRBC";#N/A,#N/A,FALSE,"FY97O";#N/A,#N/A,FALSE,"FY97DAM"}</definedName>
    <definedName name="asda" hidden="1">{#N/A,#N/A,FALSE,"FY97P1";#N/A,#N/A,FALSE,"FY97Z312";#N/A,#N/A,FALSE,"FY97LRBC";#N/A,#N/A,FALSE,"FY97O";#N/A,#N/A,FALSE,"FY97DAM"}</definedName>
    <definedName name="asdasd" localSheetId="10" hidden="1">{#N/A,#N/A,FALSE,"FY97P1";#N/A,#N/A,FALSE,"FY97Z312";#N/A,#N/A,FALSE,"FY97LRBC";#N/A,#N/A,FALSE,"FY97O";#N/A,#N/A,FALSE,"FY97DAM"}</definedName>
    <definedName name="asdasd" localSheetId="8" hidden="1">{#N/A,#N/A,FALSE,"FY97P1";#N/A,#N/A,FALSE,"FY97Z312";#N/A,#N/A,FALSE,"FY97LRBC";#N/A,#N/A,FALSE,"FY97O";#N/A,#N/A,FALSE,"FY97DAM"}</definedName>
    <definedName name="asdasd" localSheetId="39" hidden="1">{#N/A,#N/A,FALSE,"FY97P1";#N/A,#N/A,FALSE,"FY97Z312";#N/A,#N/A,FALSE,"FY97LRBC";#N/A,#N/A,FALSE,"FY97O";#N/A,#N/A,FALSE,"FY97DAM"}</definedName>
    <definedName name="asdasd" localSheetId="37" hidden="1">{#N/A,#N/A,FALSE,"FY97P1";#N/A,#N/A,FALSE,"FY97Z312";#N/A,#N/A,FALSE,"FY97LRBC";#N/A,#N/A,FALSE,"FY97O";#N/A,#N/A,FALSE,"FY97DAM"}</definedName>
    <definedName name="asdasd" localSheetId="75" hidden="1">{#N/A,#N/A,FALSE,"FY97P1";#N/A,#N/A,FALSE,"FY97Z312";#N/A,#N/A,FALSE,"FY97LRBC";#N/A,#N/A,FALSE,"FY97O";#N/A,#N/A,FALSE,"FY97DAM"}</definedName>
    <definedName name="asdasd" localSheetId="65" hidden="1">{#N/A,#N/A,FALSE,"FY97P1";#N/A,#N/A,FALSE,"FY97Z312";#N/A,#N/A,FALSE,"FY97LRBC";#N/A,#N/A,FALSE,"FY97O";#N/A,#N/A,FALSE,"FY97DAM"}</definedName>
    <definedName name="asdasd" localSheetId="27" hidden="1">{#N/A,#N/A,FALSE,"FY97P1";#N/A,#N/A,FALSE,"FY97Z312";#N/A,#N/A,FALSE,"FY97LRBC";#N/A,#N/A,FALSE,"FY97O";#N/A,#N/A,FALSE,"FY97DAM"}</definedName>
    <definedName name="asdasd" localSheetId="2" hidden="1">{#N/A,#N/A,FALSE,"FY97P1";#N/A,#N/A,FALSE,"FY97Z312";#N/A,#N/A,FALSE,"FY97LRBC";#N/A,#N/A,FALSE,"FY97O";#N/A,#N/A,FALSE,"FY97DAM"}</definedName>
    <definedName name="asdasd" localSheetId="29" hidden="1">{#N/A,#N/A,FALSE,"FY97P1";#N/A,#N/A,FALSE,"FY97Z312";#N/A,#N/A,FALSE,"FY97LRBC";#N/A,#N/A,FALSE,"FY97O";#N/A,#N/A,FALSE,"FY97DAM"}</definedName>
    <definedName name="asdasd" localSheetId="78" hidden="1">{#N/A,#N/A,FALSE,"FY97P1";#N/A,#N/A,FALSE,"FY97Z312";#N/A,#N/A,FALSE,"FY97LRBC";#N/A,#N/A,FALSE,"FY97O";#N/A,#N/A,FALSE,"FY97DAM"}</definedName>
    <definedName name="asdasd" localSheetId="3" hidden="1">{#N/A,#N/A,FALSE,"FY97P1";#N/A,#N/A,FALSE,"FY97Z312";#N/A,#N/A,FALSE,"FY97LRBC";#N/A,#N/A,FALSE,"FY97O";#N/A,#N/A,FALSE,"FY97DAM"}</definedName>
    <definedName name="asdasd" localSheetId="1" hidden="1">{#N/A,#N/A,FALSE,"FY97P1";#N/A,#N/A,FALSE,"FY97Z312";#N/A,#N/A,FALSE,"FY97LRBC";#N/A,#N/A,FALSE,"FY97O";#N/A,#N/A,FALSE,"FY97DAM"}</definedName>
    <definedName name="asdasd" hidden="1">{#N/A,#N/A,FALSE,"FY97P1";#N/A,#N/A,FALSE,"FY97Z312";#N/A,#N/A,FALSE,"FY97LRBC";#N/A,#N/A,FALSE,"FY97O";#N/A,#N/A,FALSE,"FY97DAM"}</definedName>
    <definedName name="asdasdasdas" localSheetId="10" hidden="1">{#N/A,#N/A,FALSE,"FY97P1";#N/A,#N/A,FALSE,"FY97Z312";#N/A,#N/A,FALSE,"FY97LRBC";#N/A,#N/A,FALSE,"FY97O";#N/A,#N/A,FALSE,"FY97DAM"}</definedName>
    <definedName name="asdasdasdas" localSheetId="8" hidden="1">{#N/A,#N/A,FALSE,"FY97P1";#N/A,#N/A,FALSE,"FY97Z312";#N/A,#N/A,FALSE,"FY97LRBC";#N/A,#N/A,FALSE,"FY97O";#N/A,#N/A,FALSE,"FY97DAM"}</definedName>
    <definedName name="asdasdasdas" localSheetId="39" hidden="1">{#N/A,#N/A,FALSE,"FY97P1";#N/A,#N/A,FALSE,"FY97Z312";#N/A,#N/A,FALSE,"FY97LRBC";#N/A,#N/A,FALSE,"FY97O";#N/A,#N/A,FALSE,"FY97DAM"}</definedName>
    <definedName name="asdasdasdas" localSheetId="37" hidden="1">{#N/A,#N/A,FALSE,"FY97P1";#N/A,#N/A,FALSE,"FY97Z312";#N/A,#N/A,FALSE,"FY97LRBC";#N/A,#N/A,FALSE,"FY97O";#N/A,#N/A,FALSE,"FY97DAM"}</definedName>
    <definedName name="asdasdasdas" localSheetId="75" hidden="1">{#N/A,#N/A,FALSE,"FY97P1";#N/A,#N/A,FALSE,"FY97Z312";#N/A,#N/A,FALSE,"FY97LRBC";#N/A,#N/A,FALSE,"FY97O";#N/A,#N/A,FALSE,"FY97DAM"}</definedName>
    <definedName name="asdasdasdas" localSheetId="65" hidden="1">{#N/A,#N/A,FALSE,"FY97P1";#N/A,#N/A,FALSE,"FY97Z312";#N/A,#N/A,FALSE,"FY97LRBC";#N/A,#N/A,FALSE,"FY97O";#N/A,#N/A,FALSE,"FY97DAM"}</definedName>
    <definedName name="asdasdasdas" localSheetId="27" hidden="1">{#N/A,#N/A,FALSE,"FY97P1";#N/A,#N/A,FALSE,"FY97Z312";#N/A,#N/A,FALSE,"FY97LRBC";#N/A,#N/A,FALSE,"FY97O";#N/A,#N/A,FALSE,"FY97DAM"}</definedName>
    <definedName name="asdasdasdas" localSheetId="2" hidden="1">{#N/A,#N/A,FALSE,"FY97P1";#N/A,#N/A,FALSE,"FY97Z312";#N/A,#N/A,FALSE,"FY97LRBC";#N/A,#N/A,FALSE,"FY97O";#N/A,#N/A,FALSE,"FY97DAM"}</definedName>
    <definedName name="asdasdasdas" localSheetId="29" hidden="1">{#N/A,#N/A,FALSE,"FY97P1";#N/A,#N/A,FALSE,"FY97Z312";#N/A,#N/A,FALSE,"FY97LRBC";#N/A,#N/A,FALSE,"FY97O";#N/A,#N/A,FALSE,"FY97DAM"}</definedName>
    <definedName name="asdasdasdas" localSheetId="78" hidden="1">{#N/A,#N/A,FALSE,"FY97P1";#N/A,#N/A,FALSE,"FY97Z312";#N/A,#N/A,FALSE,"FY97LRBC";#N/A,#N/A,FALSE,"FY97O";#N/A,#N/A,FALSE,"FY97DAM"}</definedName>
    <definedName name="asdasdasdas" localSheetId="3" hidden="1">{#N/A,#N/A,FALSE,"FY97P1";#N/A,#N/A,FALSE,"FY97Z312";#N/A,#N/A,FALSE,"FY97LRBC";#N/A,#N/A,FALSE,"FY97O";#N/A,#N/A,FALSE,"FY97DAM"}</definedName>
    <definedName name="asdasdasdas" localSheetId="1" hidden="1">{#N/A,#N/A,FALSE,"FY97P1";#N/A,#N/A,FALSE,"FY97Z312";#N/A,#N/A,FALSE,"FY97LRBC";#N/A,#N/A,FALSE,"FY97O";#N/A,#N/A,FALSE,"FY97DAM"}</definedName>
    <definedName name="asdasdasdas" hidden="1">{#N/A,#N/A,FALSE,"FY97P1";#N/A,#N/A,FALSE,"FY97Z312";#N/A,#N/A,FALSE,"FY97LRBC";#N/A,#N/A,FALSE,"FY97O";#N/A,#N/A,FALSE,"FY97DAM"}</definedName>
    <definedName name="asdasds" localSheetId="10" hidden="1">{#N/A,#N/A,FALSE,"FY97P1";#N/A,#N/A,FALSE,"FY97Z312";#N/A,#N/A,FALSE,"FY97LRBC";#N/A,#N/A,FALSE,"FY97O";#N/A,#N/A,FALSE,"FY97DAM"}</definedName>
    <definedName name="asdasds" localSheetId="8" hidden="1">{#N/A,#N/A,FALSE,"FY97P1";#N/A,#N/A,FALSE,"FY97Z312";#N/A,#N/A,FALSE,"FY97LRBC";#N/A,#N/A,FALSE,"FY97O";#N/A,#N/A,FALSE,"FY97DAM"}</definedName>
    <definedName name="asdasds" localSheetId="39" hidden="1">{#N/A,#N/A,FALSE,"FY97P1";#N/A,#N/A,FALSE,"FY97Z312";#N/A,#N/A,FALSE,"FY97LRBC";#N/A,#N/A,FALSE,"FY97O";#N/A,#N/A,FALSE,"FY97DAM"}</definedName>
    <definedName name="asdasds" localSheetId="37" hidden="1">{#N/A,#N/A,FALSE,"FY97P1";#N/A,#N/A,FALSE,"FY97Z312";#N/A,#N/A,FALSE,"FY97LRBC";#N/A,#N/A,FALSE,"FY97O";#N/A,#N/A,FALSE,"FY97DAM"}</definedName>
    <definedName name="asdasds" localSheetId="75" hidden="1">{#N/A,#N/A,FALSE,"FY97P1";#N/A,#N/A,FALSE,"FY97Z312";#N/A,#N/A,FALSE,"FY97LRBC";#N/A,#N/A,FALSE,"FY97O";#N/A,#N/A,FALSE,"FY97DAM"}</definedName>
    <definedName name="asdasds" localSheetId="65" hidden="1">{#N/A,#N/A,FALSE,"FY97P1";#N/A,#N/A,FALSE,"FY97Z312";#N/A,#N/A,FALSE,"FY97LRBC";#N/A,#N/A,FALSE,"FY97O";#N/A,#N/A,FALSE,"FY97DAM"}</definedName>
    <definedName name="asdasds" localSheetId="27" hidden="1">{#N/A,#N/A,FALSE,"FY97P1";#N/A,#N/A,FALSE,"FY97Z312";#N/A,#N/A,FALSE,"FY97LRBC";#N/A,#N/A,FALSE,"FY97O";#N/A,#N/A,FALSE,"FY97DAM"}</definedName>
    <definedName name="asdasds" localSheetId="2" hidden="1">{#N/A,#N/A,FALSE,"FY97P1";#N/A,#N/A,FALSE,"FY97Z312";#N/A,#N/A,FALSE,"FY97LRBC";#N/A,#N/A,FALSE,"FY97O";#N/A,#N/A,FALSE,"FY97DAM"}</definedName>
    <definedName name="asdasds" localSheetId="29" hidden="1">{#N/A,#N/A,FALSE,"FY97P1";#N/A,#N/A,FALSE,"FY97Z312";#N/A,#N/A,FALSE,"FY97LRBC";#N/A,#N/A,FALSE,"FY97O";#N/A,#N/A,FALSE,"FY97DAM"}</definedName>
    <definedName name="asdasds" localSheetId="78" hidden="1">{#N/A,#N/A,FALSE,"FY97P1";#N/A,#N/A,FALSE,"FY97Z312";#N/A,#N/A,FALSE,"FY97LRBC";#N/A,#N/A,FALSE,"FY97O";#N/A,#N/A,FALSE,"FY97DAM"}</definedName>
    <definedName name="asdasds" localSheetId="3" hidden="1">{#N/A,#N/A,FALSE,"FY97P1";#N/A,#N/A,FALSE,"FY97Z312";#N/A,#N/A,FALSE,"FY97LRBC";#N/A,#N/A,FALSE,"FY97O";#N/A,#N/A,FALSE,"FY97DAM"}</definedName>
    <definedName name="asdasds" localSheetId="1" hidden="1">{#N/A,#N/A,FALSE,"FY97P1";#N/A,#N/A,FALSE,"FY97Z312";#N/A,#N/A,FALSE,"FY97LRBC";#N/A,#N/A,FALSE,"FY97O";#N/A,#N/A,FALSE,"FY97DAM"}</definedName>
    <definedName name="asdasds" hidden="1">{#N/A,#N/A,FALSE,"FY97P1";#N/A,#N/A,FALSE,"FY97Z312";#N/A,#N/A,FALSE,"FY97LRBC";#N/A,#N/A,FALSE,"FY97O";#N/A,#N/A,FALSE,"FY97DAM"}</definedName>
    <definedName name="asdasfsdfa" localSheetId="10" hidden="1">{#N/A,#N/A,FALSE,"FY97P1";#N/A,#N/A,FALSE,"FY97Z312";#N/A,#N/A,FALSE,"FY97LRBC";#N/A,#N/A,FALSE,"FY97O";#N/A,#N/A,FALSE,"FY97DAM"}</definedName>
    <definedName name="asdasfsdfa" localSheetId="8" hidden="1">{#N/A,#N/A,FALSE,"FY97P1";#N/A,#N/A,FALSE,"FY97Z312";#N/A,#N/A,FALSE,"FY97LRBC";#N/A,#N/A,FALSE,"FY97O";#N/A,#N/A,FALSE,"FY97DAM"}</definedName>
    <definedName name="asdasfsdfa" localSheetId="39" hidden="1">{#N/A,#N/A,FALSE,"FY97P1";#N/A,#N/A,FALSE,"FY97Z312";#N/A,#N/A,FALSE,"FY97LRBC";#N/A,#N/A,FALSE,"FY97O";#N/A,#N/A,FALSE,"FY97DAM"}</definedName>
    <definedName name="asdasfsdfa" localSheetId="37" hidden="1">{#N/A,#N/A,FALSE,"FY97P1";#N/A,#N/A,FALSE,"FY97Z312";#N/A,#N/A,FALSE,"FY97LRBC";#N/A,#N/A,FALSE,"FY97O";#N/A,#N/A,FALSE,"FY97DAM"}</definedName>
    <definedName name="asdasfsdfa" localSheetId="75" hidden="1">{#N/A,#N/A,FALSE,"FY97P1";#N/A,#N/A,FALSE,"FY97Z312";#N/A,#N/A,FALSE,"FY97LRBC";#N/A,#N/A,FALSE,"FY97O";#N/A,#N/A,FALSE,"FY97DAM"}</definedName>
    <definedName name="asdasfsdfa" localSheetId="65" hidden="1">{#N/A,#N/A,FALSE,"FY97P1";#N/A,#N/A,FALSE,"FY97Z312";#N/A,#N/A,FALSE,"FY97LRBC";#N/A,#N/A,FALSE,"FY97O";#N/A,#N/A,FALSE,"FY97DAM"}</definedName>
    <definedName name="asdasfsdfa" localSheetId="27" hidden="1">{#N/A,#N/A,FALSE,"FY97P1";#N/A,#N/A,FALSE,"FY97Z312";#N/A,#N/A,FALSE,"FY97LRBC";#N/A,#N/A,FALSE,"FY97O";#N/A,#N/A,FALSE,"FY97DAM"}</definedName>
    <definedName name="asdasfsdfa" localSheetId="2" hidden="1">{#N/A,#N/A,FALSE,"FY97P1";#N/A,#N/A,FALSE,"FY97Z312";#N/A,#N/A,FALSE,"FY97LRBC";#N/A,#N/A,FALSE,"FY97O";#N/A,#N/A,FALSE,"FY97DAM"}</definedName>
    <definedName name="asdasfsdfa" localSheetId="29" hidden="1">{#N/A,#N/A,FALSE,"FY97P1";#N/A,#N/A,FALSE,"FY97Z312";#N/A,#N/A,FALSE,"FY97LRBC";#N/A,#N/A,FALSE,"FY97O";#N/A,#N/A,FALSE,"FY97DAM"}</definedName>
    <definedName name="asdasfsdfa" localSheetId="78" hidden="1">{#N/A,#N/A,FALSE,"FY97P1";#N/A,#N/A,FALSE,"FY97Z312";#N/A,#N/A,FALSE,"FY97LRBC";#N/A,#N/A,FALSE,"FY97O";#N/A,#N/A,FALSE,"FY97DAM"}</definedName>
    <definedName name="asdasfsdfa" localSheetId="3" hidden="1">{#N/A,#N/A,FALSE,"FY97P1";#N/A,#N/A,FALSE,"FY97Z312";#N/A,#N/A,FALSE,"FY97LRBC";#N/A,#N/A,FALSE,"FY97O";#N/A,#N/A,FALSE,"FY97DAM"}</definedName>
    <definedName name="asdasfsdfa" localSheetId="1" hidden="1">{#N/A,#N/A,FALSE,"FY97P1";#N/A,#N/A,FALSE,"FY97Z312";#N/A,#N/A,FALSE,"FY97LRBC";#N/A,#N/A,FALSE,"FY97O";#N/A,#N/A,FALSE,"FY97DAM"}</definedName>
    <definedName name="asdasfsdfa" hidden="1">{#N/A,#N/A,FALSE,"FY97P1";#N/A,#N/A,FALSE,"FY97Z312";#N/A,#N/A,FALSE,"FY97LRBC";#N/A,#N/A,FALSE,"FY97O";#N/A,#N/A,FALSE,"FY97DAM"}</definedName>
    <definedName name="awer" localSheetId="75" hidden="1">#REF!</definedName>
    <definedName name="awer" hidden="1">#REF!</definedName>
    <definedName name="Balances" localSheetId="39">'C-11'!#REF!</definedName>
    <definedName name="Balances" localSheetId="1">#REF!</definedName>
    <definedName name="Balances">'[9]Balance total solamente'!#REF!</definedName>
    <definedName name="bb"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M0FFQkVFMkZCRDk1NEY0OT" hidden="1">#REF!</definedName>
    <definedName name="bb_M0I1RkJFNDJBNUJENEU4N0" hidden="1">#REF!</definedName>
    <definedName name="bb_M0I3RUFGRjQ3OEY0NEE4RT" hidden="1">#REF!</definedName>
    <definedName name="bb_M0I4QjQwNkY4NUNFNDRGNz" hidden="1">#REF!</definedName>
    <definedName name="bb_M0IyMkQ3MUJCQjYyNEU1OT" hidden="1">#REF!</definedName>
    <definedName name="bb_M0JCNUREQTJCNTc4NDlGMz" hidden="1">#REF!</definedName>
    <definedName name="bb_M0JDN0E0ODg5QzQ2NDQxRE" hidden="1">#REF!</definedName>
    <definedName name="bb_M0Q1Q0M4MjA5NEJGNDY0Nk" hidden="1">#REF!</definedName>
    <definedName name="bb_M0Q5RTNENEU0QTk3NDhFMj" hidden="1">#REF!</definedName>
    <definedName name="bb_M0U0NTY0NEY4QjU4NDUwMj" hidden="1">#REF!</definedName>
    <definedName name="bb_M0VCODYwMkI1NjVDNDgyQz" hidden="1">#REF!</definedName>
    <definedName name="bb_M0VDNTdGQzczQTJBNDU5QU" hidden="1">#REF!</definedName>
    <definedName name="bb_M0YwMUZDMDdDMkM1NDczQz" hidden="1">#REF!</definedName>
    <definedName name="bb_M0ZCQTgyMjhEODJBNERDRD" hidden="1">#REF!</definedName>
    <definedName name="bb_M0ZGQzUwQUYzOTFCNEY2Rj" hidden="1">#REF!</definedName>
    <definedName name="bb_MDA2QUVGMzg5M0NDNDNFRU" hidden="1">#REF!</definedName>
    <definedName name="bb_MDAyNEFFMTA5MjFFNEMwQU" hidden="1">#REF!</definedName>
    <definedName name="bb_MDBGMzFERTdCNEJCNEVGQU" hidden="1">#REF!</definedName>
    <definedName name="bb_MDc0MTBCOEJGRThDNERDME" hidden="1">#REF!</definedName>
    <definedName name="bb_MDdCRkZENDg3NTkxNEVFRT" hidden="1">#REF!</definedName>
    <definedName name="bb_MDE2NzJDQzIxMDBENDIwOE" hidden="1">#REF!</definedName>
    <definedName name="bb_MDFBMEM2MTkzM0I3NDVGQU" hidden="1">#REF!</definedName>
    <definedName name="bb_MDg4MjQ0ODIwNzg4NEFDNk" hidden="1">#REF!</definedName>
    <definedName name="bb_MDgxMjNDRDIyN0M4NDdBND" localSheetId="10" hidden="1">#REF!</definedName>
    <definedName name="bb_MDgxMjNDRDIyN0M4NDdBND" localSheetId="8" hidden="1">#REF!</definedName>
    <definedName name="bb_MDgxMjNDRDIyN0M4NDdBND" localSheetId="37" hidden="1">#REF!</definedName>
    <definedName name="bb_MDgxMjNDRDIyN0M4NDdBND" localSheetId="75" hidden="1">#REF!</definedName>
    <definedName name="bb_MDgxMjNDRDIyN0M4NDdBND" localSheetId="65" hidden="1">#REF!</definedName>
    <definedName name="bb_MDgxMjNDRDIyN0M4NDdBND" hidden="1">#REF!</definedName>
    <definedName name="bb_MDhBQTkyOTNBMDQ5NEY4N0" localSheetId="10" hidden="1">#REF!</definedName>
    <definedName name="bb_MDhBQTkyOTNBMDQ5NEY4N0" localSheetId="8" hidden="1">#REF!</definedName>
    <definedName name="bb_MDhBQTkyOTNBMDQ5NEY4N0" localSheetId="37" hidden="1">#REF!</definedName>
    <definedName name="bb_MDhBQTkyOTNBMDQ5NEY4N0" localSheetId="65" hidden="1">#REF!</definedName>
    <definedName name="bb_MDhBQTkyOTNBMDQ5NEY4N0" hidden="1">#REF!</definedName>
    <definedName name="bb_MDhCOTVCREVDMDgyNEUwRD" localSheetId="10" hidden="1">#REF!</definedName>
    <definedName name="bb_MDhCOTVCREVDMDgyNEUwRD" localSheetId="8" hidden="1">#REF!</definedName>
    <definedName name="bb_MDhCOTVCREVDMDgyNEUwRD" localSheetId="37" hidden="1">#REF!</definedName>
    <definedName name="bb_MDhCOTVCREVDMDgyNEUwRD" localSheetId="65" hidden="1">#REF!</definedName>
    <definedName name="bb_MDhCOTVCREVDMDgyNEUwRD" hidden="1">#REF!</definedName>
    <definedName name="bb_MDJERjU3RTY0QjNCNDIwNT" localSheetId="10" hidden="1">#REF!</definedName>
    <definedName name="bb_MDJERjU3RTY0QjNCNDIwNT" localSheetId="8" hidden="1">#REF!</definedName>
    <definedName name="bb_MDJERjU3RTY0QjNCNDIwNT" localSheetId="37" hidden="1">#REF!</definedName>
    <definedName name="bb_MDJERjU3RTY0QjNCNDIwNT" localSheetId="75" hidden="1">#REF!</definedName>
    <definedName name="bb_MDJERjU3RTY0QjNCNDIwNT" localSheetId="65" hidden="1">#REF!</definedName>
    <definedName name="bb_MDJERjU3RTY0QjNCNDIwNT" hidden="1">#REF!</definedName>
    <definedName name="bb_MDJFNUE2Mzk5QURGNDU4OT" localSheetId="10" hidden="1">#REF!</definedName>
    <definedName name="bb_MDJFNUE2Mzk5QURGNDU4OT" localSheetId="8" hidden="1">#REF!</definedName>
    <definedName name="bb_MDJFNUE2Mzk5QURGNDU4OT" localSheetId="37" hidden="1">#REF!</definedName>
    <definedName name="bb_MDJFNUE2Mzk5QURGNDU4OT" localSheetId="65" hidden="1">#REF!</definedName>
    <definedName name="bb_MDJFNUE2Mzk5QURGNDU4OT" hidden="1">#REF!</definedName>
    <definedName name="bb_MDk0NTQxOTJENTc1NDVCOU" localSheetId="10" hidden="1">#REF!</definedName>
    <definedName name="bb_MDk0NTQxOTJENTc1NDVCOU" localSheetId="8" hidden="1">#REF!</definedName>
    <definedName name="bb_MDk0NTQxOTJENTc1NDVCOU" localSheetId="37" hidden="1">#REF!</definedName>
    <definedName name="bb_MDk0NTQxOTJENTc1NDVCOU" localSheetId="65" hidden="1">#REF!</definedName>
    <definedName name="bb_MDk0NTQxOTJENTc1NDVCOU" hidden="1">#REF!</definedName>
    <definedName name="bb_MDk1M0Y3RTQyNTJDNDU4NE" hidden="1">#REF!</definedName>
    <definedName name="bb_MDk5N0Y2NDNBODAyNDBBMT" hidden="1">#REF!</definedName>
    <definedName name="bb_MDkxNkZDNDNBMDc4NEEwOU" hidden="1">#REF!</definedName>
    <definedName name="bb_MDlEREE3MEY4QTNFNDE3NT" hidden="1">#REF!</definedName>
    <definedName name="bb_MDMxN0JGMTMxRTZFNDhFRU" hidden="1">#REF!</definedName>
    <definedName name="bb_MDNCMjE2MDY4QzcxNEI0Rk" hidden="1">#REF!</definedName>
    <definedName name="bb_MDQyQ0Q2RkU0Mjk3NEIxME" hidden="1">#REF!</definedName>
    <definedName name="bb_MDRBN0Q2Q0E1NTJENDc0Mz" hidden="1">#REF!</definedName>
    <definedName name="bb_MDRCODI5MkYzMjJDNEIyQj" hidden="1">#REF!</definedName>
    <definedName name="bb_MDU2MUM1Q0NGNzNCNDYxMT" hidden="1">#REF!</definedName>
    <definedName name="bb_MDUzOTlCRjE5ODc4NEEwND" localSheetId="10" hidden="1">#REF!</definedName>
    <definedName name="bb_MDUzOTlCRjE5ODc4NEEwND" localSheetId="8" hidden="1">#REF!</definedName>
    <definedName name="bb_MDUzOTlCRjE5ODc4NEEwND" localSheetId="37" hidden="1">#REF!</definedName>
    <definedName name="bb_MDUzOTlCRjE5ODc4NEEwND" localSheetId="75" hidden="1">#REF!</definedName>
    <definedName name="bb_MDUzOTlCRjE5ODc4NEEwND" localSheetId="65" hidden="1">#REF!</definedName>
    <definedName name="bb_MDUzOTlCRjE5ODc4NEEwND" hidden="1">#REF!</definedName>
    <definedName name="bb_MDY1Q0FFOTMwQjU4NEMzQU" localSheetId="10" hidden="1">#REF!</definedName>
    <definedName name="bb_MDY1Q0FFOTMwQjU4NEMzQU" localSheetId="8" hidden="1">#REF!</definedName>
    <definedName name="bb_MDY1Q0FFOTMwQjU4NEMzQU" localSheetId="37" hidden="1">#REF!</definedName>
    <definedName name="bb_MDY1Q0FFOTMwQjU4NEMzQU" localSheetId="65" hidden="1">#REF!</definedName>
    <definedName name="bb_MDY1Q0FFOTMwQjU4NEMzQU" hidden="1">#REF!</definedName>
    <definedName name="bb_MDY4MTgyOEJGMDNBNDBGOE" localSheetId="10" hidden="1">#REF!</definedName>
    <definedName name="bb_MDY4MTgyOEJGMDNBNDBGOE" localSheetId="8" hidden="1">#REF!</definedName>
    <definedName name="bb_MDY4MTgyOEJGMDNBNDBGOE" localSheetId="37" hidden="1">#REF!</definedName>
    <definedName name="bb_MDY4MTgyOEJGMDNBNDBGOE" localSheetId="65" hidden="1">#REF!</definedName>
    <definedName name="bb_MDY4MTgyOEJGMDNBNDBGOE" hidden="1">#REF!</definedName>
    <definedName name="bb_MEE3ODNFRkM4MURENEJFNj" hidden="1">#REF!</definedName>
    <definedName name="bb_MEI4NDUwNzVEMUI4NDdDOT" hidden="1">#REF!</definedName>
    <definedName name="bb_MEI4NEYwNzY0NjgxNEM3RE" hidden="1">#REF!</definedName>
    <definedName name="bb_MEJCRENBRDFBMTEzNEU3NU" hidden="1">#REF!</definedName>
    <definedName name="bb_MEM4NjdFOUY0RjNFNEFDRj" hidden="1">#REF!</definedName>
    <definedName name="bb_MENCQzBEM0E2NkEwNENGNk" hidden="1">#REF!</definedName>
    <definedName name="bb_MENDRjAwQ0MyMTQ4NDgyRk" hidden="1">#REF!</definedName>
    <definedName name="bb_MEQxMDE2QUI2MjZGNEI1Mz" hidden="1">#REF!</definedName>
    <definedName name="bb_MERDQkIxM0JDQTUxNDY4QU" hidden="1">#REF!</definedName>
    <definedName name="bb_MERDQkVGMkUwODhFNEE3Mz" hidden="1">#REF!</definedName>
    <definedName name="bb_MERERTkzNUEzN0M0NDVCRk" hidden="1">#REF!</definedName>
    <definedName name="bb_MEU3NTEwNkNFRTU4NDY3QU" hidden="1">#REF!</definedName>
    <definedName name="bb_MEUzRUI3REVBRURCNDRBQk" hidden="1">#REF!</definedName>
    <definedName name="bb_MEY3MzMyRDQwRkVGNDlGMD" hidden="1">#REF!</definedName>
    <definedName name="bb_MEYyM0VGNDBGMEZENDUzND" hidden="1">#REF!</definedName>
    <definedName name="bb_MjAyMTg5Q0U1QzJCNEE4ND" hidden="1">#REF!</definedName>
    <definedName name="bb_MjBFMTFEOUNFRUFENDdGMz" hidden="1">#REF!</definedName>
    <definedName name="bb_Mjc5NjlCNzMzMDM3NEY1RT" hidden="1">#REF!</definedName>
    <definedName name="bb_MjdGREFDRTdGNzgwNDI0Rj" hidden="1">#REF!</definedName>
    <definedName name="bb_MjE2NTE4RTY0MTVCNDVEOT" hidden="1">#REF!</definedName>
    <definedName name="bb_MjEwQkIyRkI4QzRBNDEzRj" hidden="1">#REF!</definedName>
    <definedName name="bb_Mjg1ODc0NjU1Q0JGNDhEMT" hidden="1">#REF!</definedName>
    <definedName name="bb_Mjg4RUVFOTQ1NkE1NEIzQ0" hidden="1">#REF!</definedName>
    <definedName name="bb_MjhBOTlDNTAyNzIwNENEOD" hidden="1">#REF!</definedName>
    <definedName name="bb_MjI4RDQzNUEyQjcyNDlDNk" hidden="1">#REF!</definedName>
    <definedName name="bb_MjIyOEE1NzY0MDk0NDA3OE" hidden="1">#REF!</definedName>
    <definedName name="bb_MjIyQkJBQjI4MDY1NEJCND" hidden="1">#REF!</definedName>
    <definedName name="bb_MjIzMDIwMDRGNUEzNDIwMk" hidden="1">#REF!</definedName>
    <definedName name="bb_MjMwQzk2NkQ3RjQxNDEyMD" hidden="1">#REF!</definedName>
    <definedName name="bb_MjQ0QkU5MkNDNkU2NDhBMz" hidden="1">#REF!</definedName>
    <definedName name="bb_MjRCQTQ4NUEzNUQ2NDBDQ0" hidden="1">#REF!</definedName>
    <definedName name="bb_MjREQUY1QTA4NTFENDkxNz" hidden="1">#REF!</definedName>
    <definedName name="bb_MjU2MEREMzA5RDAwNDY5Q0" hidden="1">#REF!</definedName>
    <definedName name="bb_MjU5ODk2OTY1RTUxNDdGQj" hidden="1">#REF!</definedName>
    <definedName name="bb_MjUxQUFBRTkwREZGNDRFQT" hidden="1">#REF!</definedName>
    <definedName name="bb_MjVBN0M0MjYzOTNFNDY5Mk" hidden="1">#REF!</definedName>
    <definedName name="bb_MjVCNTdBOUQ2OUI2NEFEOU" localSheetId="10" hidden="1">#REF!</definedName>
    <definedName name="bb_MjVCNTdBOUQ2OUI2NEFEOU" localSheetId="8" hidden="1">#REF!</definedName>
    <definedName name="bb_MjVCNTdBOUQ2OUI2NEFEOU" localSheetId="37" hidden="1">#REF!</definedName>
    <definedName name="bb_MjVCNTdBOUQ2OUI2NEFEOU" localSheetId="75" hidden="1">#REF!</definedName>
    <definedName name="bb_MjVCNTdBOUQ2OUI2NEFEOU" localSheetId="65" hidden="1">#REF!</definedName>
    <definedName name="bb_MjVCNTdBOUQ2OUI2NEFEOU" hidden="1">#REF!</definedName>
    <definedName name="bb_MjVEQ0MxNUVFM0Y3NDA0RU" localSheetId="10" hidden="1">#REF!</definedName>
    <definedName name="bb_MjVEQ0MxNUVFM0Y3NDA0RU" localSheetId="8" hidden="1">#REF!</definedName>
    <definedName name="bb_MjVEQ0MxNUVFM0Y3NDA0RU" localSheetId="37" hidden="1">#REF!</definedName>
    <definedName name="bb_MjVEQ0MxNUVFM0Y3NDA0RU" localSheetId="65" hidden="1">#REF!</definedName>
    <definedName name="bb_MjVEQ0MxNUVFM0Y3NDA0RU" hidden="1">#REF!</definedName>
    <definedName name="bb_MjY0OEQ2QjJDRUM5NDU0RE" localSheetId="10" hidden="1">#REF!</definedName>
    <definedName name="bb_MjY0OEQ2QjJDRUM5NDU0RE" localSheetId="8" hidden="1">#REF!</definedName>
    <definedName name="bb_MjY0OEQ2QjJDRUM5NDU0RE" localSheetId="37" hidden="1">#REF!</definedName>
    <definedName name="bb_MjY0OEQ2QjJDRUM5NDU0RE" localSheetId="65" hidden="1">#REF!</definedName>
    <definedName name="bb_MjY0OEQ2QjJDRUM5NDU0RE" hidden="1">#REF!</definedName>
    <definedName name="bb_MjZENEJCMzkxQTQzNDVGOT" hidden="1">#REF!</definedName>
    <definedName name="bb_MkEwNjNDNzA3MjRBNDI1QT" hidden="1">#REF!</definedName>
    <definedName name="bb_MkEwNkJDNDA1RDczNEIxMj" hidden="1">#REF!</definedName>
    <definedName name="bb_MkExMkQ5NTk2MEY5NEVCOD" hidden="1">#REF!</definedName>
    <definedName name="bb_MkFBMjdDNTFFQUMyNDIzRU" hidden="1">#REF!</definedName>
    <definedName name="bb_MkI1QjY3RjZBOUZGNDNGQz" hidden="1">#REF!</definedName>
    <definedName name="bb_MkI3NjcwMEJEOUEyNEQ0Q0" hidden="1">#REF!</definedName>
    <definedName name="bb_MkNDRDNBQTcxMUM0NDJCMk" hidden="1">#REF!</definedName>
    <definedName name="bb_MkNEQzY3RDc4QjQ1NDVFNj" hidden="1">#REF!</definedName>
    <definedName name="bb_MkQ1RUNCNERFRTkzNERFNk" hidden="1">#REF!</definedName>
    <definedName name="bb_MkQwM0I5RkE0N0M4NDYyRE" hidden="1">#REF!</definedName>
    <definedName name="bb_MkRCQUU1NzVERkI0NEQ1Qj" hidden="1">#REF!</definedName>
    <definedName name="bb_MkVDQ0NFNjc5MDlGNEFCRU" hidden="1">#REF!</definedName>
    <definedName name="bb_MkY1QjdBRTEyRDk3NDA2Mj" hidden="1">#REF!</definedName>
    <definedName name="bb_MkY3N0VDRTFDOTI0NENENT" hidden="1">#REF!</definedName>
    <definedName name="bb_MkZFQTg4NzJGRDhBNEQ4Qk" hidden="1">#REF!</definedName>
    <definedName name="bb_MTBCNDQ3OEE5NDFBNDMxND" hidden="1">#REF!</definedName>
    <definedName name="bb_MTc2QjMwRDNDODUzNEYxMk" hidden="1">#REF!</definedName>
    <definedName name="bb_MTdGMTA1NjAxRTlCNEZCRj" hidden="1">#REF!</definedName>
    <definedName name="bb_MTE0NDNGQ0ExQTEwNDQ3QT" hidden="1">#REF!</definedName>
    <definedName name="bb_MTEyQTVGQzk0OUQ4NDVDMz" hidden="1">#REF!</definedName>
    <definedName name="bb_MTFBOUY0OEYwQjI5NDQyQ0" hidden="1">#REF!</definedName>
    <definedName name="bb_MTFDQTdGNEJGQzVGNDNBMk" localSheetId="10" hidden="1">#REF!</definedName>
    <definedName name="bb_MTFDQTdGNEJGQzVGNDNBMk" localSheetId="8" hidden="1">#REF!</definedName>
    <definedName name="bb_MTFDQTdGNEJGQzVGNDNBMk" localSheetId="37" hidden="1">#REF!</definedName>
    <definedName name="bb_MTFDQTdGNEJGQzVGNDNBMk" localSheetId="75" hidden="1">#REF!</definedName>
    <definedName name="bb_MTFDQTdGNEJGQzVGNDNBMk" localSheetId="65" hidden="1">#REF!</definedName>
    <definedName name="bb_MTFDQTdGNEJGQzVGNDNBMk" hidden="1">#REF!</definedName>
    <definedName name="bb_MTg4M0M3NUMxRTgxNDNCMj" localSheetId="10" hidden="1">#REF!</definedName>
    <definedName name="bb_MTg4M0M3NUMxRTgxNDNCMj" localSheetId="8" hidden="1">#REF!</definedName>
    <definedName name="bb_MTg4M0M3NUMxRTgxNDNCMj" localSheetId="37" hidden="1">#REF!</definedName>
    <definedName name="bb_MTg4M0M3NUMxRTgxNDNCMj" localSheetId="65" hidden="1">#REF!</definedName>
    <definedName name="bb_MTg4M0M3NUMxRTgxNDNCMj" hidden="1">#REF!</definedName>
    <definedName name="bb_MThCN0Y4RTI1Qjc2NEVENT" localSheetId="10" hidden="1">#REF!</definedName>
    <definedName name="bb_MThCN0Y4RTI1Qjc2NEVENT" localSheetId="8" hidden="1">#REF!</definedName>
    <definedName name="bb_MThCN0Y4RTI1Qjc2NEVENT" localSheetId="37" hidden="1">#REF!</definedName>
    <definedName name="bb_MThCN0Y4RTI1Qjc2NEVENT" localSheetId="65" hidden="1">#REF!</definedName>
    <definedName name="bb_MThCN0Y4RTI1Qjc2NEVENT" hidden="1">#REF!</definedName>
    <definedName name="bb_MTI0NkY2OEM4M0IwNEVBOE" localSheetId="10" hidden="1">#REF!</definedName>
    <definedName name="bb_MTI0NkY2OEM4M0IwNEVBOE" localSheetId="8" hidden="1">#REF!</definedName>
    <definedName name="bb_MTI0NkY2OEM4M0IwNEVBOE" localSheetId="37" hidden="1">#REF!</definedName>
    <definedName name="bb_MTI0NkY2OEM4M0IwNEVBOE" localSheetId="75" hidden="1">#REF!</definedName>
    <definedName name="bb_MTI0NkY2OEM4M0IwNEVBOE" localSheetId="65" hidden="1">#REF!</definedName>
    <definedName name="bb_MTI0NkY2OEM4M0IwNEVBOE" hidden="1">#REF!</definedName>
    <definedName name="bb_MTIyM0I2MTg5RTI5NDExQU" localSheetId="10" hidden="1">#REF!</definedName>
    <definedName name="bb_MTIyM0I2MTg5RTI5NDExQU" localSheetId="8" hidden="1">#REF!</definedName>
    <definedName name="bb_MTIyM0I2MTg5RTI5NDExQU" localSheetId="37" hidden="1">#REF!</definedName>
    <definedName name="bb_MTIyM0I2MTg5RTI5NDExQU" localSheetId="65" hidden="1">#REF!</definedName>
    <definedName name="bb_MTIyM0I2MTg5RTI5NDExQU" hidden="1">#REF!</definedName>
    <definedName name="bb_MTk0QzI4MzBCQzNFNDI4OU" localSheetId="10" hidden="1">#REF!</definedName>
    <definedName name="bb_MTk0QzI4MzBCQzNFNDI4OU" localSheetId="8" hidden="1">#REF!</definedName>
    <definedName name="bb_MTk0QzI4MzBCQzNFNDI4OU" localSheetId="37" hidden="1">#REF!</definedName>
    <definedName name="bb_MTk0QzI4MzBCQzNFNDI4OU" localSheetId="65" hidden="1">#REF!</definedName>
    <definedName name="bb_MTk0QzI4MzBCQzNFNDI4OU" hidden="1">#REF!</definedName>
    <definedName name="bb_MTlFMTlDM0RDNzIyNEU5Q0" hidden="1">#REF!</definedName>
    <definedName name="bb_MTM3M0I2M0UzQjY4NDY0RT" hidden="1">#REF!</definedName>
    <definedName name="bb_MTMwMjYyRTEyMDAyNEU0Mj" hidden="1">#REF!</definedName>
    <definedName name="bb_MTMxMERFRjlBQUU4NEQ2Q0" hidden="1">#REF!</definedName>
    <definedName name="bb_MTRCNjcyMDNFNDU5NDRGQ0" hidden="1">#REF!</definedName>
    <definedName name="bb_MTRGRUJERUEwQTBDNDAwND" hidden="1">#REF!</definedName>
    <definedName name="bb_MTU0OURGMEM0MkMxNDU2MT" hidden="1">#REF!</definedName>
    <definedName name="bb_MTU2Q0Q4ODBFMkQwNEY4Rj" hidden="1">#REF!</definedName>
    <definedName name="bb_MTUyOEE5NDdFRTVGNEQxOT" hidden="1">#REF!</definedName>
    <definedName name="bb_MTVBQTgzQkY5RUMxNDBBOT" hidden="1">#REF!</definedName>
    <definedName name="bb_MTVDODdBQ0MwNDk1NEY4RT" hidden="1">#REF!</definedName>
    <definedName name="bb_MTYzOTEzODVEOEIyNENGNj" hidden="1">#REF!</definedName>
    <definedName name="bb_MUFBMDIzNUVDNjA5NDQ4N0" hidden="1">#REF!</definedName>
    <definedName name="bb_MUIwMTY5RDAzN0ZDNDc5ME" hidden="1">#REF!</definedName>
    <definedName name="bb_MUMxNTBCODg2RjNFNERFOU" hidden="1">#REF!</definedName>
    <definedName name="bb_MUQ3QTMxMjMzRjdFNENBQz" hidden="1">#REF!</definedName>
    <definedName name="bb_MUQ5NkRDQTA5NjYzNEQzRT" localSheetId="10" hidden="1">#REF!</definedName>
    <definedName name="bb_MUQ5NkRDQTA5NjYzNEQzRT" localSheetId="8" hidden="1">#REF!</definedName>
    <definedName name="bb_MUQ5NkRDQTA5NjYzNEQzRT" localSheetId="37" hidden="1">#REF!</definedName>
    <definedName name="bb_MUQ5NkRDQTA5NjYzNEQzRT" localSheetId="75" hidden="1">#REF!</definedName>
    <definedName name="bb_MUQ5NkRDQTA5NjYzNEQzRT" localSheetId="65" hidden="1">#REF!</definedName>
    <definedName name="bb_MUQ5NkRDQTA5NjYzNEQzRT" hidden="1">#REF!</definedName>
    <definedName name="bb_MUQwQTUxQkZDREVFNDkzOU" localSheetId="10" hidden="1">#REF!</definedName>
    <definedName name="bb_MUQwQTUxQkZDREVFNDkzOU" localSheetId="8" hidden="1">#REF!</definedName>
    <definedName name="bb_MUQwQTUxQkZDREVFNDkzOU" localSheetId="37" hidden="1">#REF!</definedName>
    <definedName name="bb_MUQwQTUxQkZDREVFNDkzOU" localSheetId="65" hidden="1">#REF!</definedName>
    <definedName name="bb_MUQwQTUxQkZDREVFNDkzOU" hidden="1">#REF!</definedName>
    <definedName name="bb_MUQxREIzMjcyQzZBNEIxQj" localSheetId="10" hidden="1">#REF!</definedName>
    <definedName name="bb_MUQxREIzMjcyQzZBNEIxQj" localSheetId="8" hidden="1">#REF!</definedName>
    <definedName name="bb_MUQxREIzMjcyQzZBNEIxQj" localSheetId="37" hidden="1">#REF!</definedName>
    <definedName name="bb_MUQxREIzMjcyQzZBNEIxQj" localSheetId="65" hidden="1">#REF!</definedName>
    <definedName name="bb_MUQxREIzMjcyQzZBNEIxQj" hidden="1">#REF!</definedName>
    <definedName name="bb_MUQyNkNGNzE3RjE5NEZFMU" hidden="1">#REF!</definedName>
    <definedName name="bb_MUQyNkVGRjM0RjI2NDI3Qk" hidden="1">#REF!</definedName>
    <definedName name="bb_MURFOTI2NjE4NjdCNENFQ0" hidden="1">#REF!</definedName>
    <definedName name="bb_MUU2RjZGMkY2QTA5NDJCRU" hidden="1">#REF!</definedName>
    <definedName name="bb_MUU4N0NBMkQxMjUxNDAxQT" hidden="1">#REF!</definedName>
    <definedName name="bb_MUU5QTE1MEExMEVFNENFME" hidden="1">#REF!</definedName>
    <definedName name="bb_MUUyNUUzNzhEMTg5NDUzME" hidden="1">#REF!</definedName>
    <definedName name="bb_MUUyNzYxM0JFREY1NDExMz" hidden="1">#REF!</definedName>
    <definedName name="bb_MUVCODAwM0Q1QjJENDdERU" hidden="1">#REF!</definedName>
    <definedName name="bb_MzAzOUY5QzkxRkYxNEVCRj" hidden="1">#REF!</definedName>
    <definedName name="bb_MzBEMkRGNjYyRUM4NEE2Qz" hidden="1">#REF!</definedName>
    <definedName name="bb_MzE3RjQ0RkZEMzM2NDJBQz" hidden="1">#REF!</definedName>
    <definedName name="bb_MzgwNDU4QTI2MzIzNDhFQz" hidden="1">#REF!</definedName>
    <definedName name="bb_MzhBRDREQUJFMTZFNEY1OU" hidden="1">#REF!</definedName>
    <definedName name="bb_MzhCNDMyMDNERDA2NDI4ME" hidden="1">#REF!</definedName>
    <definedName name="bb_MzI1Q0IxRjg1Q0Y2NDU4RE" hidden="1">#REF!</definedName>
    <definedName name="bb_MzJBN0Q4NTJCNkE3NDAxNT" hidden="1">#REF!</definedName>
    <definedName name="bb_MzJDMTlCNTJBNkVFNDgyQ0" hidden="1">#REF!</definedName>
    <definedName name="bb_MzM1QjU0OTVCOUZGNEIxMT" hidden="1">#REF!</definedName>
    <definedName name="bb_MzM4QkQzRTA2MDZCNEQyMT" hidden="1">#REF!</definedName>
    <definedName name="bb_MzNDMTBDQ0JFQkM2NDlFMj" hidden="1">#REF!</definedName>
    <definedName name="bb_MzQ5RDlFMzkzQTIwNDA1QU" hidden="1">#REF!</definedName>
    <definedName name="bb_MzRDRDhEMjY1MjIzNERBMj" hidden="1">#REF!</definedName>
    <definedName name="bb_MzVFNDU0OUY4Q0ZBNDMzRT" hidden="1">#REF!</definedName>
    <definedName name="bb_MzVGQUY2MjY1NkVDNDUzMk" hidden="1">#REF!</definedName>
    <definedName name="bb_MzYxOTkwN0UzODY1NEE1QT" hidden="1">#REF!</definedName>
    <definedName name="bb_MzZGQkFDRDM2NURCNDVEMT" hidden="1">#REF!</definedName>
    <definedName name="bb_N0E3RTg0QTBGM0IzNDZBRE" localSheetId="10" hidden="1">#REF!</definedName>
    <definedName name="bb_N0E3RTg0QTBGM0IzNDZBRE" localSheetId="8" hidden="1">#REF!</definedName>
    <definedName name="bb_N0E3RTg0QTBGM0IzNDZBRE" localSheetId="37" hidden="1">#REF!</definedName>
    <definedName name="bb_N0E3RTg0QTBGM0IzNDZBRE" localSheetId="75" hidden="1">#REF!</definedName>
    <definedName name="bb_N0E3RTg0QTBGM0IzNDZBRE" localSheetId="65" hidden="1">#REF!</definedName>
    <definedName name="bb_N0E3RTg0QTBGM0IzNDZBRE" hidden="1">#REF!</definedName>
    <definedName name="bb_N0FBNjQxQ0MxNjFCNEFDQT" localSheetId="75" hidden="1">#REF!</definedName>
    <definedName name="bb_N0FBNjQxQ0MxNjFCNEFDQT" hidden="1">#REF!</definedName>
    <definedName name="bb_N0FGRUZCODlGNTlDNEFFMz" localSheetId="10" hidden="1">#REF!</definedName>
    <definedName name="bb_N0FGRUZCODlGNTlDNEFFMz" localSheetId="8" hidden="1">#REF!</definedName>
    <definedName name="bb_N0FGRUZCODlGNTlDNEFFMz" localSheetId="37" hidden="1">#REF!</definedName>
    <definedName name="bb_N0FGRUZCODlGNTlDNEFFMz" localSheetId="75" hidden="1">#REF!</definedName>
    <definedName name="bb_N0FGRUZCODlGNTlDNEFFMz" localSheetId="65" hidden="1">#REF!</definedName>
    <definedName name="bb_N0FGRUZCODlGNTlDNEFFMz" hidden="1">#REF!</definedName>
    <definedName name="bb_N0M0RDg2MzM0RUM0NDE5RE" localSheetId="10" hidden="1">#REF!</definedName>
    <definedName name="bb_N0M0RDg2MzM0RUM0NDE5RE" localSheetId="8" hidden="1">#REF!</definedName>
    <definedName name="bb_N0M0RDg2MzM0RUM0NDE5RE" localSheetId="37" hidden="1">#REF!</definedName>
    <definedName name="bb_N0M0RDg2MzM0RUM0NDE5RE" localSheetId="65" hidden="1">#REF!</definedName>
    <definedName name="bb_N0M0RDg2MzM0RUM0NDE5RE" hidden="1">#REF!</definedName>
    <definedName name="bb_N0MyODM2NUNCMUIyNERFQ0" localSheetId="10" hidden="1">#REF!</definedName>
    <definedName name="bb_N0MyODM2NUNCMUIyNERFQ0" localSheetId="8" hidden="1">#REF!</definedName>
    <definedName name="bb_N0MyODM2NUNCMUIyNERFQ0" localSheetId="37" hidden="1">#REF!</definedName>
    <definedName name="bb_N0MyODM2NUNCMUIyNERFQ0" localSheetId="65" hidden="1">#REF!</definedName>
    <definedName name="bb_N0MyODM2NUNCMUIyNERFQ0" hidden="1">#REF!</definedName>
    <definedName name="bb_N0Q3NjIyMjdGMjQ0NEU3MU" localSheetId="10" hidden="1">#REF!</definedName>
    <definedName name="bb_N0Q3NjIyMjdGMjQ0NEU3MU" localSheetId="8" hidden="1">#REF!</definedName>
    <definedName name="bb_N0Q3NjIyMjdGMjQ0NEU3MU" localSheetId="37" hidden="1">#REF!</definedName>
    <definedName name="bb_N0Q3NjIyMjdGMjQ0NEU3MU" localSheetId="75" hidden="1">#REF!</definedName>
    <definedName name="bb_N0Q3NjIyMjdGMjQ0NEU3MU" localSheetId="65" hidden="1">#REF!</definedName>
    <definedName name="bb_N0Q3NjIyMjdGMjQ0NEU3MU" hidden="1">#REF!</definedName>
    <definedName name="bb_N0RENERGRjhBMDBFNDkwMj" localSheetId="10" hidden="1">#REF!</definedName>
    <definedName name="bb_N0RENERGRjhBMDBFNDkwMj" localSheetId="8" hidden="1">#REF!</definedName>
    <definedName name="bb_N0RENERGRjhBMDBFNDkwMj" localSheetId="37" hidden="1">#REF!</definedName>
    <definedName name="bb_N0RENERGRjhBMDBFNDkwMj" localSheetId="65" hidden="1">#REF!</definedName>
    <definedName name="bb_N0RENERGRjhBMDBFNDkwMj" hidden="1">#REF!</definedName>
    <definedName name="bb_N0U3Qjk0RUU2REZDNEUzMk" localSheetId="10" hidden="1">#REF!</definedName>
    <definedName name="bb_N0U3Qjk0RUU2REZDNEUzMk" localSheetId="8" hidden="1">#REF!</definedName>
    <definedName name="bb_N0U3Qjk0RUU2REZDNEUzMk" localSheetId="37" hidden="1">#REF!</definedName>
    <definedName name="bb_N0U3Qjk0RUU2REZDNEUzMk" localSheetId="65" hidden="1">#REF!</definedName>
    <definedName name="bb_N0U3Qjk0RUU2REZDNEUzMk" hidden="1">#REF!</definedName>
    <definedName name="bb_N0UzMkNCRTc2RUJDNEJENT" hidden="1">#REF!</definedName>
    <definedName name="bb_N0VBRDBDQjg0QkUzNDlBQz" hidden="1">#REF!</definedName>
    <definedName name="bb_N0VCREQ1REM1OTYyNDhBQT" hidden="1">#REF!</definedName>
    <definedName name="bb_N0VDQjY1RDU0NkY0NEY2NU" hidden="1">#REF!</definedName>
    <definedName name="bb_N0ZCNUFGMTQwQjg1NEZEMU" hidden="1">#REF!</definedName>
    <definedName name="bb_N0ZEOUFCNzg0NDM4NDlFOE" hidden="1">#REF!</definedName>
    <definedName name="bb_NDA1MThDOTIzRjNENEU3OD" hidden="1">#REF!</definedName>
    <definedName name="bb_NDcxNkVGNThDNEYyNDhBOE" hidden="1">#REF!</definedName>
    <definedName name="bb_NDdCRDU1Qjg1RjBDNDBDMD" hidden="1">#REF!</definedName>
    <definedName name="bb_NDEzNEY0RDcxRkJFNEFEMk" hidden="1">#REF!</definedName>
    <definedName name="bb_NDEzNUMzOTRDREZGNEM0Q0" hidden="1">#REF!</definedName>
    <definedName name="bb_NDFFRkVFQkQyQjRCNDAyND" hidden="1">#REF!</definedName>
    <definedName name="bb_NDg0QzQyMUQyMUFDNEExMz" hidden="1">#REF!</definedName>
    <definedName name="bb_NDgwRkM2RUQxOUI5NDQ1RD" localSheetId="75" hidden="1">'[10]Ten Year Gaps'!#REF!</definedName>
    <definedName name="bb_NDgwRkM2RUQxOUI5NDQ1RD" hidden="1">#REF!</definedName>
    <definedName name="bb_NDgzNzE5N0QyQzhCNEU1OE" localSheetId="10" hidden="1">#REF!</definedName>
    <definedName name="bb_NDgzNzE5N0QyQzhCNEU1OE" localSheetId="8" hidden="1">#REF!</definedName>
    <definedName name="bb_NDgzNzE5N0QyQzhCNEU1OE" localSheetId="37" hidden="1">#REF!</definedName>
    <definedName name="bb_NDgzNzE5N0QyQzhCNEU1OE" localSheetId="75" hidden="1">#REF!</definedName>
    <definedName name="bb_NDgzNzE5N0QyQzhCNEU1OE" localSheetId="65" hidden="1">#REF!</definedName>
    <definedName name="bb_NDgzNzE5N0QyQzhCNEU1OE" hidden="1">#REF!</definedName>
    <definedName name="bb_NDhBOEY2MEE0RTcxNDY4Qj" localSheetId="10" hidden="1">#REF!</definedName>
    <definedName name="bb_NDhBOEY2MEE0RTcxNDY4Qj" localSheetId="8" hidden="1">#REF!</definedName>
    <definedName name="bb_NDhBOEY2MEE0RTcxNDY4Qj" localSheetId="37" hidden="1">#REF!</definedName>
    <definedName name="bb_NDhBOEY2MEE0RTcxNDY4Qj" localSheetId="65" hidden="1">#REF!</definedName>
    <definedName name="bb_NDhBOEY2MEE0RTcxNDY4Qj" hidden="1">#REF!</definedName>
    <definedName name="bb_NDI0QzE3RDM5RjZGNDg2ME" localSheetId="10" hidden="1">#REF!</definedName>
    <definedName name="bb_NDI0QzE3RDM5RjZGNDg2ME" localSheetId="8" hidden="1">#REF!</definedName>
    <definedName name="bb_NDI0QzE3RDM5RjZGNDg2ME" localSheetId="37" hidden="1">#REF!</definedName>
    <definedName name="bb_NDI0QzE3RDM5RjZGNDg2ME" localSheetId="65" hidden="1">#REF!</definedName>
    <definedName name="bb_NDI0QzE3RDM5RjZGNDg2ME" hidden="1">#REF!</definedName>
    <definedName name="bb_NDJBMTNFNjdGODQ2NDdBRD" localSheetId="10" hidden="1">#REF!</definedName>
    <definedName name="bb_NDJBMTNFNjdGODQ2NDdBRD" localSheetId="8" hidden="1">#REF!</definedName>
    <definedName name="bb_NDJBMTNFNjdGODQ2NDdBRD" localSheetId="37" hidden="1">#REF!</definedName>
    <definedName name="bb_NDJBMTNFNjdGODQ2NDdBRD" localSheetId="75" hidden="1">#REF!</definedName>
    <definedName name="bb_NDJBMTNFNjdGODQ2NDdBRD" localSheetId="65" hidden="1">#REF!</definedName>
    <definedName name="bb_NDJBMTNFNjdGODQ2NDdBRD" hidden="1">#REF!</definedName>
    <definedName name="bb_NDkxNDQxQjc2RUNFNDIwRE" localSheetId="10" hidden="1">#REF!</definedName>
    <definedName name="bb_NDkxNDQxQjc2RUNFNDIwRE" localSheetId="8" hidden="1">#REF!</definedName>
    <definedName name="bb_NDkxNDQxQjc2RUNFNDIwRE" localSheetId="37" hidden="1">#REF!</definedName>
    <definedName name="bb_NDkxNDQxQjc2RUNFNDIwRE" localSheetId="65" hidden="1">#REF!</definedName>
    <definedName name="bb_NDkxNDQxQjc2RUNFNDIwRE" hidden="1">#REF!</definedName>
    <definedName name="bb_NDkyM0FFOThBMjVFNEZGMk" localSheetId="10" hidden="1">#REF!</definedName>
    <definedName name="bb_NDkyM0FFOThBMjVFNEZGMk" localSheetId="8" hidden="1">#REF!</definedName>
    <definedName name="bb_NDkyM0FFOThBMjVFNEZGMk" localSheetId="37" hidden="1">#REF!</definedName>
    <definedName name="bb_NDkyM0FFOThBMjVFNEZGMk" localSheetId="65" hidden="1">#REF!</definedName>
    <definedName name="bb_NDkyM0FFOThBMjVFNEZGMk" hidden="1">#REF!</definedName>
    <definedName name="bb_NDlEMTBGRUVFNThDNEM2Qk" hidden="1">#REF!</definedName>
    <definedName name="bb_NDMwRjlDNjczNjQ0NDMzMk" hidden="1">#REF!</definedName>
    <definedName name="bb_NDMxRkE5OEJDNjQ4NEY5RT" hidden="1">#REF!</definedName>
    <definedName name="bb_NDQ3NjU3RjFCQUJFNDM0M0" hidden="1">#REF!</definedName>
    <definedName name="bb_NDU0OUQyREExQzFCNDA4NT" hidden="1">#REF!</definedName>
    <definedName name="bb_NDUzMEQxNUZEOUM4NDRBMk" hidden="1">#REF!</definedName>
    <definedName name="bb_NDVDMkU0N0VDQkNGNDZCNT" hidden="1">#REF!</definedName>
    <definedName name="bb_NDY1NDdCMkNBMTNFNDE5Qj" hidden="1">#REF!</definedName>
    <definedName name="bb_NDY1OTg1RDQyM0ZCNDBGRk" localSheetId="10" hidden="1">#REF!</definedName>
    <definedName name="bb_NDY1OTg1RDQyM0ZCNDBGRk" localSheetId="8" hidden="1">#REF!</definedName>
    <definedName name="bb_NDY1OTg1RDQyM0ZCNDBGRk" localSheetId="37" hidden="1">#REF!</definedName>
    <definedName name="bb_NDY1OTg1RDQyM0ZCNDBGRk" localSheetId="75" hidden="1">#REF!</definedName>
    <definedName name="bb_NDY1OTg1RDQyM0ZCNDBGRk" localSheetId="65" hidden="1">#REF!</definedName>
    <definedName name="bb_NDY1OTg1RDQyM0ZCNDBGRk" hidden="1">#REF!</definedName>
    <definedName name="bb_NEE2NUE5NkVGMUI2NEE2QU" localSheetId="10" hidden="1">#REF!</definedName>
    <definedName name="bb_NEE2NUE5NkVGMUI2NEE2QU" localSheetId="8" hidden="1">#REF!</definedName>
    <definedName name="bb_NEE2NUE5NkVGMUI2NEE2QU" localSheetId="37" hidden="1">#REF!</definedName>
    <definedName name="bb_NEE2NUE5NkVGMUI2NEE2QU" localSheetId="65" hidden="1">#REF!</definedName>
    <definedName name="bb_NEE2NUE5NkVGMUI2NEE2QU" hidden="1">#REF!</definedName>
    <definedName name="bb_NEE3QUMyODJBNkU5NDc5Nz" localSheetId="10" hidden="1">#REF!</definedName>
    <definedName name="bb_NEE3QUMyODJBNkU5NDc5Nz" localSheetId="8" hidden="1">#REF!</definedName>
    <definedName name="bb_NEE3QUMyODJBNkU5NDc5Nz" localSheetId="37" hidden="1">#REF!</definedName>
    <definedName name="bb_NEE3QUMyODJBNkU5NDc5Nz" localSheetId="65" hidden="1">#REF!</definedName>
    <definedName name="bb_NEE3QUMyODJBNkU5NDc5Nz" hidden="1">#REF!</definedName>
    <definedName name="bb_NEFFNTE0NzREM0Y5NDE5MT" hidden="1">#REF!</definedName>
    <definedName name="bb_NEI4M0UzQ0RCRTM4NEFBOE" hidden="1">#REF!</definedName>
    <definedName name="bb_NEI4NjIyNkRGRUFCNEEwOU" hidden="1">#REF!</definedName>
    <definedName name="bb_NEM4QzEwNTM0RDhENDI0NE" hidden="1">#REF!</definedName>
    <definedName name="bb_NEMwNzY2NEM2OUM3NDk1Mj" hidden="1">#REF!</definedName>
    <definedName name="bb_NEMxNUNBODI4MDFDNEUyRj" localSheetId="10" hidden="1">#REF!</definedName>
    <definedName name="bb_NEMxNUNBODI4MDFDNEUyRj" localSheetId="8" hidden="1">#REF!</definedName>
    <definedName name="bb_NEMxNUNBODI4MDFDNEUyRj" localSheetId="37" hidden="1">#REF!</definedName>
    <definedName name="bb_NEMxNUNBODI4MDFDNEUyRj" localSheetId="75" hidden="1">#REF!</definedName>
    <definedName name="bb_NEMxNUNBODI4MDFDNEUyRj" localSheetId="65" hidden="1">#REF!</definedName>
    <definedName name="bb_NEMxNUNBODI4MDFDNEUyRj" hidden="1">#REF!</definedName>
    <definedName name="bb_NENBNTQzQjE1N0MyNENBMk" localSheetId="10" hidden="1">#REF!</definedName>
    <definedName name="bb_NENBNTQzQjE1N0MyNENBMk" localSheetId="8" hidden="1">#REF!</definedName>
    <definedName name="bb_NENBNTQzQjE1N0MyNENBMk" localSheetId="37" hidden="1">#REF!</definedName>
    <definedName name="bb_NENBNTQzQjE1N0MyNENBMk" localSheetId="65" hidden="1">#REF!</definedName>
    <definedName name="bb_NENBNTQzQjE1N0MyNENBMk" hidden="1">#REF!</definedName>
    <definedName name="bb_NEQ2RkY0MkNCNzc3NDFGME" localSheetId="10" hidden="1">#REF!</definedName>
    <definedName name="bb_NEQ2RkY0MkNCNzc3NDFGME" localSheetId="8" hidden="1">#REF!</definedName>
    <definedName name="bb_NEQ2RkY0MkNCNzc3NDFGME" localSheetId="37" hidden="1">#REF!</definedName>
    <definedName name="bb_NEQ2RkY0MkNCNzc3NDFGME" localSheetId="65" hidden="1">#REF!</definedName>
    <definedName name="bb_NEQ2RkY0MkNCNzc3NDFGME" hidden="1">#REF!</definedName>
    <definedName name="bb_NEQ4RkYwQTAyOEUwNDZEQ0" hidden="1">#REF!</definedName>
    <definedName name="bb_NEQzNUFCNkRCM0Q4NEM0RD" hidden="1">#REF!</definedName>
    <definedName name="bb_NERGNzAyQzhGOEZDNDM3QU" localSheetId="10" hidden="1">#REF!</definedName>
    <definedName name="bb_NERGNzAyQzhGOEZDNDM3QU" localSheetId="8" hidden="1">#REF!</definedName>
    <definedName name="bb_NERGNzAyQzhGOEZDNDM3QU" localSheetId="37" hidden="1">#REF!</definedName>
    <definedName name="bb_NERGNzAyQzhGOEZDNDM3QU" localSheetId="75" hidden="1">#REF!</definedName>
    <definedName name="bb_NERGNzAyQzhGOEZDNDM3QU" localSheetId="65" hidden="1">#REF!</definedName>
    <definedName name="bb_NERGNzAyQzhGOEZDNDM3QU" hidden="1">#REF!</definedName>
    <definedName name="bb_NEU1N0JDMUI2QTc1NERGMT" localSheetId="10" hidden="1">#REF!</definedName>
    <definedName name="bb_NEU1N0JDMUI2QTc1NERGMT" localSheetId="8" hidden="1">#REF!</definedName>
    <definedName name="bb_NEU1N0JDMUI2QTc1NERGMT" localSheetId="37" hidden="1">#REF!</definedName>
    <definedName name="bb_NEU1N0JDMUI2QTc1NERGMT" localSheetId="65" hidden="1">#REF!</definedName>
    <definedName name="bb_NEU1N0JDMUI2QTc1NERGMT" hidden="1">#REF!</definedName>
    <definedName name="bb_NEU4NjI2NDIyNTQyNDk2ME" localSheetId="10" hidden="1">#REF!</definedName>
    <definedName name="bb_NEU4NjI2NDIyNTQyNDk2ME" localSheetId="8" hidden="1">#REF!</definedName>
    <definedName name="bb_NEU4NjI2NDIyNTQyNDk2ME" localSheetId="37" hidden="1">#REF!</definedName>
    <definedName name="bb_NEU4NjI2NDIyNTQyNDk2ME" localSheetId="65" hidden="1">#REF!</definedName>
    <definedName name="bb_NEU4NjI2NDIyNTQyNDk2ME" hidden="1">#REF!</definedName>
    <definedName name="bb_NEUwQ0YwMDJBQzEzNDJFNz" localSheetId="10" hidden="1">#REF!</definedName>
    <definedName name="bb_NEUwQ0YwMDJBQzEzNDJFNz" localSheetId="8" hidden="1">#REF!</definedName>
    <definedName name="bb_NEUwQ0YwMDJBQzEzNDJFNz" localSheetId="37" hidden="1">#REF!</definedName>
    <definedName name="bb_NEUwQ0YwMDJBQzEzNDJFNz" localSheetId="75" hidden="1">#REF!</definedName>
    <definedName name="bb_NEUwQ0YwMDJBQzEzNDJFNz" localSheetId="65" hidden="1">#REF!</definedName>
    <definedName name="bb_NEUwQ0YwMDJBQzEzNDJFNz" hidden="1">#REF!</definedName>
    <definedName name="bb_NEVFNzNBQjc5ODBDNDNCRj" localSheetId="10" hidden="1">#REF!</definedName>
    <definedName name="bb_NEVFNzNBQjc5ODBDNDNCRj" localSheetId="8" hidden="1">#REF!</definedName>
    <definedName name="bb_NEVFNzNBQjc5ODBDNDNCRj" localSheetId="37" hidden="1">#REF!</definedName>
    <definedName name="bb_NEVFNzNBQjc5ODBDNDNCRj" localSheetId="65" hidden="1">#REF!</definedName>
    <definedName name="bb_NEVFNzNBQjc5ODBDNDNCRj" hidden="1">#REF!</definedName>
    <definedName name="bb_NjA4NjA5MkVBRTkzNDgwRD" localSheetId="10" hidden="1">#REF!</definedName>
    <definedName name="bb_NjA4NjA5MkVBRTkzNDgwRD" localSheetId="8" hidden="1">#REF!</definedName>
    <definedName name="bb_NjA4NjA5MkVBRTkzNDgwRD" localSheetId="37" hidden="1">#REF!</definedName>
    <definedName name="bb_NjA4NjA5MkVBRTkzNDgwRD" localSheetId="65" hidden="1">#REF!</definedName>
    <definedName name="bb_NjA4NjA5MkVBRTkzNDgwRD" hidden="1">#REF!</definedName>
    <definedName name="bb_NjA4RjRDRkRDNEZBNDY3Mk" hidden="1">#REF!</definedName>
    <definedName name="bb_NjAwRDIyOTMzN0I4NDNEQT" hidden="1">#REF!</definedName>
    <definedName name="bb_NjcxNDY4MkZEQzdENDcxNE" localSheetId="10" hidden="1">#REF!</definedName>
    <definedName name="bb_NjcxNDY4MkZEQzdENDcxNE" localSheetId="8" hidden="1">#REF!</definedName>
    <definedName name="bb_NjcxNDY4MkZEQzdENDcxNE" localSheetId="37" hidden="1">#REF!</definedName>
    <definedName name="bb_NjcxNDY4MkZEQzdENDcxNE" localSheetId="75" hidden="1">#REF!</definedName>
    <definedName name="bb_NjcxNDY4MkZEQzdENDcxNE" localSheetId="65" hidden="1">#REF!</definedName>
    <definedName name="bb_NjcxNDY4MkZEQzdENDcxNE" hidden="1">#REF!</definedName>
    <definedName name="bb_NjczRUM5NTI3NEM3NEI5OD" localSheetId="10" hidden="1">#REF!</definedName>
    <definedName name="bb_NjczRUM5NTI3NEM3NEI5OD" localSheetId="8" hidden="1">#REF!</definedName>
    <definedName name="bb_NjczRUM5NTI3NEM3NEI5OD" localSheetId="37" hidden="1">#REF!</definedName>
    <definedName name="bb_NjczRUM5NTI3NEM3NEI5OD" localSheetId="65" hidden="1">#REF!</definedName>
    <definedName name="bb_NjczRUM5NTI3NEM3NEI5OD" hidden="1">#REF!</definedName>
    <definedName name="bb_NjdBOTNCQjgwOThGNDEwOE" localSheetId="10" hidden="1">#REF!</definedName>
    <definedName name="bb_NjdBOTNCQjgwOThGNDEwOE" localSheetId="8" hidden="1">#REF!</definedName>
    <definedName name="bb_NjdBOTNCQjgwOThGNDEwOE" localSheetId="37" hidden="1">#REF!</definedName>
    <definedName name="bb_NjdBOTNCQjgwOThGNDEwOE" localSheetId="65" hidden="1">#REF!</definedName>
    <definedName name="bb_NjdBOTNCQjgwOThGNDEwOE" hidden="1">#REF!</definedName>
    <definedName name="bb_NjdCQ0Y4RDAwNjEzNDI4M0" hidden="1">#REF!</definedName>
    <definedName name="bb_NjEyRjVGQkE0NzIxNDRCQj" hidden="1">#REF!</definedName>
    <definedName name="bb_Njg1NENGQTk3M0U5NEZEND" hidden="1">#REF!</definedName>
    <definedName name="bb_NjhDRTI2MzBEODAzNDcxOD" hidden="1">#REF!</definedName>
    <definedName name="bb_NjI3RTAyQ0YyNTdGNDQ2Qz" hidden="1">#REF!</definedName>
    <definedName name="bb_NjlFNTdDRUM3NURFNDMzQz" hidden="1">#REF!</definedName>
    <definedName name="bb_NjQyRTdEMDdBMUJGNDU4Qk" localSheetId="10" hidden="1">#REF!</definedName>
    <definedName name="bb_NjQyRTdEMDdBMUJGNDU4Qk" localSheetId="8" hidden="1">#REF!</definedName>
    <definedName name="bb_NjQyRTdEMDdBMUJGNDU4Qk" localSheetId="37" hidden="1">#REF!</definedName>
    <definedName name="bb_NjQyRTdEMDdBMUJGNDU4Qk" localSheetId="75" hidden="1">#REF!</definedName>
    <definedName name="bb_NjQyRTdEMDdBMUJGNDU4Qk" localSheetId="65" hidden="1">#REF!</definedName>
    <definedName name="bb_NjQyRTdEMDdBMUJGNDU4Qk" hidden="1">#REF!</definedName>
    <definedName name="bb_NjRGRUU0N0M2NTkyNDkwNE" localSheetId="10" hidden="1">#REF!</definedName>
    <definedName name="bb_NjRGRUU0N0M2NTkyNDkwNE" localSheetId="8" hidden="1">#REF!</definedName>
    <definedName name="bb_NjRGRUU0N0M2NTkyNDkwNE" localSheetId="37" hidden="1">#REF!</definedName>
    <definedName name="bb_NjRGRUU0N0M2NTkyNDkwNE" localSheetId="65" hidden="1">#REF!</definedName>
    <definedName name="bb_NjRGRUU0N0M2NTkyNDkwNE" hidden="1">#REF!</definedName>
    <definedName name="bb_NjU0MTFDQjdCRkI0NDYzNU" localSheetId="10" hidden="1">#REF!</definedName>
    <definedName name="bb_NjU0MTFDQjdCRkI0NDYzNU" localSheetId="8" hidden="1">#REF!</definedName>
    <definedName name="bb_NjU0MTFDQjdCRkI0NDYzNU" localSheetId="37" hidden="1">#REF!</definedName>
    <definedName name="bb_NjU0MTFDQjdCRkI0NDYzNU" localSheetId="65" hidden="1">#REF!</definedName>
    <definedName name="bb_NjU0MTFDQjdCRkI0NDYzNU" hidden="1">#REF!</definedName>
    <definedName name="bb_NjY4NEQyMzA2MDQ5NEZCMU" hidden="1">#REF!</definedName>
    <definedName name="bb_NjYzQzU3QTQ4QkM1NDJBOT" hidden="1">#REF!</definedName>
    <definedName name="bb_NjZCRTMyNUFDQURGNDAyNj" hidden="1">#REF!</definedName>
    <definedName name="bb_NkFGMTI2MkZCQURCNDZCND" hidden="1">#REF!</definedName>
    <definedName name="bb_NkI0NkFBOUY2RDU3NEJGOE" hidden="1">#REF!</definedName>
    <definedName name="bb_NkJDNDY2MDQyRUZFNDY5OT" hidden="1">#REF!</definedName>
    <definedName name="bb_NkM0RTAwOUJCRUZCNDYxM0" hidden="1">#REF!</definedName>
    <definedName name="bb_NkMwMTQyMkYzQjc3NDJCN0" localSheetId="10" hidden="1">#REF!</definedName>
    <definedName name="bb_NkMwMTQyMkYzQjc3NDJCN0" localSheetId="8" hidden="1">#REF!</definedName>
    <definedName name="bb_NkMwMTQyMkYzQjc3NDJCN0" localSheetId="37" hidden="1">#REF!</definedName>
    <definedName name="bb_NkMwMTQyMkYzQjc3NDJCN0" localSheetId="75" hidden="1">#REF!</definedName>
    <definedName name="bb_NkMwMTQyMkYzQjc3NDJCN0" localSheetId="65" hidden="1">#REF!</definedName>
    <definedName name="bb_NkMwMTQyMkYzQjc3NDJCN0" hidden="1">#REF!</definedName>
    <definedName name="bb_NkNBQkNGODQ4MDFCNEI1QU" localSheetId="10" hidden="1">#REF!</definedName>
    <definedName name="bb_NkNBQkNGODQ4MDFCNEI1QU" localSheetId="8" hidden="1">#REF!</definedName>
    <definedName name="bb_NkNBQkNGODQ4MDFCNEI1QU" localSheetId="37" hidden="1">#REF!</definedName>
    <definedName name="bb_NkNBQkNGODQ4MDFCNEI1QU" localSheetId="65" hidden="1">#REF!</definedName>
    <definedName name="bb_NkNBQkNGODQ4MDFCNEI1QU" hidden="1">#REF!</definedName>
    <definedName name="bb_NkQ1MzY5NkRGQTk3NDM0Qj" localSheetId="10" hidden="1">#REF!</definedName>
    <definedName name="bb_NkQ1MzY5NkRGQTk3NDM0Qj" localSheetId="8" hidden="1">#REF!</definedName>
    <definedName name="bb_NkQ1MzY5NkRGQTk3NDM0Qj" localSheetId="37" hidden="1">#REF!</definedName>
    <definedName name="bb_NkQ1MzY5NkRGQTk3NDM0Qj" localSheetId="65" hidden="1">#REF!</definedName>
    <definedName name="bb_NkQ1MzY5NkRGQTk3NDM0Qj" hidden="1">#REF!</definedName>
    <definedName name="bb_NkQ3QkFCNkEyNjlGNDNEMz" localSheetId="10" hidden="1">#REF!</definedName>
    <definedName name="bb_NkQ3QkFCNkEyNjlGNDNEMz" localSheetId="8" hidden="1">#REF!</definedName>
    <definedName name="bb_NkQ3QkFCNkEyNjlGNDNEMz" localSheetId="37" hidden="1">#REF!</definedName>
    <definedName name="bb_NkQ3QkFCNkEyNjlGNDNEMz" localSheetId="75" hidden="1">#REF!</definedName>
    <definedName name="bb_NkQ3QkFCNkEyNjlGNDNEMz" localSheetId="65" hidden="1">#REF!</definedName>
    <definedName name="bb_NkQ3QkFCNkEyNjlGNDNEMz" hidden="1">#REF!</definedName>
    <definedName name="bb_NkREN0JFQUY4OTdBNDlCOU" localSheetId="10" hidden="1">#REF!</definedName>
    <definedName name="bb_NkREN0JFQUY4OTdBNDlCOU" localSheetId="8" hidden="1">#REF!</definedName>
    <definedName name="bb_NkREN0JFQUY4OTdBNDlCOU" localSheetId="37" hidden="1">#REF!</definedName>
    <definedName name="bb_NkREN0JFQUY4OTdBNDlCOU" localSheetId="75" hidden="1">#REF!</definedName>
    <definedName name="bb_NkREN0JFQUY4OTdBNDlCOU" localSheetId="65" hidden="1">#REF!</definedName>
    <definedName name="bb_NkREN0JFQUY4OTdBNDlCOU" hidden="1">#REF!</definedName>
    <definedName name="bb_NkU1NkI4RDhDOEI3NDQxNk" localSheetId="10" hidden="1">#REF!</definedName>
    <definedName name="bb_NkU1NkI4RDhDOEI3NDQxNk" localSheetId="8" hidden="1">#REF!</definedName>
    <definedName name="bb_NkU1NkI4RDhDOEI3NDQxNk" localSheetId="37" hidden="1">#REF!</definedName>
    <definedName name="bb_NkU1NkI4RDhDOEI3NDQxNk" localSheetId="75" hidden="1">#REF!</definedName>
    <definedName name="bb_NkU1NkI4RDhDOEI3NDQxNk" localSheetId="65" hidden="1">#REF!</definedName>
    <definedName name="bb_NkU1NkI4RDhDOEI3NDQxNk" hidden="1">#REF!</definedName>
    <definedName name="bb_NkVGRTJGOUIxMzQyNDIyNj" localSheetId="10" hidden="1">#REF!</definedName>
    <definedName name="bb_NkVGRTJGOUIxMzQyNDIyNj" localSheetId="8" hidden="1">#REF!</definedName>
    <definedName name="bb_NkVGRTJGOUIxMzQyNDIyNj" localSheetId="37" hidden="1">#REF!</definedName>
    <definedName name="bb_NkVGRTJGOUIxMzQyNDIyNj" localSheetId="65" hidden="1">#REF!</definedName>
    <definedName name="bb_NkVGRTJGOUIxMzQyNDIyNj" hidden="1">#REF!</definedName>
    <definedName name="bb_NkY0QkI3OEU0QjNCNDVBRk" localSheetId="10" hidden="1">#REF!</definedName>
    <definedName name="bb_NkY0QkI3OEU0QjNCNDVBRk" localSheetId="8" hidden="1">#REF!</definedName>
    <definedName name="bb_NkY0QkI3OEU0QjNCNDVBRk" localSheetId="37" hidden="1">#REF!</definedName>
    <definedName name="bb_NkY0QkI3OEU0QjNCNDVBRk" localSheetId="65" hidden="1">#REF!</definedName>
    <definedName name="bb_NkY0QkI3OEU0QjNCNDVBRk" hidden="1">#REF!</definedName>
    <definedName name="bb_NkZGODE2MzNFOEM0NEJDMj" hidden="1">#REF!</definedName>
    <definedName name="bb_NTA3OUE3MTAxQjAwNDE0OT" hidden="1">#REF!</definedName>
    <definedName name="bb_NTAwNjQyRTExMkNDNDhGM0" hidden="1">#REF!</definedName>
    <definedName name="bb_NTBBMEIyMkZCMkM3NEI3N0" hidden="1">#REF!</definedName>
    <definedName name="bb_NTBCMjI4REQ1MDkwNDg3Qj" hidden="1">#REF!</definedName>
    <definedName name="bb_NTc3NDk5Q0QzMTcxNDFEMD" hidden="1">#REF!</definedName>
    <definedName name="bb_NTc3NDkyOEUxNzlFNDY3NE" hidden="1">#REF!</definedName>
    <definedName name="bb_NTdCNUZBMjJEOTkzNDkxRk" hidden="1">#REF!</definedName>
    <definedName name="bb_NTdGMEJDQzBDNTc1NDc1Qj" hidden="1">#REF!</definedName>
    <definedName name="bb_NTE5ODlFODBFRDkzNDc0RT" hidden="1">#REF!</definedName>
    <definedName name="bb_NTExMTQ2OEE3ODY2NDE2RD" localSheetId="10" hidden="1">#REF!</definedName>
    <definedName name="bb_NTExMTQ2OEE3ODY2NDE2RD" localSheetId="8" hidden="1">#REF!</definedName>
    <definedName name="bb_NTExMTQ2OEE3ODY2NDE2RD" localSheetId="37" hidden="1">#REF!</definedName>
    <definedName name="bb_NTExMTQ2OEE3ODY2NDE2RD" localSheetId="75" hidden="1">#REF!</definedName>
    <definedName name="bb_NTExMTQ2OEE3ODY2NDE2RD" localSheetId="65" hidden="1">#REF!</definedName>
    <definedName name="bb_NTExMTQ2OEE3ODY2NDE2RD" hidden="1">#REF!</definedName>
    <definedName name="bb_NTEyREU0NTlENkEwNDY3ME" localSheetId="10" hidden="1">#REF!</definedName>
    <definedName name="bb_NTEyREU0NTlENkEwNDY3ME" localSheetId="8" hidden="1">#REF!</definedName>
    <definedName name="bb_NTEyREU0NTlENkEwNDY3ME" localSheetId="37" hidden="1">#REF!</definedName>
    <definedName name="bb_NTEyREU0NTlENkEwNDY3ME" localSheetId="65" hidden="1">#REF!</definedName>
    <definedName name="bb_NTEyREU0NTlENkEwNDY3ME" hidden="1">#REF!</definedName>
    <definedName name="bb_NThFOTVEREEwREIzNDYxRU" localSheetId="10" hidden="1">#REF!</definedName>
    <definedName name="bb_NThFOTVEREEwREIzNDYxRU" localSheetId="8" hidden="1">#REF!</definedName>
    <definedName name="bb_NThFOTVEREEwREIzNDYxRU" localSheetId="37" hidden="1">#REF!</definedName>
    <definedName name="bb_NThFOTVEREEwREIzNDYxRU" localSheetId="65" hidden="1">#REF!</definedName>
    <definedName name="bb_NThFOTVEREEwREIzNDYxRU" hidden="1">#REF!</definedName>
    <definedName name="bb_NTI5NzZCRTI2QTRCNEUzNj" hidden="1">#REF!</definedName>
    <definedName name="bb_NTIzQzA3RDlENjczNDU1RT" hidden="1">#REF!</definedName>
    <definedName name="bb_NTJBQzE0M0FCRkRENEMzQU" hidden="1">#REF!</definedName>
    <definedName name="bb_NTJFNkI2RjZCOUQ2NDI0RT" hidden="1">#REF!</definedName>
    <definedName name="bb_NTlBNUUxMUIzNDI3NEUwNz" hidden="1">#REF!</definedName>
    <definedName name="bb_NTU5MzZDMDZFRDVFNEUxMU" hidden="1">#REF!</definedName>
    <definedName name="bb_NUE0NEE3RDE4OTM1NDc4NU" hidden="1">#REF!</definedName>
    <definedName name="bb_NUE2QTE2Q0E5M0VCNDA5OT" hidden="1">#REF!</definedName>
    <definedName name="bb_NUI3MDJERUU1RTg2NDkwMj" hidden="1">#REF!</definedName>
    <definedName name="bb_NUQ1NkI1RDY2NkEyNDk0QU" hidden="1">#REF!</definedName>
    <definedName name="bb_NUQyMzkwN0RCMjNFNDBFMz" hidden="1">#REF!</definedName>
    <definedName name="bb_NUQzRDYxNDZDNTdBNEUwN0" hidden="1">#REF!</definedName>
    <definedName name="bb_NUU4QzA4RDEzMjI1NDgxQk" hidden="1">#REF!</definedName>
    <definedName name="bb_NUUwMzYwQ0JBQjIxNEUxRU" localSheetId="39" hidden="1">'C-11'!#REF!</definedName>
    <definedName name="bb_NUUwMzYwQ0JBQjIxNEUxRU" localSheetId="27" hidden="1">#REF!</definedName>
    <definedName name="bb_NUUwMzYwQ0JBQjIxNEUxRU" localSheetId="29" hidden="1">#REF!</definedName>
    <definedName name="bb_NUUwMzYwQ0JBQjIxNEUxRU" localSheetId="1" hidden="1">#REF!</definedName>
    <definedName name="bb_NUUwMzYwQ0JBQjIxNEUxRU" hidden="1">'[11]Change in Exposure'!#REF!</definedName>
    <definedName name="bb_NUUxODcyREZFMkQxNEJFMD" localSheetId="10" hidden="1">#REF!</definedName>
    <definedName name="bb_NUUxODcyREZFMkQxNEJFMD" localSheetId="8" hidden="1">#REF!</definedName>
    <definedName name="bb_NUUxODcyREZFMkQxNEJFMD" localSheetId="37" hidden="1">#REF!</definedName>
    <definedName name="bb_NUUxODcyREZFMkQxNEJFMD" localSheetId="75" hidden="1">#REF!</definedName>
    <definedName name="bb_NUUxODcyREZFMkQxNEJFMD" localSheetId="65" hidden="1">#REF!</definedName>
    <definedName name="bb_NUUxODcyREZFMkQxNEJFMD" hidden="1">#REF!</definedName>
    <definedName name="bb_NUZBOEIxRDVBRjgxNDgxRE" localSheetId="10" hidden="1">#REF!</definedName>
    <definedName name="bb_NUZBOEIxRDVBRjgxNDgxRE" localSheetId="8" hidden="1">#REF!</definedName>
    <definedName name="bb_NUZBOEIxRDVBRjgxNDgxRE" localSheetId="37" hidden="1">#REF!</definedName>
    <definedName name="bb_NUZBOEIxRDVBRjgxNDgxRE" localSheetId="65" hidden="1">#REF!</definedName>
    <definedName name="bb_NUZBOEIxRDVBRjgxNDgxRE" hidden="1">#REF!</definedName>
    <definedName name="bb_NUZBRUU2QUE1QzQ3NEMyMz" localSheetId="10" hidden="1">#REF!</definedName>
    <definedName name="bb_NUZBRUU2QUE1QzQ3NEMyMz" localSheetId="8" hidden="1">#REF!</definedName>
    <definedName name="bb_NUZBRUU2QUE1QzQ3NEMyMz" localSheetId="37" hidden="1">#REF!</definedName>
    <definedName name="bb_NUZBRUU2QUE1QzQ3NEMyMz" localSheetId="65" hidden="1">#REF!</definedName>
    <definedName name="bb_NUZBRUU2QUE1QzQ3NEMyMz" hidden="1">#REF!</definedName>
    <definedName name="bb_Nzc0NEZGRDYyOUZDNDkyMz" hidden="1">#REF!</definedName>
    <definedName name="bb_Nzc4RUU0QkQ0ODFDNEFGQU" hidden="1">#REF!</definedName>
    <definedName name="bb_NzdBNDQyRTcwOTMxNDg2OU" hidden="1">#REF!</definedName>
    <definedName name="bb_NzE3OTM2M0MyMkU1NDJGNj" hidden="1">#REF!</definedName>
    <definedName name="bb_NzE5NzFBMjlGNzVGNDM5M0" hidden="1">#REF!</definedName>
    <definedName name="bb_NzExQTlFRDYzNTA5NDJBNE" hidden="1">#REF!</definedName>
    <definedName name="bb_NzEyM0VCMjk4MzgwNDJFMT" hidden="1">#REF!</definedName>
    <definedName name="bb_NzFEN0FDOTY5N0U2NDE0Q0" hidden="1">#REF!</definedName>
    <definedName name="bb_NzgyNTE1RkQ2NEU5NDgxNj" hidden="1">#REF!</definedName>
    <definedName name="bb_NzgzQTRCNTkwMTBDNEExRj" localSheetId="10" hidden="1">#REF!</definedName>
    <definedName name="bb_NzgzQTRCNTkwMTBDNEExRj" localSheetId="8" hidden="1">#REF!</definedName>
    <definedName name="bb_NzgzQTRCNTkwMTBDNEExRj" localSheetId="37" hidden="1">#REF!</definedName>
    <definedName name="bb_NzgzQTRCNTkwMTBDNEExRj" localSheetId="75" hidden="1">#REF!</definedName>
    <definedName name="bb_NzgzQTRCNTkwMTBDNEExRj" localSheetId="65" hidden="1">#REF!</definedName>
    <definedName name="bb_NzgzQTRCNTkwMTBDNEExRj" hidden="1">#REF!</definedName>
    <definedName name="bb_NzhCQjI3Qzg0MDI5NEYwNj" localSheetId="10" hidden="1">#REF!</definedName>
    <definedName name="bb_NzhCQjI3Qzg0MDI5NEYwNj" localSheetId="8" hidden="1">#REF!</definedName>
    <definedName name="bb_NzhCQjI3Qzg0MDI5NEYwNj" localSheetId="37" hidden="1">#REF!</definedName>
    <definedName name="bb_NzhCQjI3Qzg0MDI5NEYwNj" localSheetId="65" hidden="1">#REF!</definedName>
    <definedName name="bb_NzhCQjI3Qzg0MDI5NEYwNj" hidden="1">#REF!</definedName>
    <definedName name="bb_Nzk0RDA2OThGNThFNDBFME" localSheetId="10" hidden="1">#REF!</definedName>
    <definedName name="bb_Nzk0RDA2OThGNThFNDBFME" localSheetId="8" hidden="1">#REF!</definedName>
    <definedName name="bb_Nzk0RDA2OThGNThFNDBFME" localSheetId="37" hidden="1">#REF!</definedName>
    <definedName name="bb_Nzk0RDA2OThGNThFNDBFME" localSheetId="65" hidden="1">#REF!</definedName>
    <definedName name="bb_Nzk0RDA2OThGNThFNDBFME" hidden="1">#REF!</definedName>
    <definedName name="bb_NzkxNTUwRDdEQ0NGNENGNk" localSheetId="10" hidden="1">#REF!</definedName>
    <definedName name="bb_NzkxNTUwRDdEQ0NGNENGNk" localSheetId="8" hidden="1">#REF!</definedName>
    <definedName name="bb_NzkxNTUwRDdEQ0NGNENGNk" localSheetId="37" hidden="1">#REF!</definedName>
    <definedName name="bb_NzkxNTUwRDdEQ0NGNENGNk" localSheetId="65" hidden="1">#REF!</definedName>
    <definedName name="bb_NzkxNTUwRDdEQ0NGNENGNk" hidden="1">#REF!</definedName>
    <definedName name="bb_NzNENENDMEM5MUU1NDg1MU" localSheetId="10" hidden="1">#REF!</definedName>
    <definedName name="bb_NzNENENDMEM5MUU1NDg1MU" localSheetId="8" hidden="1">#REF!</definedName>
    <definedName name="bb_NzNENENDMEM5MUU1NDg1MU" localSheetId="37" hidden="1">#REF!</definedName>
    <definedName name="bb_NzNENENDMEM5MUU1NDg1MU" localSheetId="75" hidden="1">#REF!</definedName>
    <definedName name="bb_NzNENENDMEM5MUU1NDg1MU" localSheetId="65" hidden="1">#REF!</definedName>
    <definedName name="bb_NzNENENDMEM5MUU1NDg1MU" hidden="1">#REF!</definedName>
    <definedName name="bb_NzVBRDIzODIyMjU0NDA5RT" localSheetId="10" hidden="1">#REF!</definedName>
    <definedName name="bb_NzVBRDIzODIyMjU0NDA5RT" localSheetId="8" hidden="1">#REF!</definedName>
    <definedName name="bb_NzVBRDIzODIyMjU0NDA5RT" localSheetId="37" hidden="1">#REF!</definedName>
    <definedName name="bb_NzVBRDIzODIyMjU0NDA5RT" localSheetId="65" hidden="1">#REF!</definedName>
    <definedName name="bb_NzVBRDIzODIyMjU0NDA5RT" hidden="1">#REF!</definedName>
    <definedName name="bb_NzYzMjRBNEI5QTk0NEE2OD" localSheetId="10" hidden="1">#REF!</definedName>
    <definedName name="bb_NzYzMjRBNEI5QTk0NEE2OD" localSheetId="8" hidden="1">#REF!</definedName>
    <definedName name="bb_NzYzMjRBNEI5QTk0NEE2OD" localSheetId="37" hidden="1">#REF!</definedName>
    <definedName name="bb_NzYzMjRBNEI5QTk0NEE2OD" localSheetId="65" hidden="1">#REF!</definedName>
    <definedName name="bb_NzYzMjRBNEI5QTk0NEE2OD" hidden="1">#REF!</definedName>
    <definedName name="bb_NzZGNDdERkUzM0YyNDdEMz" hidden="1">#REF!</definedName>
    <definedName name="bb_ODA5NENCNEY0QUYzNDFBMk" hidden="1">#REF!</definedName>
    <definedName name="bb_ODAzQzYzRjY4MjY1NDJBQT" hidden="1">#REF!</definedName>
    <definedName name="bb_ODc1OTBBQzQ2NzgwNEM3RU" hidden="1">#REF!</definedName>
    <definedName name="bb_ODc3MUI3Q0UyQTAwNDRFQz" hidden="1">#REF!</definedName>
    <definedName name="bb_ODc5Qjc0QzZEMDczNDQwOE" hidden="1">#REF!</definedName>
    <definedName name="bb_ODczNTE0NEFFRTc5NEExM0" hidden="1">#REF!</definedName>
    <definedName name="bb_ODEwNjRCRTgwMDI4NEQwOE" hidden="1">#REF!</definedName>
    <definedName name="bb_ODFDOEMxMUJBNkNBNDY4Mj" hidden="1">#REF!</definedName>
    <definedName name="bb_ODg2QTUyNzRDQkYyNDMwMk" hidden="1">#REF!</definedName>
    <definedName name="bb_ODJBRDBDMUY3MTNDNDQzMT" hidden="1">#REF!</definedName>
    <definedName name="bb_ODJDOUE4RkYxMkY1NDNGQj" hidden="1">#REF!</definedName>
    <definedName name="bb_ODJFNUQxNEM0MzI2NDlCQj" hidden="1">#REF!</definedName>
    <definedName name="bb_ODJGRTk2M0FCREM3NDI1RE" hidden="1">#REF!</definedName>
    <definedName name="bb_ODk0MDg0MUJFNjExNDE1Nz" hidden="1">#REF!</definedName>
    <definedName name="bb_ODM4MThGMjc1RDdFNEQ5MU" hidden="1">#REF!</definedName>
    <definedName name="bb_ODNBMUVFQTA2MjFCNDRDMU" hidden="1">#REF!</definedName>
    <definedName name="bb_ODQ4QTNBN0NFOUUwNEIwOE" hidden="1">#REF!</definedName>
    <definedName name="bb_ODQxQTFFQkE0Q0Y3NDU0RT" hidden="1">#REF!</definedName>
    <definedName name="bb_ODRFMjkwQ0Q3QzFFNDNERT" hidden="1">#REF!</definedName>
    <definedName name="bb_ODU4MzcyRUQyNjk2NDY2OU" hidden="1">#REF!</definedName>
    <definedName name="bb_ODU4OUY2NDVFQzBGNDVCNk" hidden="1">#REF!</definedName>
    <definedName name="bb_ODU5Qjc5NTEzNDVDNEQ1Mz" hidden="1">#REF!</definedName>
    <definedName name="bb_ODVCNTI5QTA1MDlDNEMxQz" hidden="1">#REF!</definedName>
    <definedName name="bb_ODVFMENERDFEQzNENDRDNE" hidden="1">#REF!</definedName>
    <definedName name="bb_OEE1ODQ5NEIzODc0NEU0MT" hidden="1">#REF!</definedName>
    <definedName name="bb_OEM4NkIyOUQ5RDQ1NDhGQj" localSheetId="10" hidden="1">#REF!</definedName>
    <definedName name="bb_OEM4NkIyOUQ5RDQ1NDhGQj" localSheetId="8" hidden="1">#REF!</definedName>
    <definedName name="bb_OEM4NkIyOUQ5RDQ1NDhGQj" localSheetId="37" hidden="1">#REF!</definedName>
    <definedName name="bb_OEM4NkIyOUQ5RDQ1NDhGQj" localSheetId="75" hidden="1">#REF!</definedName>
    <definedName name="bb_OEM4NkIyOUQ5RDQ1NDhGQj" localSheetId="65" hidden="1">#REF!</definedName>
    <definedName name="bb_OEM4NkIyOUQ5RDQ1NDhGQj" hidden="1">#REF!</definedName>
    <definedName name="bb_OENDN0UzQTE4QzVGNDU2Mz" localSheetId="75" hidden="1">#REF!</definedName>
    <definedName name="bb_OENDN0UzQTE4QzVGNDU2Mz" hidden="1">#REF!</definedName>
    <definedName name="bb_OENERDBDMTMyQUVENDMxQT" localSheetId="10" hidden="1">#REF!</definedName>
    <definedName name="bb_OENERDBDMTMyQUVENDMxQT" localSheetId="8" hidden="1">#REF!</definedName>
    <definedName name="bb_OENERDBDMTMyQUVENDMxQT" localSheetId="37" hidden="1">#REF!</definedName>
    <definedName name="bb_OENERDBDMTMyQUVENDMxQT" localSheetId="75" hidden="1">#REF!</definedName>
    <definedName name="bb_OENERDBDMTMyQUVENDMxQT" localSheetId="65" hidden="1">#REF!</definedName>
    <definedName name="bb_OENERDBDMTMyQUVENDMxQT" hidden="1">#REF!</definedName>
    <definedName name="bb_OENERTQzQkFEQkQ4NDdFMk" localSheetId="10" hidden="1">#REF!</definedName>
    <definedName name="bb_OENERTQzQkFEQkQ4NDdFMk" localSheetId="8" hidden="1">#REF!</definedName>
    <definedName name="bb_OENERTQzQkFEQkQ4NDdFMk" localSheetId="37" hidden="1">#REF!</definedName>
    <definedName name="bb_OENERTQzQkFEQkQ4NDdFMk" localSheetId="65" hidden="1">#REF!</definedName>
    <definedName name="bb_OENERTQzQkFEQkQ4NDdFMk" hidden="1">#REF!</definedName>
    <definedName name="bb_OEQ5MERERkEzOUMyNEQ0RU" localSheetId="10" hidden="1">#REF!</definedName>
    <definedName name="bb_OEQ5MERERkEzOUMyNEQ0RU" localSheetId="8" hidden="1">#REF!</definedName>
    <definedName name="bb_OEQ5MERERkEzOUMyNEQ0RU" localSheetId="37" hidden="1">#REF!</definedName>
    <definedName name="bb_OEQ5MERERkEzOUMyNEQ0RU" localSheetId="65" hidden="1">#REF!</definedName>
    <definedName name="bb_OEQ5MERERkEzOUMyNEQ0RU" hidden="1">#REF!</definedName>
    <definedName name="bb_OEQyRDEwQUNEMUVBNEUyQk" hidden="1">#REF!</definedName>
    <definedName name="bb_OERGOEMzNDgyNUJENDk2N0" hidden="1">#REF!</definedName>
    <definedName name="bb_OEUwQ0U3OEMxMTk0NDlBQz" hidden="1">#REF!</definedName>
    <definedName name="bb_OEVDQTY5MjhGNERENDlCMT" hidden="1">#REF!</definedName>
    <definedName name="bb_OEVERjU0RTFBQzAyNDYzQ0" hidden="1">#REF!</definedName>
    <definedName name="bb_OTA0MkE5NTAyQzY0NEY1Mj" hidden="1">#REF!</definedName>
    <definedName name="bb_OTA2NzQzNTNFODg1NEE0MD" hidden="1">#REF!</definedName>
    <definedName name="bb_OTA4QzIxREFBQjI5NDE5Nk" hidden="1">#REF!</definedName>
    <definedName name="bb_OTAwNUYzQzM4RTZFNDEwQT" hidden="1">#REF!</definedName>
    <definedName name="bb_OTc3MUREMjY2Qjc1NDI4Nj" hidden="1">#REF!</definedName>
    <definedName name="bb_OTdFRkM3Q0UwNDg0NDBEOE" hidden="1">#REF!</definedName>
    <definedName name="bb_OTFCMjAwRjk4QzQ1NENERU" hidden="1">#REF!</definedName>
    <definedName name="bb_OTI2QkM2M0E0Njc5NEMwQU" hidden="1">#REF!</definedName>
    <definedName name="bb_OTI4OEM3RkY4QTQzNDY5QU" hidden="1">#REF!</definedName>
    <definedName name="bb_OTJDNzNCQkQyQzZCNEVDMD" hidden="1">#REF!</definedName>
    <definedName name="bb_OTkxMTE1NTY5N0I4NDQzNE" hidden="1">#REF!</definedName>
    <definedName name="bb_OTM2QTI2QjhCNDc4NDNFMU" hidden="1">#REF!</definedName>
    <definedName name="bb_OTNBMkZCRDdFMjk3NDc2Nk" hidden="1">#REF!</definedName>
    <definedName name="bb_OTQ3MDEwMkE2M0Y0NDgyM0" hidden="1">#REF!</definedName>
    <definedName name="bb_OTRGOUY3NDI3MTQ2NDMzOD" hidden="1">#REF!</definedName>
    <definedName name="bb_OTU3MTcxMjhBMDcxNDUyOE" hidden="1">#REF!</definedName>
    <definedName name="bb_OTVCNEY2RjNEMkRENEI3OT" hidden="1">#REF!</definedName>
    <definedName name="bb_OTVGQUQ0REJGQjJCNEE2RE" hidden="1">#REF!</definedName>
    <definedName name="bb_OTY3MjQ2NTJGRDdGNDBFOU" hidden="1">#REF!</definedName>
    <definedName name="bb_OTYwM0E0QzEzRDRFNEE5Q0" hidden="1">#REF!</definedName>
    <definedName name="bb_OTZFRjRENjg4RTBBNDAyNk" hidden="1">#REF!</definedName>
    <definedName name="bb_OUE0MjMxRjRCQzVDNEQ2RT" hidden="1">#REF!</definedName>
    <definedName name="bb_OUE2MUI1NTQ5RjNBNENBMj" hidden="1">#REF!</definedName>
    <definedName name="bb_OUFDMTREMzIzREQ5NDQ2ME" hidden="1">#REF!</definedName>
    <definedName name="bb_OUIxOTM4Q0M4NDExNEU3M0" localSheetId="10" hidden="1">#REF!</definedName>
    <definedName name="bb_OUIxOTM4Q0M4NDExNEU3M0" localSheetId="8" hidden="1">#REF!</definedName>
    <definedName name="bb_OUIxOTM4Q0M4NDExNEU3M0" localSheetId="37" hidden="1">#REF!</definedName>
    <definedName name="bb_OUIxOTM4Q0M4NDExNEU3M0" localSheetId="75" hidden="1">#REF!</definedName>
    <definedName name="bb_OUIxOTM4Q0M4NDExNEU3M0" localSheetId="65" hidden="1">#REF!</definedName>
    <definedName name="bb_OUIxOTM4Q0M4NDExNEU3M0" hidden="1">#REF!</definedName>
    <definedName name="bb_OUJDMjg0NzYwMUVFNEMyMk" localSheetId="10" hidden="1">#REF!</definedName>
    <definedName name="bb_OUJDMjg0NzYwMUVFNEMyMk" localSheetId="8" hidden="1">#REF!</definedName>
    <definedName name="bb_OUJDMjg0NzYwMUVFNEMyMk" localSheetId="37" hidden="1">#REF!</definedName>
    <definedName name="bb_OUJDMjg0NzYwMUVFNEMyMk" localSheetId="65" hidden="1">#REF!</definedName>
    <definedName name="bb_OUJDMjg0NzYwMUVFNEMyMk" hidden="1">#REF!</definedName>
    <definedName name="bb_OUM5RUEyQUI0OTQ0NDQ2ND" localSheetId="10" hidden="1">#REF!</definedName>
    <definedName name="bb_OUM5RUEyQUI0OTQ0NDQ2ND" localSheetId="8" hidden="1">#REF!</definedName>
    <definedName name="bb_OUM5RUEyQUI0OTQ0NDQ2ND" localSheetId="37" hidden="1">#REF!</definedName>
    <definedName name="bb_OUM5RUEyQUI0OTQ0NDQ2ND" localSheetId="65" hidden="1">#REF!</definedName>
    <definedName name="bb_OUM5RUEyQUI0OTQ0NDQ2ND" hidden="1">#REF!</definedName>
    <definedName name="bb_OURCNDJGOUU1RkFENDNCMU" hidden="1">#REF!</definedName>
    <definedName name="bb_OURGMUUxMTcxRTQzNDc3Qk" hidden="1">#REF!</definedName>
    <definedName name="bb_OUU0Q0VDN0M1MDJGNDk2QT" hidden="1">#REF!</definedName>
    <definedName name="bb_OUVCNDVFMjA3QzVFNDM3Mz" hidden="1">#REF!</definedName>
    <definedName name="bb_OUVDQ0JEQTVCNUE1NEMwNj" localSheetId="75" hidden="1">#REF!</definedName>
    <definedName name="bb_OUVDQ0JEQTVCNUE1NEMwNj" hidden="1">#REF!</definedName>
    <definedName name="bb_OUY3NjI2REU4MTEwNDNENT" localSheetId="10" hidden="1">#REF!</definedName>
    <definedName name="bb_OUY3NjI2REU4MTEwNDNENT" localSheetId="8" hidden="1">#REF!</definedName>
    <definedName name="bb_OUY3NjI2REU4MTEwNDNENT" localSheetId="37" hidden="1">#REF!</definedName>
    <definedName name="bb_OUY3NjI2REU4MTEwNDNENT" localSheetId="75" hidden="1">#REF!</definedName>
    <definedName name="bb_OUY3NjI2REU4MTEwNDNENT" localSheetId="65" hidden="1">#REF!</definedName>
    <definedName name="bb_OUY3NjI2REU4MTEwNDNENT" hidden="1">#REF!</definedName>
    <definedName name="bb_Q0E1MzE3MDczMTNGNEU3RU" localSheetId="10" hidden="1">#REF!</definedName>
    <definedName name="bb_Q0E1MzE3MDczMTNGNEU3RU" localSheetId="8" hidden="1">#REF!</definedName>
    <definedName name="bb_Q0E1MzE3MDczMTNGNEU3RU" localSheetId="37" hidden="1">#REF!</definedName>
    <definedName name="bb_Q0E1MzE3MDczMTNGNEU3RU" localSheetId="65" hidden="1">#REF!</definedName>
    <definedName name="bb_Q0E1MzE3MDczMTNGNEU3RU" hidden="1">#REF!</definedName>
    <definedName name="bb_Q0E1RjlEMURCRTBCNEFBMk" localSheetId="10" hidden="1">#REF!</definedName>
    <definedName name="bb_Q0E1RjlEMURCRTBCNEFBMk" localSheetId="8" hidden="1">#REF!</definedName>
    <definedName name="bb_Q0E1RjlEMURCRTBCNEFBMk" localSheetId="37" hidden="1">#REF!</definedName>
    <definedName name="bb_Q0E1RjlEMURCRTBCNEFBMk" localSheetId="65" hidden="1">#REF!</definedName>
    <definedName name="bb_Q0E1RjlEMURCRTBCNEFBMk" hidden="1">#REF!</definedName>
    <definedName name="bb_Q0E2RTkxMzFGOEQ4NEZEOU" hidden="1">#REF!</definedName>
    <definedName name="bb_Q0E3MDc2NzcwQTM4NDA4QT" hidden="1">#REF!</definedName>
    <definedName name="bb_Q0JBMThGMkM2QzQ4NDY4Mj" hidden="1">#REF!</definedName>
    <definedName name="bb_Q0Q0QzRCQTcxQzQwNDBBMk" hidden="1">#REF!</definedName>
    <definedName name="bb_Q0QzMDhBOTQwQUU2NEQ2OD" hidden="1">#REF!</definedName>
    <definedName name="bb_Q0RCRTA5NjBFN0EyNDZDRk" hidden="1">#REF!</definedName>
    <definedName name="bb_Q0U0RTlDRjE1NjI1NEU1RD" hidden="1">#REF!</definedName>
    <definedName name="bb_Q0ZENDk1MzY3RjEyNDQwMz" hidden="1">#REF!</definedName>
    <definedName name="bb_Q0ZFMkQwOTZCOUZCNEY0RT" hidden="1">#REF!</definedName>
    <definedName name="bb_QjA1Qzg2NDQ2MEE2NDEwOE" hidden="1">#REF!</definedName>
    <definedName name="bb_QjA4NEExMTA4MEYwNDBCMz" hidden="1">#REF!</definedName>
    <definedName name="bb_QjBFRjU2NjA3MkM3NDQ4Rj" hidden="1">#REF!</definedName>
    <definedName name="bb_Qjc2QTkxMDczNjE4NDgwRk" hidden="1">#REF!</definedName>
    <definedName name="bb_QjcxRkNEOEM5REM3NDkyN0" hidden="1">#REF!</definedName>
    <definedName name="bb_Qjg3RDhEN0E4NkY5NDJBNk" hidden="1">#REF!</definedName>
    <definedName name="bb_QjgxRTM0NEY0QjRENDRGRk" hidden="1">#REF!</definedName>
    <definedName name="bb_QjhFQjIwMURFNzgwNEY1RE" hidden="1">#REF!</definedName>
    <definedName name="bb_QjhGNURCNTVFNjIwNEJDRU" hidden="1">#REF!</definedName>
    <definedName name="bb_QjIxRkQ5Q0FGMEMwNDJDRT" hidden="1">#REF!</definedName>
    <definedName name="bb_QjIzMzRCNURGMEIxNDgxOE" hidden="1">#REF!</definedName>
    <definedName name="bb_QjIzMzYzOEMxMEYxNDI4Qj" hidden="1">#REF!</definedName>
    <definedName name="bb_Qjk0NEI0QTUxRDVGNEZFND" hidden="1">#REF!</definedName>
    <definedName name="bb_Qjk2NkM0QzlBMUNGNDhEQj" hidden="1">#REF!</definedName>
    <definedName name="bb_Qjk3QzYwNUM0RDI2NDhBOE" hidden="1">#REF!</definedName>
    <definedName name="bb_QjlFNDgzQjNFMzk4NDhDM0" hidden="1">#REF!</definedName>
    <definedName name="bb_QjM0NUFBMDNCQjc5NDU5Qk" hidden="1">#REF!</definedName>
    <definedName name="bb_QjNBRUZDNzExMjI3NEZGNz" hidden="1">#REF!</definedName>
    <definedName name="bb_QjQ1MzMyMzE1OEUwNERGOD" hidden="1">#REF!</definedName>
    <definedName name="bb_QjRGMjhENTE4Rjg5NDkyQ0" hidden="1">#REF!</definedName>
    <definedName name="bb_QjVENTY1QTI4MEE2NEFGQT" hidden="1">#REF!</definedName>
    <definedName name="bb_QjYzRjM5MkYxRERENDhBRE" hidden="1">#REF!</definedName>
    <definedName name="bb_QjZBNUJCNDI5NTY2NDExQj" hidden="1">#REF!</definedName>
    <definedName name="bb_QjZCNkIzMzY0MDhFNDc4Mj" localSheetId="10" hidden="1">#REF!</definedName>
    <definedName name="bb_QjZCNkIzMzY0MDhFNDc4Mj" localSheetId="8" hidden="1">#REF!</definedName>
    <definedName name="bb_QjZCNkIzMzY0MDhFNDc4Mj" localSheetId="37" hidden="1">#REF!</definedName>
    <definedName name="bb_QjZCNkIzMzY0MDhFNDc4Mj" localSheetId="75" hidden="1">#REF!</definedName>
    <definedName name="bb_QjZCNkIzMzY0MDhFNDc4Mj" localSheetId="65" hidden="1">#REF!</definedName>
    <definedName name="bb_QjZCNkIzMzY0MDhFNDc4Mj" hidden="1">#REF!</definedName>
    <definedName name="bb_QjZCQUIzRUFCQjVGNDEzME" localSheetId="10" hidden="1">#REF!</definedName>
    <definedName name="bb_QjZCQUIzRUFCQjVGNDEzME" localSheetId="8" hidden="1">#REF!</definedName>
    <definedName name="bb_QjZCQUIzRUFCQjVGNDEzME" localSheetId="37" hidden="1">#REF!</definedName>
    <definedName name="bb_QjZCQUIzRUFCQjVGNDEzME" localSheetId="65" hidden="1">#REF!</definedName>
    <definedName name="bb_QjZCQUIzRUFCQjVGNDEzME" hidden="1">#REF!</definedName>
    <definedName name="bb_QkE5MjE0MUJCQkVFNDAwQ0" localSheetId="10" hidden="1">#REF!</definedName>
    <definedName name="bb_QkE5MjE0MUJCQkVFNDAwQ0" localSheetId="8" hidden="1">#REF!</definedName>
    <definedName name="bb_QkE5MjE0MUJCQkVFNDAwQ0" localSheetId="37" hidden="1">#REF!</definedName>
    <definedName name="bb_QkE5MjE0MUJCQkVFNDAwQ0" localSheetId="65" hidden="1">#REF!</definedName>
    <definedName name="bb_QkE5MjE0MUJCQkVFNDAwQ0" hidden="1">#REF!</definedName>
    <definedName name="bb_QkFCRjI1RUU2MUIyNDNFNT" hidden="1">#REF!</definedName>
    <definedName name="bb_QkFDNkZEQ0YwNEMxNEVCMD" hidden="1">#REF!</definedName>
    <definedName name="bb_QkFDQTRCN0E4MjIxNDc4Rj" hidden="1">#REF!</definedName>
    <definedName name="bb_QkFDQUE1MkQyNjNGNDFGOE" hidden="1">#REF!</definedName>
    <definedName name="bb_QkFGQzFDMjhGN0MyNDVCNE" hidden="1">#REF!</definedName>
    <definedName name="bb_QkI0MTNERUNFMURBNDkwMj" hidden="1">#REF!</definedName>
    <definedName name="bb_QkI3RUEwNEE4QkNBNDUzMz" hidden="1">#REF!</definedName>
    <definedName name="bb_QkIwOUM0NDhBNkNFNDI3M0" hidden="1">#REF!</definedName>
    <definedName name="bb_QkIyRDE5NTNCNTIyNENBMz" hidden="1">#REF!</definedName>
    <definedName name="bb_QkJFMEE0MkVCNDgyNEFEQk" hidden="1">#REF!</definedName>
    <definedName name="bb_QkM5OTkzQTdBQjk0NEMyQU" hidden="1">#REF!</definedName>
    <definedName name="bb_QkMwMTM3QkU5MERFNEE3Rk" hidden="1">#REF!</definedName>
    <definedName name="bb_QkMwOTgxNDhDOUEwNDZDRj" hidden="1">#REF!</definedName>
    <definedName name="bb_QkNFRjlBRUM0MkFDNEU0OT" hidden="1">#REF!</definedName>
    <definedName name="bb_QkQ1QTM0NkY3MTU4NEQyMj" localSheetId="10" hidden="1">#REF!</definedName>
    <definedName name="bb_QkQ1QTM0NkY3MTU4NEQyMj" localSheetId="8" hidden="1">#REF!</definedName>
    <definedName name="bb_QkQ1QTM0NkY3MTU4NEQyMj" localSheetId="37" hidden="1">#REF!</definedName>
    <definedName name="bb_QkQ1QTM0NkY3MTU4NEQyMj" localSheetId="75" hidden="1">#REF!</definedName>
    <definedName name="bb_QkQ1QTM0NkY3MTU4NEQyMj" localSheetId="65" hidden="1">#REF!</definedName>
    <definedName name="bb_QkQ1QTM0NkY3MTU4NEQyMj" hidden="1">#REF!</definedName>
    <definedName name="bb_QkQ5MzQxMkVDMTQ0NDU5RT" localSheetId="10" hidden="1">#REF!</definedName>
    <definedName name="bb_QkQ5MzQxMkVDMTQ0NDU5RT" localSheetId="8" hidden="1">#REF!</definedName>
    <definedName name="bb_QkQ5MzQxMkVDMTQ0NDU5RT" localSheetId="37" hidden="1">#REF!</definedName>
    <definedName name="bb_QkQ5MzQxMkVDMTQ0NDU5RT" localSheetId="65" hidden="1">#REF!</definedName>
    <definedName name="bb_QkQ5MzQxMkVDMTQ0NDU5RT" hidden="1">#REF!</definedName>
    <definedName name="bb_QkU3OEU3N0Y1OUQxNEU1QU" localSheetId="10" hidden="1">#REF!</definedName>
    <definedName name="bb_QkU3OEU3N0Y1OUQxNEU1QU" localSheetId="8" hidden="1">#REF!</definedName>
    <definedName name="bb_QkU3OEU3N0Y1OUQxNEU1QU" localSheetId="37" hidden="1">#REF!</definedName>
    <definedName name="bb_QkU3OEU3N0Y1OUQxNEU1QU" localSheetId="65" hidden="1">#REF!</definedName>
    <definedName name="bb_QkU3OEU3N0Y1OUQxNEU1QU" hidden="1">#REF!</definedName>
    <definedName name="bb_QkU3QTYwQjgwNjM4NEY4MD" hidden="1">#REF!</definedName>
    <definedName name="bb_QkUyQjUzOEU2M0E3NDAxQz" hidden="1">#REF!</definedName>
    <definedName name="bb_QkY1NUMzOTVEQjc1NERBNk" hidden="1">#REF!</definedName>
    <definedName name="bb_QkYxNDIzRUZFMDIzNDA5NT" hidden="1">#REF!</definedName>
    <definedName name="bb_QkYzNzdBNTUxRjI5NDlDND" hidden="1">#REF!</definedName>
    <definedName name="bb_QTA1REFERUMxOEU0NEZDMz" localSheetId="10" hidden="1">#REF!</definedName>
    <definedName name="bb_QTA1REFERUMxOEU0NEZDMz" localSheetId="8" hidden="1">#REF!</definedName>
    <definedName name="bb_QTA1REFERUMxOEU0NEZDMz" localSheetId="37" hidden="1">#REF!</definedName>
    <definedName name="bb_QTA1REFERUMxOEU0NEZDMz" localSheetId="75" hidden="1">#REF!</definedName>
    <definedName name="bb_QTA1REFERUMxOEU0NEZDMz" localSheetId="65" hidden="1">#REF!</definedName>
    <definedName name="bb_QTA1REFERUMxOEU0NEZDMz" hidden="1">#REF!</definedName>
    <definedName name="bb_QTA2Mzg5MUUwQkRBNDJENz" localSheetId="10" hidden="1">#REF!</definedName>
    <definedName name="bb_QTA2Mzg5MUUwQkRBNDJENz" localSheetId="8" hidden="1">#REF!</definedName>
    <definedName name="bb_QTA2Mzg5MUUwQkRBNDJENz" localSheetId="37" hidden="1">#REF!</definedName>
    <definedName name="bb_QTA2Mzg5MUUwQkRBNDJENz" localSheetId="65" hidden="1">#REF!</definedName>
    <definedName name="bb_QTA2Mzg5MUUwQkRBNDJENz" hidden="1">#REF!</definedName>
    <definedName name="bb_QTA5RTI4ODEyMkQ1NDA0Q0" localSheetId="10" hidden="1">#REF!</definedName>
    <definedName name="bb_QTA5RTI4ODEyMkQ1NDA0Q0" localSheetId="8" hidden="1">#REF!</definedName>
    <definedName name="bb_QTA5RTI4ODEyMkQ1NDA0Q0" localSheetId="37" hidden="1">#REF!</definedName>
    <definedName name="bb_QTA5RTI4ODEyMkQ1NDA0Q0" localSheetId="65" hidden="1">#REF!</definedName>
    <definedName name="bb_QTA5RTI4ODEyMkQ1NDA0Q0" hidden="1">#REF!</definedName>
    <definedName name="bb_QTBDNjg2OTY0NEUzNDY0OU" hidden="1">#REF!</definedName>
    <definedName name="bb_QTc1MDIwM0Q0NDMxNEI1ND" hidden="1">#REF!</definedName>
    <definedName name="bb_QTdFQURFNjEwNjg4NEU4NT" hidden="1">#REF!</definedName>
    <definedName name="bb_QTE3NThCQjVGMjBENDlDNz" hidden="1">#REF!</definedName>
    <definedName name="bb_QTE4MTI0MDgxRjRCNDREMj" hidden="1">#REF!</definedName>
    <definedName name="bb_QTEyQTg4QkVDMURDNDI1MT" hidden="1">#REF!</definedName>
    <definedName name="bb_QTFGQUU4MjQ3RjRENDZFOE" hidden="1">#REF!</definedName>
    <definedName name="bb_QThEQjA1MDFDMDk1NEJGNk" hidden="1">#REF!</definedName>
    <definedName name="bb_QTIyQzgzNzFCM0U5NDhDQU" hidden="1">#REF!</definedName>
    <definedName name="bb_QTk5NUQ5MkY4MjJGNEI2OE" hidden="1">#REF!</definedName>
    <definedName name="bb_QTkyRTg5QTA1QTFENDJBOE" hidden="1">#REF!</definedName>
    <definedName name="bb_QTRFRDY5OEEyQzA5NEIwQj" hidden="1">#REF!</definedName>
    <definedName name="bb_QTU2RDIzRkFGQTJBNDQzNU" hidden="1">#REF!</definedName>
    <definedName name="bb_QTZGMzFCNTAzNEU3NDgwQT" hidden="1">#REF!</definedName>
    <definedName name="bb_QUE2MDZDMDA4NUJENDAxMk" localSheetId="10" hidden="1">#REF!</definedName>
    <definedName name="bb_QUE2MDZDMDA4NUJENDAxMk" localSheetId="8" hidden="1">#REF!</definedName>
    <definedName name="bb_QUE2MDZDMDA4NUJENDAxMk" localSheetId="37" hidden="1">#REF!</definedName>
    <definedName name="bb_QUE2MDZDMDA4NUJENDAxMk" localSheetId="75" hidden="1">#REF!</definedName>
    <definedName name="bb_QUE2MDZDMDA4NUJENDAxMk" localSheetId="65" hidden="1">#REF!</definedName>
    <definedName name="bb_QUE2MDZDMDA4NUJENDAxMk" hidden="1">#REF!</definedName>
    <definedName name="bb_QUEwMUJGRjAwM0ExNEUzNz" localSheetId="10" hidden="1">#REF!</definedName>
    <definedName name="bb_QUEwMUJGRjAwM0ExNEUzNz" localSheetId="8" hidden="1">#REF!</definedName>
    <definedName name="bb_QUEwMUJGRjAwM0ExNEUzNz" localSheetId="37" hidden="1">#REF!</definedName>
    <definedName name="bb_QUEwMUJGRjAwM0ExNEUzNz" localSheetId="65" hidden="1">#REF!</definedName>
    <definedName name="bb_QUEwMUJGRjAwM0ExNEUzNz" hidden="1">#REF!</definedName>
    <definedName name="bb_QUEyQTdFRjE0QzA3NDZBNz" localSheetId="10" hidden="1">#REF!</definedName>
    <definedName name="bb_QUEyQTdFRjE0QzA3NDZBNz" localSheetId="8" hidden="1">#REF!</definedName>
    <definedName name="bb_QUEyQTdFRjE0QzA3NDZBNz" localSheetId="37" hidden="1">#REF!</definedName>
    <definedName name="bb_QUEyQTdFRjE0QzA3NDZBNz" localSheetId="65" hidden="1">#REF!</definedName>
    <definedName name="bb_QUEyQTdFRjE0QzA3NDZBNz" hidden="1">#REF!</definedName>
    <definedName name="bb_QUEyQzI3RDFERTA2NDBBMU" hidden="1">#REF!</definedName>
    <definedName name="bb_QUJBNUNCQjI0Q0NENDVDMj" hidden="1">#REF!</definedName>
    <definedName name="bb_QUJEMTYyNzlEQUNBNEMwM0" hidden="1">#REF!</definedName>
    <definedName name="bb_QUM2MEU3NzMyRDI5NDUyNE" hidden="1">#REF!</definedName>
    <definedName name="bb_QUNEOEI2MDg5N0U5NEMzOD" hidden="1">#REF!</definedName>
    <definedName name="bb_QUQ2RkZDOUQ0MTkyNDQ3NE" hidden="1">#REF!</definedName>
    <definedName name="bb_QUQxMTEzQ0MxNkE1NDE2Mk" hidden="1">#REF!</definedName>
    <definedName name="bb_QURFQkUwNTcwMDMzNDA3QT" hidden="1">#REF!</definedName>
    <definedName name="bb_QUU4MzJFMzM4MUM4NDA5ME" hidden="1">#REF!</definedName>
    <definedName name="bb_QUY2ODVDQTIxRTUzNDNDMU" hidden="1">#REF!</definedName>
    <definedName name="bb_QUY5QTk2MkMwQTc5NEQ3Q0" hidden="1">#REF!</definedName>
    <definedName name="bb_QzA0NTRFODFCNEVFNDFGRj" hidden="1">#REF!</definedName>
    <definedName name="bb_QzAzODhBMjQyMkUzNEYwN0" hidden="1">#REF!</definedName>
    <definedName name="bb_QzBCQTU0M0U2MDM2NDlGND" hidden="1">#REF!</definedName>
    <definedName name="bb_Qzc1MjZFQ0VCNTRCNDI1OD" hidden="1">#REF!</definedName>
    <definedName name="bb_QzFENUI3MUM5NENENEZGQj" localSheetId="10" hidden="1">#REF!</definedName>
    <definedName name="bb_QzFENUI3MUM5NENENEZGQj" localSheetId="8" hidden="1">#REF!</definedName>
    <definedName name="bb_QzFENUI3MUM5NENENEZGQj" localSheetId="37" hidden="1">#REF!</definedName>
    <definedName name="bb_QzFENUI3MUM5NENENEZGQj" localSheetId="75" hidden="1">#REF!</definedName>
    <definedName name="bb_QzFENUI3MUM5NENENEZGQj" localSheetId="65" hidden="1">#REF!</definedName>
    <definedName name="bb_QzFENUI3MUM5NENENEZGQj" hidden="1">#REF!</definedName>
    <definedName name="bb_Qzg4ODhDQzlDQTkwNEE2Qj" localSheetId="10" hidden="1">#REF!</definedName>
    <definedName name="bb_Qzg4ODhDQzlDQTkwNEE2Qj" localSheetId="8" hidden="1">#REF!</definedName>
    <definedName name="bb_Qzg4ODhDQzlDQTkwNEE2Qj" localSheetId="37" hidden="1">#REF!</definedName>
    <definedName name="bb_Qzg4ODhDQzlDQTkwNEE2Qj" localSheetId="65" hidden="1">#REF!</definedName>
    <definedName name="bb_Qzg4ODhDQzlDQTkwNEE2Qj" hidden="1">#REF!</definedName>
    <definedName name="bb_QzgwOTdDODczRkQ5NEQ1Mz" localSheetId="10" hidden="1">#REF!</definedName>
    <definedName name="bb_QzgwOTdDODczRkQ5NEQ1Mz" localSheetId="8" hidden="1">#REF!</definedName>
    <definedName name="bb_QzgwOTdDODczRkQ5NEQ1Mz" localSheetId="37" hidden="1">#REF!</definedName>
    <definedName name="bb_QzgwOTdDODczRkQ5NEQ1Mz" localSheetId="65" hidden="1">#REF!</definedName>
    <definedName name="bb_QzgwOTdDODczRkQ5NEQ1Mz" hidden="1">#REF!</definedName>
    <definedName name="bb_QzI4NkZGRjBDRjNGNEQwOD" hidden="1">#REF!</definedName>
    <definedName name="bb_QzJBRDVBNzhCMjM0NENCQz" hidden="1">#REF!</definedName>
    <definedName name="bb_Qzk4QkM5QkYxRTQxNEYzNk" hidden="1">#REF!</definedName>
    <definedName name="bb_QzkzQjhCNUQ0OUFGNEQ4NT" hidden="1">#REF!</definedName>
    <definedName name="bb_QzMyMUJCQTMxQTBGNDBGQT" hidden="1">#REF!</definedName>
    <definedName name="bb_QzRFMDUzNUIxQkZGNDExNk" hidden="1">#REF!</definedName>
    <definedName name="bb_QzRFNTEyODZEQUExNDlEQk" hidden="1">#REF!</definedName>
    <definedName name="bb_QzY3NkZCNTdCNjQ2NDkzND" hidden="1">#REF!</definedName>
    <definedName name="bb_QzY4MTBBM0FCN0YwNDY4Mz" hidden="1">#REF!</definedName>
    <definedName name="bb_QzY4NDlGRURDQ0RENEI4M0" hidden="1">#REF!</definedName>
    <definedName name="bb_QzYzMUVEMTRBRTkwNDNBRE" hidden="1">#REF!</definedName>
    <definedName name="bb_QzZENzNERjMyOEUyNDhBM0" hidden="1">#REF!</definedName>
    <definedName name="bb_QzZEQ0NEMkFEODRFNDVENz" hidden="1">#REF!</definedName>
    <definedName name="bb_RDA3N0FFMUJEQjY5NDYyQU" hidden="1">#REF!</definedName>
    <definedName name="bb_RDc1Mjg3ODYxNDFENEIzNz" hidden="1">#REF!</definedName>
    <definedName name="bb_RDc1NUNEQTg3MzNBNDJBRD" hidden="1">#REF!</definedName>
    <definedName name="bb_RDc3NTBEOEI2NTM4NDMyNk" hidden="1">#REF!</definedName>
    <definedName name="bb_RDFBRjUyQ0I3RkFBNDA3Rk" hidden="1">#REF!</definedName>
    <definedName name="bb_RDgzNzgzRkFEQjM0NDAzMD" hidden="1">#REF!</definedName>
    <definedName name="bb_RDhDQTRGNzkwMDAyNEEzOU" hidden="1">#REF!</definedName>
    <definedName name="bb_RDI2RTM3NzMwOTE0NEUxQk" hidden="1">#REF!</definedName>
    <definedName name="bb_RDJGRTU4RUY0M0U0NEFGMk" hidden="1">#REF!</definedName>
    <definedName name="bb_RDk2MkI3MDc5MEI2NDlBRj" hidden="1">#REF!</definedName>
    <definedName name="bb_RDk3QjZFQ0M1MkFFNDFDQk" hidden="1">#REF!</definedName>
    <definedName name="bb_RDk4MzI2MDE1N0NENEQxN0" localSheetId="10" hidden="1">#REF!</definedName>
    <definedName name="bb_RDk4MzI2MDE1N0NENEQxN0" localSheetId="8" hidden="1">#REF!</definedName>
    <definedName name="bb_RDk4MzI2MDE1N0NENEQxN0" localSheetId="37" hidden="1">#REF!</definedName>
    <definedName name="bb_RDk4MzI2MDE1N0NENEQxN0" localSheetId="75" hidden="1">#REF!</definedName>
    <definedName name="bb_RDk4MzI2MDE1N0NENEQxN0" localSheetId="65" hidden="1">#REF!</definedName>
    <definedName name="bb_RDk4MzI2MDE1N0NENEQxN0" hidden="1">#REF!</definedName>
    <definedName name="bb_RDk5NTdGNDQzRkMxNDYzNE" localSheetId="10" hidden="1">#REF!</definedName>
    <definedName name="bb_RDk5NTdGNDQzRkMxNDYzNE" localSheetId="8" hidden="1">#REF!</definedName>
    <definedName name="bb_RDk5NTdGNDQzRkMxNDYzNE" localSheetId="37" hidden="1">#REF!</definedName>
    <definedName name="bb_RDk5NTdGNDQzRkMxNDYzNE" localSheetId="65" hidden="1">#REF!</definedName>
    <definedName name="bb_RDk5NTdGNDQzRkMxNDYzNE" hidden="1">#REF!</definedName>
    <definedName name="bb_RDlFMTI0Q0I1ODJFNEY5NE" localSheetId="10" hidden="1">#REF!</definedName>
    <definedName name="bb_RDlFMTI0Q0I1ODJFNEY5NE" localSheetId="8" hidden="1">#REF!</definedName>
    <definedName name="bb_RDlFMTI0Q0I1ODJFNEY5NE" localSheetId="37" hidden="1">#REF!</definedName>
    <definedName name="bb_RDlFMTI0Q0I1ODJFNEY5NE" localSheetId="65" hidden="1">#REF!</definedName>
    <definedName name="bb_RDlFMTI0Q0I1ODJFNEY5NE" hidden="1">#REF!</definedName>
    <definedName name="bb_RDMyRjg4N0MyODNGNDBGNT" hidden="1">#REF!</definedName>
    <definedName name="bb_RDNFNTc4RDZFRDUzNDg5NU" hidden="1">#REF!</definedName>
    <definedName name="bb_RDQ1MkM1RDQxOEUyNENEMU" hidden="1">#REF!</definedName>
    <definedName name="bb_RDQ4MDQ5REYyOTRDNDREMU" hidden="1">#REF!</definedName>
    <definedName name="bb_RDQ4MDUxRTg0RTMzNEFGQk" hidden="1">#REF!</definedName>
    <definedName name="bb_RDQyMTcxMDkzM0RCNDA1Qk" hidden="1">#REF!</definedName>
    <definedName name="bb_RDQyNzgxQ0FGNjc1NDVFOE" hidden="1">#REF!</definedName>
    <definedName name="bb_RDRDNzM4NTZFN0E5NDRFRU" hidden="1">#REF!</definedName>
    <definedName name="bb_RDUwNDI3OUY2OTFDNDgwNj" hidden="1">#REF!</definedName>
    <definedName name="bb_RDUxNzVBRkU1OEQ1NDE3Nz" hidden="1">#REF!</definedName>
    <definedName name="bb_RDY1QkVFNDREN0E4NDMwOT" hidden="1">#REF!</definedName>
    <definedName name="bb_RDZBREU4RjQ3RDg3NDU2Qk" hidden="1">#REF!</definedName>
    <definedName name="bb_RDZFMzk0QUVCQTlCNEY3Q0" hidden="1">#REF!</definedName>
    <definedName name="bb_RDZGNkRGNTA3NjdENEVEMT" hidden="1">#REF!</definedName>
    <definedName name="bb_REE1RTU3RUREMjY5NDZEQT" hidden="1">#REF!</definedName>
    <definedName name="bb_REFBQkMyNDI2Mzc1NDI3M0" hidden="1">#REF!</definedName>
    <definedName name="bb_REI1OURDRUUyQkFENDUwOD" hidden="1">#REF!</definedName>
    <definedName name="bb_REMxMjVCMUNBMzFDNDdEQj" hidden="1">#REF!</definedName>
    <definedName name="bb_REMzMUE5RjM1RjU2NDIxMD" hidden="1">#REF!</definedName>
    <definedName name="bb_RENFMEY4N0YyRjczNDE2QU" hidden="1">#REF!</definedName>
    <definedName name="bb_REQzN0RGQzdGODlGNDEzNE" hidden="1">#REF!</definedName>
    <definedName name="bb_REQzQzMzMEQzRjQ0NDZENU" hidden="1">#REF!</definedName>
    <definedName name="bb_REU1RkJGNzFDNEQ5NEMzRD" hidden="1">#REF!</definedName>
    <definedName name="bb_REU3NzU0NjVFRUQ2NDQ4RE" hidden="1">#REF!</definedName>
    <definedName name="bb_REUyRTgyMUREMTkxNEExQz" hidden="1">#REF!</definedName>
    <definedName name="bb_REY3NTlFQkIwOTkxNDA0ND" hidden="1">#REF!</definedName>
    <definedName name="bb_REZCNUYyQUJDQUQ2NEVERE" hidden="1">#REF!</definedName>
    <definedName name="bb_RjA1MzJERjcyQUMwNDFFQz" hidden="1">#REF!</definedName>
    <definedName name="bb_RjE0RDk3Q0MyMDZCNDRENj" hidden="1">#REF!</definedName>
    <definedName name="bb_RjE2Qjc0M0RCRjQ3NDkzRE" hidden="1">#REF!</definedName>
    <definedName name="bb_RjFBRjkzQTE3ODgzNDgwMk" hidden="1">#REF!</definedName>
    <definedName name="bb_Rjg3Njc2MzFDMDBBNDVBQ0" hidden="1">#REF!</definedName>
    <definedName name="bb_RjJEODI3MjBDNzFFNDdFNj" hidden="1">#REF!</definedName>
    <definedName name="bb_Rjk4MTYyNzczRkU1NDJFRT" hidden="1">#REF!</definedName>
    <definedName name="bb_RjlBMDY2OTU0NDU0NEU2Mj" hidden="1">#REF!</definedName>
    <definedName name="bb_RjlBMTQzNDBEM0ZGNEQxOT" hidden="1">#REF!</definedName>
    <definedName name="bb_RjlCNTBGNUY1OUNENDI3Mj" hidden="1">#REF!</definedName>
    <definedName name="bb_RjlDQ0EzN0Y0NDk5NDk1Q0" hidden="1">#REF!</definedName>
    <definedName name="bb_RjNCRTEwMzI2NUEzNDIzRU" hidden="1">#REF!</definedName>
    <definedName name="bb_RjNENjE5MkRFMEYwNDIyQU" hidden="1">#REF!</definedName>
    <definedName name="bb_RjNERjc1NUU0N0IxNEJBND" hidden="1">#REF!</definedName>
    <definedName name="bb_RjQ2QTU3RDkzRDJENEQ5Qk" localSheetId="75" hidden="1">#REF!</definedName>
    <definedName name="bb_RjQ2QTU3RDkzRDJENEQ5Qk" hidden="1">#REF!</definedName>
    <definedName name="bb_RjRGRURGNkU0MDhENDc2OT" localSheetId="10" hidden="1">#REF!</definedName>
    <definedName name="bb_RjRGRURGNkU0MDhENDc2OT" localSheetId="8" hidden="1">#REF!</definedName>
    <definedName name="bb_RjRGRURGNkU0MDhENDc2OT" localSheetId="37" hidden="1">#REF!</definedName>
    <definedName name="bb_RjRGRURGNkU0MDhENDc2OT" localSheetId="75" hidden="1">#REF!</definedName>
    <definedName name="bb_RjRGRURGNkU0MDhENDc2OT" localSheetId="65" hidden="1">#REF!</definedName>
    <definedName name="bb_RjRGRURGNkU0MDhENDc2OT" hidden="1">#REF!</definedName>
    <definedName name="bb_RjUxQzEyOEZDMkYyNDhDQU" localSheetId="75" hidden="1">#REF!</definedName>
    <definedName name="bb_RjUxQzEyOEZDMkYyNDhDQU" hidden="1">#REF!</definedName>
    <definedName name="bb_RjY4MjI4NkQ5NTdENDA1MU" localSheetId="10" hidden="1">#REF!</definedName>
    <definedName name="bb_RjY4MjI4NkQ5NTdENDA1MU" localSheetId="8" hidden="1">#REF!</definedName>
    <definedName name="bb_RjY4MjI4NkQ5NTdENDA1MU" localSheetId="37" hidden="1">#REF!</definedName>
    <definedName name="bb_RjY4MjI4NkQ5NTdENDA1MU" localSheetId="75" hidden="1">#REF!</definedName>
    <definedName name="bb_RjY4MjI4NkQ5NTdENDA1MU" localSheetId="65" hidden="1">#REF!</definedName>
    <definedName name="bb_RjY4MjI4NkQ5NTdENDA1MU" hidden="1">#REF!</definedName>
    <definedName name="bb_RjY4NjkyMEZEOTg2NDZBMz" localSheetId="10" hidden="1">#REF!</definedName>
    <definedName name="bb_RjY4NjkyMEZEOTg2NDZBMz" localSheetId="8" hidden="1">#REF!</definedName>
    <definedName name="bb_RjY4NjkyMEZEOTg2NDZBMz" localSheetId="37" hidden="1">#REF!</definedName>
    <definedName name="bb_RjY4NjkyMEZEOTg2NDZBMz" localSheetId="65" hidden="1">#REF!</definedName>
    <definedName name="bb_RjY4NjkyMEZEOTg2NDZBMz" hidden="1">#REF!</definedName>
    <definedName name="bb_RjYwNkE0M0E3ODQ5NDhBMj" localSheetId="10" hidden="1">#REF!</definedName>
    <definedName name="bb_RjYwNkE0M0E3ODQ5NDhBMj" localSheetId="8" hidden="1">#REF!</definedName>
    <definedName name="bb_RjYwNkE0M0E3ODQ5NDhBMj" localSheetId="37" hidden="1">#REF!</definedName>
    <definedName name="bb_RjYwNkE0M0E3ODQ5NDhBMj" localSheetId="65" hidden="1">#REF!</definedName>
    <definedName name="bb_RjYwNkE0M0E3ODQ5NDhBMj" hidden="1">#REF!</definedName>
    <definedName name="bb_RjYzQjk2OUUwMzgyNEUyQU" hidden="1">#REF!</definedName>
    <definedName name="bb_RjZDQTFCMEJCQzkxNDE4OD" hidden="1">#REF!</definedName>
    <definedName name="bb_RkE3MkY0RjZFNTAyNDA3Nz" hidden="1">#REF!</definedName>
    <definedName name="bb_RkE3MUUwNENCQzRCNDY1Qk" hidden="1">#REF!</definedName>
    <definedName name="bb_RkI0NDhFQzI4RDkzNEEyRT" hidden="1">#REF!</definedName>
    <definedName name="bb_RkI4QkI0QjkwOThBNDlBNU" hidden="1">#REF!</definedName>
    <definedName name="bb_RkI5MkUzMzdCNTA2NDE3Rk" hidden="1">#REF!</definedName>
    <definedName name="bb_RkIyN0ExNTZEMzZDNDYyRU" hidden="1">#REF!</definedName>
    <definedName name="bb_RkNGNTA3NUQ3MEU2NDhDME" hidden="1">#REF!</definedName>
    <definedName name="bb_RkQyRkU1Q0NDMzQ1NDkzMT" localSheetId="10" hidden="1">#REF!</definedName>
    <definedName name="bb_RkQyRkU1Q0NDMzQ1NDkzMT" localSheetId="8" hidden="1">#REF!</definedName>
    <definedName name="bb_RkQyRkU1Q0NDMzQ1NDkzMT" localSheetId="37" hidden="1">#REF!</definedName>
    <definedName name="bb_RkQyRkU1Q0NDMzQ1NDkzMT" localSheetId="75" hidden="1">#REF!</definedName>
    <definedName name="bb_RkQyRkU1Q0NDMzQ1NDkzMT" localSheetId="65" hidden="1">#REF!</definedName>
    <definedName name="bb_RkQyRkU1Q0NDMzQ1NDkzMT" hidden="1">#REF!</definedName>
    <definedName name="bb_RkQzQzRBOTI3MDQ3NEYzRT" localSheetId="10" hidden="1">#REF!</definedName>
    <definedName name="bb_RkQzQzRBOTI3MDQ3NEYzRT" localSheetId="8" hidden="1">#REF!</definedName>
    <definedName name="bb_RkQzQzRBOTI3MDQ3NEYzRT" localSheetId="37" hidden="1">#REF!</definedName>
    <definedName name="bb_RkQzQzRBOTI3MDQ3NEYzRT" localSheetId="65" hidden="1">#REF!</definedName>
    <definedName name="bb_RkQzQzRBOTI3MDQ3NEYzRT" hidden="1">#REF!</definedName>
    <definedName name="bb_RkRBMjcxRjY1NkM4NDExRU" localSheetId="10" hidden="1">#REF!</definedName>
    <definedName name="bb_RkRBMjcxRjY1NkM4NDExRU" localSheetId="8" hidden="1">#REF!</definedName>
    <definedName name="bb_RkRBMjcxRjY1NkM4NDExRU" localSheetId="37" hidden="1">#REF!</definedName>
    <definedName name="bb_RkRBMjcxRjY1NkM4NDExRU" localSheetId="65" hidden="1">#REF!</definedName>
    <definedName name="bb_RkRBMjcxRjY1NkM4NDExRU" hidden="1">#REF!</definedName>
    <definedName name="bb_RkU4MjMzRjhDNEQwNEYyM0" localSheetId="10" hidden="1">'[12]HTA Drivers'!#REF!</definedName>
    <definedName name="bb_RkU4MjMzRjhDNEQwNEYyM0" localSheetId="8" hidden="1">'[12]HTA Drivers'!#REF!</definedName>
    <definedName name="bb_RkU4MjMzRjhDNEQwNEYyM0" localSheetId="37" hidden="1">'[12]HTA Drivers'!#REF!</definedName>
    <definedName name="bb_RkU4MjMzRjhDNEQwNEYyM0" localSheetId="65" hidden="1">'[12]HTA Drivers'!#REF!</definedName>
    <definedName name="bb_RkU4MjMzRjhDNEQwNEYyM0" hidden="1">#REF!</definedName>
    <definedName name="bb_RkVFNjJGQTY3NjI4NEIyRD" localSheetId="10" hidden="1">#REF!</definedName>
    <definedName name="bb_RkVFNjJGQTY3NjI4NEIyRD" localSheetId="8" hidden="1">#REF!</definedName>
    <definedName name="bb_RkVFNjJGQTY3NjI4NEIyRD" localSheetId="37" hidden="1">#REF!</definedName>
    <definedName name="bb_RkVFNjJGQTY3NjI4NEIyRD" localSheetId="75" hidden="1">#REF!</definedName>
    <definedName name="bb_RkVFNjJGQTY3NjI4NEIyRD" localSheetId="65" hidden="1">#REF!</definedName>
    <definedName name="bb_RkVFNjJGQTY3NjI4NEIyRD" hidden="1">#REF!</definedName>
    <definedName name="bb_RkVGOTEyRDg3QTk1NEMwQT" localSheetId="10" hidden="1">#REF!</definedName>
    <definedName name="bb_RkVGOTEyRDg3QTk1NEMwQT" localSheetId="8" hidden="1">#REF!</definedName>
    <definedName name="bb_RkVGOTEyRDg3QTk1NEMwQT" localSheetId="37" hidden="1">#REF!</definedName>
    <definedName name="bb_RkVGOTEyRDg3QTk1NEMwQT" localSheetId="65" hidden="1">#REF!</definedName>
    <definedName name="bb_RkVGOTEyRDg3QTk1NEMwQT" hidden="1">#REF!</definedName>
    <definedName name="bb_RkY3QUE0NDU4MDhGNENGNk" localSheetId="10" hidden="1">#REF!</definedName>
    <definedName name="bb_RkY3QUE0NDU4MDhGNENGNk" localSheetId="8" hidden="1">#REF!</definedName>
    <definedName name="bb_RkY3QUE0NDU4MDhGNENGNk" localSheetId="37" hidden="1">#REF!</definedName>
    <definedName name="bb_RkY3QUE0NDU4MDhGNENGNk" localSheetId="65" hidden="1">#REF!</definedName>
    <definedName name="bb_RkY3QUE0NDU4MDhGNENGNk" hidden="1">#REF!</definedName>
    <definedName name="bb_RTA3MkJBOTU5MEFGNDFCRT" hidden="1">#REF!</definedName>
    <definedName name="bb_RTA4Q0E5NzdCNjIwNDVGRE" hidden="1">#REF!</definedName>
    <definedName name="bb_RTA4Qzc0QzQ5REQyNEIwRU" hidden="1">#REF!</definedName>
    <definedName name="bb_RTA4RjNEQTk3MDRGNEQzRT" hidden="1">#REF!</definedName>
    <definedName name="bb_RTAxMEQzREI3NDMwNEZGNj" hidden="1">#REF!</definedName>
    <definedName name="bb_RTAyMzE3MENCMjAxNEY1RT" hidden="1">#REF!</definedName>
    <definedName name="bb_RTBEN0ZERDRFOEQ0NEFBQU" hidden="1">#REF!</definedName>
    <definedName name="bb_RTc4RENGODdEMEMyNDVDQ0" hidden="1">#REF!</definedName>
    <definedName name="bb_RTcxMkMzMTQ4OTUzNDBFRk" localSheetId="10" hidden="1">#REF!</definedName>
    <definedName name="bb_RTcxMkMzMTQ4OTUzNDBFRk" localSheetId="8" hidden="1">#REF!</definedName>
    <definedName name="bb_RTcxMkMzMTQ4OTUzNDBFRk" localSheetId="37" hidden="1">#REF!</definedName>
    <definedName name="bb_RTcxMkMzMTQ4OTUzNDBFRk" localSheetId="75" hidden="1">#REF!</definedName>
    <definedName name="bb_RTcxMkMzMTQ4OTUzNDBFRk" localSheetId="65" hidden="1">#REF!</definedName>
    <definedName name="bb_RTcxMkMzMTQ4OTUzNDBFRk" hidden="1">#REF!</definedName>
    <definedName name="bb_RTcxOTE3RjUyQzhCNDBCQ0" localSheetId="10" hidden="1">#REF!</definedName>
    <definedName name="bb_RTcxOTE3RjUyQzhCNDBCQ0" localSheetId="8" hidden="1">#REF!</definedName>
    <definedName name="bb_RTcxOTE3RjUyQzhCNDBCQ0" localSheetId="37" hidden="1">#REF!</definedName>
    <definedName name="bb_RTcxOTE3RjUyQzhCNDBCQ0" localSheetId="65" hidden="1">#REF!</definedName>
    <definedName name="bb_RTcxOTE3RjUyQzhCNDBCQ0" hidden="1">#REF!</definedName>
    <definedName name="bb_RTdBRUQ2MzdBODM4NENGMT" localSheetId="10" hidden="1">#REF!</definedName>
    <definedName name="bb_RTdBRUQ2MzdBODM4NENGMT" localSheetId="8" hidden="1">#REF!</definedName>
    <definedName name="bb_RTdBRUQ2MzdBODM4NENGMT" localSheetId="37" hidden="1">#REF!</definedName>
    <definedName name="bb_RTdBRUQ2MzdBODM4NENGMT" localSheetId="65" hidden="1">#REF!</definedName>
    <definedName name="bb_RTdBRUQ2MzdBODM4NENGMT" hidden="1">#REF!</definedName>
    <definedName name="bb_RTdEMzZDQzdCQzVDNDlDNT" localSheetId="10" hidden="1">#REF!</definedName>
    <definedName name="bb_RTdEMzZDQzdCQzVDNDlDNT" localSheetId="8" hidden="1">#REF!</definedName>
    <definedName name="bb_RTdEMzZDQzdCQzVDNDlDNT" localSheetId="37" hidden="1">#REF!</definedName>
    <definedName name="bb_RTdEMzZDQzdCQzVDNDlDNT" localSheetId="75" hidden="1">#REF!</definedName>
    <definedName name="bb_RTdEMzZDQzdCQzVDNDlDNT" localSheetId="65" hidden="1">#REF!</definedName>
    <definedName name="bb_RTdEMzZDQzdCQzVDNDlDNT" hidden="1">#REF!</definedName>
    <definedName name="bb_RTE2OEI1NTM0M0QwNDQ5Rk" localSheetId="10" hidden="1">#REF!</definedName>
    <definedName name="bb_RTE2OEI1NTM0M0QwNDQ5Rk" localSheetId="8" hidden="1">#REF!</definedName>
    <definedName name="bb_RTE2OEI1NTM0M0QwNDQ5Rk" localSheetId="37" hidden="1">#REF!</definedName>
    <definedName name="bb_RTE2OEI1NTM0M0QwNDQ5Rk" localSheetId="65" hidden="1">#REF!</definedName>
    <definedName name="bb_RTE2OEI1NTM0M0QwNDQ5Rk" hidden="1">#REF!</definedName>
    <definedName name="bb_RTE5QzFDNTE2MjgxNDBCRD" localSheetId="10" hidden="1">#REF!</definedName>
    <definedName name="bb_RTE5QzFDNTE2MjgxNDBCRD" localSheetId="8" hidden="1">#REF!</definedName>
    <definedName name="bb_RTE5QzFDNTE2MjgxNDBCRD" localSheetId="37" hidden="1">#REF!</definedName>
    <definedName name="bb_RTE5QzFDNTE2MjgxNDBCRD" localSheetId="65" hidden="1">#REF!</definedName>
    <definedName name="bb_RTE5QzFDNTE2MjgxNDBCRD" hidden="1">#REF!</definedName>
    <definedName name="bb_RTFBODcxOUMwQzNFNDlDRT" hidden="1">#REF!</definedName>
    <definedName name="bb_RTFCNDdFQTI4QjU1NDAzRj" hidden="1">#REF!</definedName>
    <definedName name="bb_RTFGRTAxOUI1NjQxNEYwOU" hidden="1">#REF!</definedName>
    <definedName name="bb_RTg0MzA0NUYxODMxNDQ3Mj" hidden="1">#REF!</definedName>
    <definedName name="bb_RTg0RDNGQ0Y5N0JENDhENk" hidden="1">#REF!</definedName>
    <definedName name="bb_RTgyMDEyMjE2MUY1NDJDRE" hidden="1">#REF!</definedName>
    <definedName name="bb_RThCREFBOEZBQ0ZENDM4Rk" hidden="1">#REF!</definedName>
    <definedName name="bb_RThENzAxNjAwMTg3NDc1MT" hidden="1">#REF!</definedName>
    <definedName name="bb_RTI1NzREQTFEQ0ZCNEVGMT" hidden="1">#REF!</definedName>
    <definedName name="bb_RTIxMURBNzUyMjJENDExQU" hidden="1">#REF!</definedName>
    <definedName name="bb_RTIyQThBRTg0NUMwNEM2OT" hidden="1">#REF!</definedName>
    <definedName name="bb_RTIzMDdGOEQzMTRGNEJEQT" hidden="1">#REF!</definedName>
    <definedName name="bb_RTJEMUEzRTNFRTY3NENGQj" hidden="1">#REF!</definedName>
    <definedName name="bb_RTk0REZBQTUwMUQ5NDA1NU" hidden="1">#REF!</definedName>
    <definedName name="bb_RTk1Q0MwQ0M4NjUxNEJCND" hidden="1">#REF!</definedName>
    <definedName name="bb_RTk5N0FCQzYyRUFCNDJFRE" localSheetId="10" hidden="1">#REF!</definedName>
    <definedName name="bb_RTk5N0FCQzYyRUFCNDJFRE" localSheetId="8" hidden="1">#REF!</definedName>
    <definedName name="bb_RTk5N0FCQzYyRUFCNDJFRE" localSheetId="37" hidden="1">#REF!</definedName>
    <definedName name="bb_RTk5N0FCQzYyRUFCNDJFRE" localSheetId="75" hidden="1">#REF!</definedName>
    <definedName name="bb_RTk5N0FCQzYyRUFCNDJFRE" localSheetId="65" hidden="1">#REF!</definedName>
    <definedName name="bb_RTk5N0FCQzYyRUFCNDJFRE" hidden="1">#REF!</definedName>
    <definedName name="bb_RTk5RkVBRDVBQjQ5NDNGN0" localSheetId="10" hidden="1">#REF!</definedName>
    <definedName name="bb_RTk5RkVBRDVBQjQ5NDNGN0" localSheetId="8" hidden="1">#REF!</definedName>
    <definedName name="bb_RTk5RkVBRDVBQjQ5NDNGN0" localSheetId="37" hidden="1">#REF!</definedName>
    <definedName name="bb_RTk5RkVBRDVBQjQ5NDNGN0" localSheetId="65" hidden="1">#REF!</definedName>
    <definedName name="bb_RTk5RkVBRDVBQjQ5NDNGN0" hidden="1">#REF!</definedName>
    <definedName name="bb_RTkxOEU4MTk4RUQzNDQ5OE" localSheetId="10" hidden="1">#REF!</definedName>
    <definedName name="bb_RTkxOEU4MTk4RUQzNDQ5OE" localSheetId="8" hidden="1">#REF!</definedName>
    <definedName name="bb_RTkxOEU4MTk4RUQzNDQ5OE" localSheetId="37" hidden="1">#REF!</definedName>
    <definedName name="bb_RTkxOEU4MTk4RUQzNDQ5OE" localSheetId="65" hidden="1">#REF!</definedName>
    <definedName name="bb_RTkxOEU4MTk4RUQzNDQ5OE" hidden="1">#REF!</definedName>
    <definedName name="bb_RTRDODdFNDU2MTg2NDYxQj" hidden="1">#REF!</definedName>
    <definedName name="bb_RTRGQUMxMjIwM0Y5NEQyNU" hidden="1">#REF!</definedName>
    <definedName name="bb_RTUwM0JDQUY0RkYzNERBRk" hidden="1">#REF!</definedName>
    <definedName name="bb_RUE1RTYzQkRGOTE0NDNFRj" hidden="1">#REF!</definedName>
    <definedName name="bb_RUE2ODVDNTUxMjcwNDI4OD" hidden="1">#REF!</definedName>
    <definedName name="bb_RUEyNTFBRjA4REQ3NDQyOE" hidden="1">#REF!</definedName>
    <definedName name="bb_RUI2QUI2REY0NTczNDhGNj" hidden="1">#REF!</definedName>
    <definedName name="bb_RUM3MTIxRkI3N0MzNEY1MT" hidden="1">#REF!</definedName>
    <definedName name="bb_RUNDM0VBMTM0MjhFNDgwRj" hidden="1">#REF!</definedName>
    <definedName name="bb_RURENEIzODQ0QjNCNEQ4Rj" hidden="1">#REF!</definedName>
    <definedName name="bb_RURFRUE2MDg1Rjk2NDZFQz" hidden="1">#REF!</definedName>
    <definedName name="bb_RUU4RTFENjQwRDRFNDdBRk" hidden="1">#REF!</definedName>
    <definedName name="bb_RUUwRjBEN0IzQkMzNDEwOD" hidden="1">#REF!</definedName>
    <definedName name="bb_RUYwNzhGNTQ5QTQxNDM1RE" hidden="1">#REF!</definedName>
    <definedName name="BBBBBBBB" localSheetId="75" hidden="1">#REF!</definedName>
    <definedName name="BBBBBBBB" localSheetId="78" hidden="1">#REF!</definedName>
    <definedName name="BBBBBBBB" hidden="1">#REF!</definedName>
    <definedName name="BLPH1" hidden="1">#REF!</definedName>
    <definedName name="BLPH10" hidden="1">#REF!</definedName>
    <definedName name="BLPH100"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87" hidden="1">#REF!</definedName>
    <definedName name="BLPH29" hidden="1">#REF!</definedName>
    <definedName name="BLPH30" hidden="1">#REF!</definedName>
    <definedName name="BLPH301"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7" hidden="1">#REF!</definedName>
    <definedName name="BLPH53" localSheetId="75" hidden="1">#REF!</definedName>
    <definedName name="BLPH53" localSheetId="78" hidden="1">#REF!</definedName>
    <definedName name="BLPH53" hidden="1">#REF!</definedName>
    <definedName name="BLPH54" hidden="1">#REF!</definedName>
    <definedName name="BLPH56" hidden="1">#REF!</definedName>
    <definedName name="BLPH57" hidden="1">#REF!</definedName>
    <definedName name="BLPH58" hidden="1">#REF!</definedName>
    <definedName name="BLPH59"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localSheetId="75" hidden="1">#REF!</definedName>
    <definedName name="BLPH7" localSheetId="78"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0" hidden="1">#REF!</definedName>
    <definedName name="BLPH91" hidden="1">#REF!</definedName>
    <definedName name="BLPH93" hidden="1">#REF!</definedName>
    <definedName name="BLPH99" localSheetId="75" hidden="1">#REF!</definedName>
    <definedName name="BLPH99" localSheetId="78" hidden="1">#REF!</definedName>
    <definedName name="BLPH99" hidden="1">#REF!</definedName>
    <definedName name="BLPR120040130170512210" hidden="1">#REF!</definedName>
    <definedName name="BLPR120040130170512210_1_8" hidden="1">#REF!</definedName>
    <definedName name="BLPR120040130170512210_2_8" hidden="1">#REF!</definedName>
    <definedName name="BLPR120040130170512210_3_8" hidden="1">#REF!</definedName>
    <definedName name="BLPR120040130170512210_4_8" hidden="1">#REF!</definedName>
    <definedName name="BLPR120040130170512210_5_8" hidden="1">#REF!</definedName>
    <definedName name="BLPR120040130170512210_6_8" hidden="1">#REF!</definedName>
    <definedName name="BLPR120040130170512210_7_8" hidden="1">#REF!</definedName>
    <definedName name="BLPR120040130170512210_8_8" hidden="1">#REF!</definedName>
    <definedName name="BLPR120040205162235653" hidden="1">#REF!</definedName>
    <definedName name="BLPR120040205162235653_1_8" hidden="1">#REF!</definedName>
    <definedName name="BLPR120040205162235653_2_8" hidden="1">#REF!</definedName>
    <definedName name="BLPR120040205162235653_3_8" hidden="1">#REF!</definedName>
    <definedName name="BLPR120040205162235653_4_8" hidden="1">#REF!</definedName>
    <definedName name="BLPR120040205162235653_5_8" hidden="1">#REF!</definedName>
    <definedName name="BLPR120040205162235653_6_8" hidden="1">#REF!</definedName>
    <definedName name="BLPR120040205162235653_7_8" hidden="1">#REF!</definedName>
    <definedName name="BLPR120040205162235653_8_8" hidden="1">#REF!</definedName>
    <definedName name="BLPR1520040130171441887" hidden="1">#REF!</definedName>
    <definedName name="BLPR1520040130171441887_1_8" hidden="1">#REF!</definedName>
    <definedName name="BLPR1520040130171441887_2_8" hidden="1">#REF!</definedName>
    <definedName name="BLPR1520040130171441887_3_8" hidden="1">#REF!</definedName>
    <definedName name="BLPR1520040130171441887_4_8" hidden="1">#REF!</definedName>
    <definedName name="BLPR1520040130171441887_5_8" hidden="1">#REF!</definedName>
    <definedName name="BLPR1520040130171441887_6_8" hidden="1">#REF!</definedName>
    <definedName name="BLPR1520040130171441887_7_8" hidden="1">#REF!</definedName>
    <definedName name="BLPR1520040130171441887_8_8" hidden="1">#REF!</definedName>
    <definedName name="BLPR1820040205165037169" hidden="1">#REF!</definedName>
    <definedName name="BLPR1820040205165037169_1_8" hidden="1">#REF!</definedName>
    <definedName name="BLPR1820040205165037169_2_8" hidden="1">#REF!</definedName>
    <definedName name="BLPR1820040205165037169_3_8" hidden="1">#REF!</definedName>
    <definedName name="BLPR1820040205165037169_4_8" hidden="1">#REF!</definedName>
    <definedName name="BLPR1820040205165037169_5_8" hidden="1">#REF!</definedName>
    <definedName name="BLPR1820040205165037169_6_8" hidden="1">#REF!</definedName>
    <definedName name="BLPR1820040205165037169_7_8" hidden="1">#REF!</definedName>
    <definedName name="BLPR1820040205165037169_8_8" hidden="1">#REF!</definedName>
    <definedName name="BLPR1920040130171513072" hidden="1">#REF!</definedName>
    <definedName name="BLPR1920040130171513072_1_8" hidden="1">#REF!</definedName>
    <definedName name="BLPR1920040130171513072_2_8" hidden="1">#REF!</definedName>
    <definedName name="BLPR1920040130171513072_3_8" hidden="1">#REF!</definedName>
    <definedName name="BLPR1920040130171513072_4_8" hidden="1">#REF!</definedName>
    <definedName name="BLPR1920040130171513072_5_8" hidden="1">#REF!</definedName>
    <definedName name="BLPR1920040130171513072_6_8" hidden="1">#REF!</definedName>
    <definedName name="BLPR1920040130171513072_7_8" hidden="1">#REF!</definedName>
    <definedName name="BLPR1920040130171513072_8_8" hidden="1">#REF!</definedName>
    <definedName name="BLPR220040204201237693" hidden="1">#REF!</definedName>
    <definedName name="BLPR220040204201237693_1_8" hidden="1">#REF!</definedName>
    <definedName name="BLPR220040204201237693_2_8" hidden="1">#REF!</definedName>
    <definedName name="BLPR220040204201237693_3_8" hidden="1">#REF!</definedName>
    <definedName name="BLPR220040204201237693_4_8" hidden="1">#REF!</definedName>
    <definedName name="BLPR220040204201237693_5_8" localSheetId="39" hidden="1">'C-11'!#REF!</definedName>
    <definedName name="BLPR220040204201237693_5_8" localSheetId="27" hidden="1">#REF!</definedName>
    <definedName name="BLPR220040204201237693_5_8" localSheetId="29" hidden="1">#REF!</definedName>
    <definedName name="BLPR220040204201237693_5_8" localSheetId="1" hidden="1">#REF!</definedName>
    <definedName name="BLPR220040204201237693_5_8" hidden="1">'[13]Download Sheet'!#REF!</definedName>
    <definedName name="BLPR220040204201237693_6_8" hidden="1">#REF!</definedName>
    <definedName name="BLPR220040204201237693_7_8" hidden="1">#REF!</definedName>
    <definedName name="BLPR220040204201237693_8_8" hidden="1">#REF!</definedName>
    <definedName name="BLPR2220040130171524561" hidden="1">#REF!</definedName>
    <definedName name="BLPR2220040130171524561_1_8" hidden="1">#REF!</definedName>
    <definedName name="BLPR2220040130171524561_2_8" hidden="1">#REF!</definedName>
    <definedName name="BLPR2220040130171524561_3_8" hidden="1">#REF!</definedName>
    <definedName name="BLPR2220040130171524561_4_8" hidden="1">#REF!</definedName>
    <definedName name="BLPR2220040130171524561_5_8" hidden="1">#REF!</definedName>
    <definedName name="BLPR2220040130171524561_6_8" hidden="1">#REF!</definedName>
    <definedName name="BLPR2220040130171524561_7_8" hidden="1">#REF!</definedName>
    <definedName name="BLPR2220040130171524561_8_8" hidden="1">#REF!</definedName>
    <definedName name="BLPR2420040130171533284" hidden="1">#REF!</definedName>
    <definedName name="BLPR2420040130171533284_1_8" hidden="1">#REF!</definedName>
    <definedName name="BLPR2420040130171533284_2_8" hidden="1">#REF!</definedName>
    <definedName name="BLPR2420040130171533284_3_8" hidden="1">#REF!</definedName>
    <definedName name="BLPR2420040130171533284_4_8" hidden="1">#REF!</definedName>
    <definedName name="BLPR2420040130171533284_5_8" hidden="1">#REF!</definedName>
    <definedName name="BLPR2420040130171533284_6_8" hidden="1">#REF!</definedName>
    <definedName name="BLPR2420040130171533284_7_8" hidden="1">#REF!</definedName>
    <definedName name="BLPR2420040130171533284_8_8" hidden="1">#REF!</definedName>
    <definedName name="BLPR2520040130171541287" hidden="1">#REF!</definedName>
    <definedName name="BLPR2520040130171541287_1_8" hidden="1">#REF!</definedName>
    <definedName name="BLPR2520040130171541287_2_8" hidden="1">#REF!</definedName>
    <definedName name="BLPR2520040130171541287_3_8" hidden="1">#REF!</definedName>
    <definedName name="BLPR2520040130171541287_4_8" hidden="1">#REF!</definedName>
    <definedName name="BLPR2520040130171541287_5_8" localSheetId="39" hidden="1">'C-11'!#REF!</definedName>
    <definedName name="BLPR2520040130171541287_5_8" localSheetId="27" hidden="1">#REF!</definedName>
    <definedName name="BLPR2520040130171541287_5_8" localSheetId="29" hidden="1">#REF!</definedName>
    <definedName name="BLPR2520040130171541287_5_8" localSheetId="1" hidden="1">#REF!</definedName>
    <definedName name="BLPR2520040130171541287_5_8" hidden="1">'[13]Download Sheet'!#REF!</definedName>
    <definedName name="BLPR2520040130171541287_6_8" hidden="1">#REF!</definedName>
    <definedName name="BLPR2520040130171541287_7_8" hidden="1">#REF!</definedName>
    <definedName name="BLPR2520040130171541287_8_8" hidden="1">#REF!</definedName>
    <definedName name="BLPR2620040130171544867" hidden="1">#REF!</definedName>
    <definedName name="BLPR2620040130171544867_1_8" hidden="1">#REF!</definedName>
    <definedName name="BLPR2620040130171544867_2_8" hidden="1">#REF!</definedName>
    <definedName name="BLPR2620040130171544867_3_8" hidden="1">#REF!</definedName>
    <definedName name="BLPR2620040130171544867_4_8" hidden="1">#REF!</definedName>
    <definedName name="BLPR2620040130171544867_5_8" hidden="1">#REF!</definedName>
    <definedName name="BLPR2620040130171544867_6_8" hidden="1">#REF!</definedName>
    <definedName name="BLPR2620040130171544867_7_8" hidden="1">#REF!</definedName>
    <definedName name="BLPR2620040130171544867_8_8" hidden="1">#REF!</definedName>
    <definedName name="BLPR2720040130171547962" hidden="1">#REF!</definedName>
    <definedName name="BLPR2720040130171547962_1_8" hidden="1">#REF!</definedName>
    <definedName name="BLPR2720040130171547962_2_8" hidden="1">#REF!</definedName>
    <definedName name="BLPR2720040130171547962_3_8" hidden="1">#REF!</definedName>
    <definedName name="BLPR2720040130171547962_4_8" hidden="1">#REF!</definedName>
    <definedName name="BLPR2720040130171547962_5_8" hidden="1">#REF!</definedName>
    <definedName name="BLPR2720040130171547962_6_8" hidden="1">#REF!</definedName>
    <definedName name="BLPR2720040130171547962_7_8" hidden="1">#REF!</definedName>
    <definedName name="BLPR2720040130171547962_8_8" hidden="1">#REF!</definedName>
    <definedName name="BLPR2920040130171555449" hidden="1">#REF!</definedName>
    <definedName name="BLPR2920040130171555449_1_8" hidden="1">#REF!</definedName>
    <definedName name="BLPR2920040130171555449_2_8" hidden="1">#REF!</definedName>
    <definedName name="BLPR2920040130171555449_3_8" hidden="1">#REF!</definedName>
    <definedName name="BLPR2920040130171555449_4_8" hidden="1">#REF!</definedName>
    <definedName name="BLPR2920040130171555449_5_8" hidden="1">#REF!</definedName>
    <definedName name="BLPR2920040130171555449_6_8" hidden="1">#REF!</definedName>
    <definedName name="BLPR2920040130171555449_7_8" hidden="1">#REF!</definedName>
    <definedName name="BLPR2920040130171555449_8_8" hidden="1">#REF!</definedName>
    <definedName name="BLPR3020040130171601577" hidden="1">#REF!</definedName>
    <definedName name="BLPR3020040130171601577_1_8" hidden="1">#REF!</definedName>
    <definedName name="BLPR3020040130171601577_2_8" hidden="1">#REF!</definedName>
    <definedName name="BLPR3020040130171601577_3_8" hidden="1">#REF!</definedName>
    <definedName name="BLPR3020040130171601577_4_8" hidden="1">#REF!</definedName>
    <definedName name="BLPR3020040130171601577_5_8" hidden="1">#REF!</definedName>
    <definedName name="BLPR3020040130171601577_6_8" hidden="1">#REF!</definedName>
    <definedName name="BLPR3020040130171601577_7_8" hidden="1">#REF!</definedName>
    <definedName name="BLPR3020040130171601577_8_8" hidden="1">#REF!</definedName>
    <definedName name="BLPR320040204201544761" hidden="1">#REF!</definedName>
    <definedName name="BLPR320040204201544761_1_1" hidden="1">#REF!</definedName>
    <definedName name="BLPR3220040130171610424" hidden="1">#REF!</definedName>
    <definedName name="BLPR3220040130171610424_1_8" hidden="1">#REF!</definedName>
    <definedName name="BLPR3220040130171610424_2_8" hidden="1">#REF!</definedName>
    <definedName name="BLPR3220040130171610424_3_8" hidden="1">#REF!</definedName>
    <definedName name="BLPR3220040130171610424_4_8" hidden="1">#REF!</definedName>
    <definedName name="BLPR3220040130171610424_5_8" hidden="1">#REF!</definedName>
    <definedName name="BLPR3220040130171610424_6_8" hidden="1">#REF!</definedName>
    <definedName name="BLPR3220040130171610424_7_8" hidden="1">#REF!</definedName>
    <definedName name="BLPR3220040130171610424_8_8" hidden="1">#REF!</definedName>
    <definedName name="BLPR3320040130171738961" hidden="1">#REF!</definedName>
    <definedName name="BLPR3320040130171738961_1_8" hidden="1">#REF!</definedName>
    <definedName name="BLPR3320040130171738961_2_8" hidden="1">#REF!</definedName>
    <definedName name="BLPR3320040130171738961_3_8" hidden="1">#REF!</definedName>
    <definedName name="BLPR3320040130171738961_4_8" hidden="1">#REF!</definedName>
    <definedName name="BLPR3320040130171738961_5_8" hidden="1">#REF!</definedName>
    <definedName name="BLPR3320040130171738961_6_8" hidden="1">#REF!</definedName>
    <definedName name="BLPR3320040130171738961_7_8" hidden="1">#REF!</definedName>
    <definedName name="BLPR3320040130171738961_8_8" hidden="1">#REF!</definedName>
    <definedName name="BLPR3420040130171750184" hidden="1">#REF!</definedName>
    <definedName name="BLPR3420040130171750184_1_8" hidden="1">#REF!</definedName>
    <definedName name="BLPR3420040130171750184_2_8" hidden="1">#REF!</definedName>
    <definedName name="BLPR3420040130171750184_3_8" hidden="1">#REF!</definedName>
    <definedName name="BLPR3420040130171750184_4_8" hidden="1">#REF!</definedName>
    <definedName name="BLPR3420040130171750184_5_8" hidden="1">#REF!</definedName>
    <definedName name="BLPR3420040130171750184_6_8" hidden="1">#REF!</definedName>
    <definedName name="BLPR3420040130171750184_7_8" hidden="1">#REF!</definedName>
    <definedName name="BLPR3420040130171750184_8_8" hidden="1">#REF!</definedName>
    <definedName name="BLPR3520040130171814679" hidden="1">#REF!</definedName>
    <definedName name="BLPR3520040130171814679_1_8" hidden="1">#REF!</definedName>
    <definedName name="BLPR3520040130171814679_2_8" hidden="1">#REF!</definedName>
    <definedName name="BLPR3520040130171814679_3_8" hidden="1">#REF!</definedName>
    <definedName name="BLPR3520040130171814679_4_8" hidden="1">#REF!</definedName>
    <definedName name="BLPR3520040130171814679_5_8" hidden="1">#REF!</definedName>
    <definedName name="BLPR3520040130171814679_6_8" hidden="1">#REF!</definedName>
    <definedName name="BLPR3520040130171814679_7_8" hidden="1">#REF!</definedName>
    <definedName name="BLPR3520040130171814679_8_8" hidden="1">#REF!</definedName>
    <definedName name="BLPR3620040130171814679" hidden="1">#REF!</definedName>
    <definedName name="BLPR3620040130171814679_1_8" hidden="1">#REF!</definedName>
    <definedName name="BLPR3620040130171814679_2_8" hidden="1">#REF!</definedName>
    <definedName name="BLPR3620040130171814679_3_8" hidden="1">#REF!</definedName>
    <definedName name="BLPR3620040130171814679_4_8" hidden="1">#REF!</definedName>
    <definedName name="BLPR3620040130171814679_5_8" hidden="1">#REF!</definedName>
    <definedName name="BLPR3620040130171814679_6_8" hidden="1">#REF!</definedName>
    <definedName name="BLPR3620040130171814679_7_8" hidden="1">#REF!</definedName>
    <definedName name="BLPR3620040130171814679_8_8" hidden="1">#REF!</definedName>
    <definedName name="BLPR3720040130171901073" hidden="1">#REF!</definedName>
    <definedName name="BLPR3720040130171901073_1_8" hidden="1">#REF!</definedName>
    <definedName name="BLPR3720040130171901073_2_8" hidden="1">#REF!</definedName>
    <definedName name="BLPR3720040130171901073_3_8" hidden="1">#REF!</definedName>
    <definedName name="BLPR3720040130171901073_4_8" hidden="1">#REF!</definedName>
    <definedName name="BLPR3720040130171901073_5_8" hidden="1">#REF!</definedName>
    <definedName name="BLPR3720040130171901073_6_8" hidden="1">#REF!</definedName>
    <definedName name="BLPR3720040130171901073_7_8" hidden="1">#REF!</definedName>
    <definedName name="BLPR3720040130171901073_8_8" hidden="1">#REF!</definedName>
    <definedName name="BLPR3820040130171905294" hidden="1">#REF!</definedName>
    <definedName name="BLPR3820040130171905294_1_8" hidden="1">#REF!</definedName>
    <definedName name="BLPR3820040130171905294_2_8" hidden="1">#REF!</definedName>
    <definedName name="BLPR3820040130171905294_3_8" hidden="1">#REF!</definedName>
    <definedName name="BLPR3820040130171905294_4_8" hidden="1">#REF!</definedName>
    <definedName name="BLPR3820040130171905294_5_8" hidden="1">#REF!</definedName>
    <definedName name="BLPR3820040130171905294_6_8" hidden="1">#REF!</definedName>
    <definedName name="BLPR3820040130171905294_7_8" hidden="1">#REF!</definedName>
    <definedName name="BLPR3820040130171905294_8_8" hidden="1">#REF!</definedName>
    <definedName name="BLPR3920040130171914282" hidden="1">#REF!</definedName>
    <definedName name="BLPR3920040130171914282_1_8" hidden="1">#REF!</definedName>
    <definedName name="BLPR3920040130171914282_2_8" hidden="1">#REF!</definedName>
    <definedName name="BLPR3920040130171914282_3_8" hidden="1">#REF!</definedName>
    <definedName name="BLPR3920040130171914282_4_8" hidden="1">#REF!</definedName>
    <definedName name="BLPR3920040130171914282_5_8" hidden="1">#REF!</definedName>
    <definedName name="BLPR3920040130171914282_6_8" hidden="1">#REF!</definedName>
    <definedName name="BLPR3920040130171914282_7_8" hidden="1">#REF!</definedName>
    <definedName name="BLPR3920040130171914282_8_8" hidden="1">#REF!</definedName>
    <definedName name="BLPR4020040130171936619" hidden="1">#REF!</definedName>
    <definedName name="BLPR4020040130171936619_1_8" hidden="1">#REF!</definedName>
    <definedName name="BLPR4020040130171936619_2_8" hidden="1">#REF!</definedName>
    <definedName name="BLPR4020040130171936619_3_8" hidden="1">#REF!</definedName>
    <definedName name="BLPR4020040130171936619_4_8" hidden="1">#REF!</definedName>
    <definedName name="BLPR4020040130171936619_5_8" hidden="1">#REF!</definedName>
    <definedName name="BLPR4020040130171936619_6_8" hidden="1">#REF!</definedName>
    <definedName name="BLPR4020040130171936619_7_8" hidden="1">#REF!</definedName>
    <definedName name="BLPR4020040130171936619_8_8" hidden="1">#REF!</definedName>
    <definedName name="BLPR4120040130171947968" hidden="1">#REF!</definedName>
    <definedName name="BLPR4120040130171947968_1_8" hidden="1">#REF!</definedName>
    <definedName name="BLPR4120040130171947968_2_8" hidden="1">#REF!</definedName>
    <definedName name="BLPR4120040130171947968_3_8" hidden="1">#REF!</definedName>
    <definedName name="BLPR4120040130171947968_4_8" hidden="1">#REF!</definedName>
    <definedName name="BLPR4120040130171947968_5_8" hidden="1">#REF!</definedName>
    <definedName name="BLPR4120040130171947968_6_8" hidden="1">#REF!</definedName>
    <definedName name="BLPR4120040130171947968_7_8" hidden="1">#REF!</definedName>
    <definedName name="BLPR4120040130171947968_8_8" hidden="1">#REF!</definedName>
    <definedName name="BLPR420040204201601667" hidden="1">#REF!</definedName>
    <definedName name="BLPR420040204201601667_1_1" hidden="1">#REF!</definedName>
    <definedName name="BLPR420040205162630481" hidden="1">#REF!</definedName>
    <definedName name="BLPR420040205162630481_1_8" hidden="1">#REF!</definedName>
    <definedName name="BLPR420040205162630481_2_8" hidden="1">#REF!</definedName>
    <definedName name="BLPR420040205162630481_3_8" hidden="1">#REF!</definedName>
    <definedName name="BLPR420040205162630481_4_8" hidden="1">#REF!</definedName>
    <definedName name="BLPR420040205162630481_5_8" hidden="1">#REF!</definedName>
    <definedName name="BLPR420040205162630481_6_8" hidden="1">#REF!</definedName>
    <definedName name="BLPR420040205162630481_7_8" hidden="1">#REF!</definedName>
    <definedName name="BLPR420040205162630481_8_8" hidden="1">#REF!</definedName>
    <definedName name="BLPR4220040130171953095" hidden="1">#REF!</definedName>
    <definedName name="BLPR4220040130171953095_1_8" hidden="1">#REF!</definedName>
    <definedName name="BLPR4220040130171953095_2_8" hidden="1">#REF!</definedName>
    <definedName name="BLPR4220040130171953095_3_8" hidden="1">#REF!</definedName>
    <definedName name="BLPR4220040130171953095_4_8" hidden="1">#REF!</definedName>
    <definedName name="BLPR4220040130171953095_5_8" hidden="1">#REF!</definedName>
    <definedName name="BLPR4220040130171953095_6_8" hidden="1">#REF!</definedName>
    <definedName name="BLPR4220040130171953095_7_8" hidden="1">#REF!</definedName>
    <definedName name="BLPR4220040130171953095_8_8" hidden="1">#REF!</definedName>
    <definedName name="BLPR4320040130171958660" hidden="1">#REF!</definedName>
    <definedName name="BLPR4320040130171958660_1_8" hidden="1">#REF!</definedName>
    <definedName name="BLPR4320040130171958660_2_8" hidden="1">#REF!</definedName>
    <definedName name="BLPR4320040130171958660_3_8" hidden="1">#REF!</definedName>
    <definedName name="BLPR4320040130171958660_4_8" hidden="1">#REF!</definedName>
    <definedName name="BLPR4320040130171958660_5_8" hidden="1">#REF!</definedName>
    <definedName name="BLPR4320040130171958660_6_8" hidden="1">#REF!</definedName>
    <definedName name="BLPR4320040130171958660_7_8" hidden="1">#REF!</definedName>
    <definedName name="BLPR4320040130171958660_8_8" hidden="1">#REF!</definedName>
    <definedName name="BLPR4420040130172003115" hidden="1">#REF!</definedName>
    <definedName name="BLPR4420040130172003115_1_8" hidden="1">#REF!</definedName>
    <definedName name="BLPR4420040130172003115_2_8" hidden="1">#REF!</definedName>
    <definedName name="BLPR4420040130172003115_3_8" hidden="1">#REF!</definedName>
    <definedName name="BLPR4420040130172003115_4_8" hidden="1">#REF!</definedName>
    <definedName name="BLPR4420040130172003115_5_8" hidden="1">#REF!</definedName>
    <definedName name="BLPR4420040130172003115_6_8" hidden="1">#REF!</definedName>
    <definedName name="BLPR4420040130172003115_7_8" hidden="1">#REF!</definedName>
    <definedName name="BLPR4420040130172003115_8_8" hidden="1">#REF!</definedName>
    <definedName name="BLPR4520040130172016464" hidden="1">#REF!</definedName>
    <definedName name="BLPR4520040130172016464_1_8" hidden="1">#REF!</definedName>
    <definedName name="BLPR4520040130172016464_2_8" hidden="1">#REF!</definedName>
    <definedName name="BLPR4520040130172016464_3_8" hidden="1">#REF!</definedName>
    <definedName name="BLPR4520040130172016464_4_8" hidden="1">#REF!</definedName>
    <definedName name="BLPR4520040130172016464_5_8" hidden="1">#REF!</definedName>
    <definedName name="BLPR4520040130172016464_6_8" hidden="1">#REF!</definedName>
    <definedName name="BLPR4520040130172016464_7_8" hidden="1">#REF!</definedName>
    <definedName name="BLPR4520040130172016464_8_8" hidden="1">#REF!</definedName>
    <definedName name="BLPR4620040130231314082" hidden="1">#REF!</definedName>
    <definedName name="BLPR4620040130231314082_1_8" hidden="1">#REF!</definedName>
    <definedName name="BLPR4620040130231314082_2_8" hidden="1">#REF!</definedName>
    <definedName name="BLPR4620040130231314082_3_8" hidden="1">#REF!</definedName>
    <definedName name="BLPR4620040130231314082_4_8" hidden="1">#REF!</definedName>
    <definedName name="BLPR4620040130231314082_5_8" hidden="1">#REF!</definedName>
    <definedName name="BLPR4620040130231314082_6_8" hidden="1">#REF!</definedName>
    <definedName name="BLPR4620040130231314082_7_8" hidden="1">#REF!</definedName>
    <definedName name="BLPR4620040130231314082_8_8" hidden="1">#REF!</definedName>
    <definedName name="BLPR520040204201726358" hidden="1">#REF!</definedName>
    <definedName name="BLPR520040204201726358_1_8" hidden="1">#REF!</definedName>
    <definedName name="BLPR520040204201726358_2_8" hidden="1">#REF!</definedName>
    <definedName name="BLPR520040204201726358_3_8" hidden="1">#REF!</definedName>
    <definedName name="BLPR520040204201726358_4_8" hidden="1">#REF!</definedName>
    <definedName name="BLPR520040204201726358_5_8" hidden="1">#REF!</definedName>
    <definedName name="BLPR520040204201726358_6_8" hidden="1">#REF!</definedName>
    <definedName name="BLPR520040204201726358_7_8" hidden="1">#REF!</definedName>
    <definedName name="BLPR520040204201726358_8_8" hidden="1">#REF!</definedName>
    <definedName name="BLPR520040205162639919" hidden="1">#REF!</definedName>
    <definedName name="BLPR520040205162639919_1_8" hidden="1">#REF!</definedName>
    <definedName name="BLPR520040205162639919_2_8" hidden="1">#REF!</definedName>
    <definedName name="BLPR520040205162639919_3_8" hidden="1">#REF!</definedName>
    <definedName name="BLPR520040205162639919_4_8" hidden="1">#REF!</definedName>
    <definedName name="BLPR520040205162639919_5_8" hidden="1">#REF!</definedName>
    <definedName name="BLPR520040205162639919_6_8" hidden="1">#REF!</definedName>
    <definedName name="BLPR520040205162639919_7_8" hidden="1">#REF!</definedName>
    <definedName name="BLPR520040205162639919_8_8" hidden="1">#REF!</definedName>
    <definedName name="BNE_MESSAGES_HIDDEN" localSheetId="10" hidden="1">#REF!</definedName>
    <definedName name="BNE_MESSAGES_HIDDEN" localSheetId="8" hidden="1">#REF!</definedName>
    <definedName name="BNE_MESSAGES_HIDDEN" localSheetId="37" hidden="1">#REF!</definedName>
    <definedName name="BNE_MESSAGES_HIDDEN" localSheetId="75" hidden="1">#REF!</definedName>
    <definedName name="BNE_MESSAGES_HIDDEN" localSheetId="65" hidden="1">#REF!</definedName>
    <definedName name="BNE_MESSAGES_HIDDEN" hidden="1">#REF!</definedName>
    <definedName name="BOOLEAN" localSheetId="39">'C-11'!#REF!</definedName>
    <definedName name="BOOLEAN" localSheetId="1">#REF!</definedName>
    <definedName name="BOOLEAN">[6]Backend!$A$2:$A$3</definedName>
    <definedName name="Calc">#REF!</definedName>
    <definedName name="Calculated">#REF!</definedName>
    <definedName name="Capital_Cost_Year">2018</definedName>
    <definedName name="Capital_Inflation">1%</definedName>
    <definedName name="Category_Of_Work_List">#REF!</definedName>
    <definedName name="CBWorkbookPriority" localSheetId="29" hidden="1">-284672641</definedName>
    <definedName name="CBWorkbookPriority" hidden="1">-1527382509</definedName>
    <definedName name="CC_toggle">1</definedName>
    <definedName name="ccccccccccccccc" hidden="1">#REF!</definedName>
    <definedName name="cHighCol">#REF!</definedName>
    <definedName name="CIQWBGuid" localSheetId="75" hidden="1">"Table of factors english1.xlsx"</definedName>
    <definedName name="CIQWBGuid" hidden="1">"fc017ab3-f96c-4688-bf39-8268c8530c8e"</definedName>
    <definedName name="ClassAdvCP" localSheetId="39">'C-11'!#REF!</definedName>
    <definedName name="ClassAdvCP" localSheetId="1">#REF!</definedName>
    <definedName name="ClassAdvCP">'[6]Class Allocation'!$E$492:$Q$492</definedName>
    <definedName name="ClassAdvCust" localSheetId="39">'C-11'!#REF!</definedName>
    <definedName name="ClassAdvCust" localSheetId="1">#REF!</definedName>
    <definedName name="ClassAdvCust">'[6]Class Allocation'!$E$494:$Q$494</definedName>
    <definedName name="ClassAdvNCP" localSheetId="39">'C-11'!#REF!</definedName>
    <definedName name="ClassAdvNCP" localSheetId="1">#REF!</definedName>
    <definedName name="ClassAdvNCP">'[6]Class Allocation'!$E$493:$Q$493</definedName>
    <definedName name="ClassAGCP" localSheetId="39">'C-11'!#REF!</definedName>
    <definedName name="ClassAGCP" localSheetId="1">#REF!</definedName>
    <definedName name="ClassAGCP">'[6]Class Allocation'!$E$421:$Q$421</definedName>
    <definedName name="ClassAGCust" localSheetId="39">'C-11'!#REF!</definedName>
    <definedName name="ClassAGCust" localSheetId="1">#REF!</definedName>
    <definedName name="ClassAGCust">'[6]Class Allocation'!$E$423:$Q$423</definedName>
    <definedName name="ClassAGDirect" localSheetId="39">'C-11'!#REF!</definedName>
    <definedName name="ClassAGDirect" localSheetId="1">#REF!</definedName>
    <definedName name="ClassAGDirect">'[6]Class Allocation'!$E$424:$Q$424</definedName>
    <definedName name="ClassAGEnergy" localSheetId="39">'C-11'!#REF!</definedName>
    <definedName name="ClassAGEnergy" localSheetId="1">#REF!</definedName>
    <definedName name="ClassAGEnergy">'[6]Class Allocation'!$E$418:$Q$418</definedName>
    <definedName name="ClassAGNCP" localSheetId="39">'C-11'!#REF!</definedName>
    <definedName name="ClassAGNCP" localSheetId="1">#REF!</definedName>
    <definedName name="ClassAGNCP">'[6]Class Allocation'!$E$422:$Q$422</definedName>
    <definedName name="ClassAGProd" localSheetId="39">'C-11'!#REF!</definedName>
    <definedName name="ClassAGProd" localSheetId="1">#REF!</definedName>
    <definedName name="ClassAGProd">'[6]Class Allocation'!$E$419:$Q$419</definedName>
    <definedName name="ClassAGRev" localSheetId="39">'C-11'!#REF!</definedName>
    <definedName name="ClassAGRev" localSheetId="1">#REF!</definedName>
    <definedName name="ClassAGRev">'[6]Class Allocation'!$E$425:$Q$425</definedName>
    <definedName name="ClassAGTrans" localSheetId="39">'C-11'!#REF!</definedName>
    <definedName name="ClassAGTrans" localSheetId="1">#REF!</definedName>
    <definedName name="ClassAGTrans">'[6]Class Allocation'!$E$420:$Q$420</definedName>
    <definedName name="ClassCustAcctCust" localSheetId="39">'C-11'!#REF!</definedName>
    <definedName name="ClassCustAcctCust" localSheetId="1">#REF!</definedName>
    <definedName name="ClassCustAcctCust">'[6]Class Allocation'!$E$403:$Q$403</definedName>
    <definedName name="ClassCustAcctDirect" localSheetId="39">'C-11'!#REF!</definedName>
    <definedName name="ClassCustAcctDirect" localSheetId="1">#REF!</definedName>
    <definedName name="ClassCustAcctDirect">'[6]Class Allocation'!$E$404:$Q$404</definedName>
    <definedName name="ClassCustAcctRev" localSheetId="39">'C-11'!#REF!</definedName>
    <definedName name="ClassCustAcctRev" localSheetId="1">#REF!</definedName>
    <definedName name="ClassCustAcctRev">'[6]Class Allocation'!$E$405:$Q$405</definedName>
    <definedName name="ClassDefic" localSheetId="39">'C-11'!#REF!</definedName>
    <definedName name="ClassDefic" localSheetId="1">#REF!</definedName>
    <definedName name="ClassDefic">'[6]Class Allocation'!$E$66:$Q$66</definedName>
    <definedName name="ClassDeprAmortCP" localSheetId="39">'C-11'!#REF!</definedName>
    <definedName name="ClassDeprAmortCP" localSheetId="1">#REF!</definedName>
    <definedName name="ClassDeprAmortCP">'[6]Class Allocation'!$E$440:$Q$440</definedName>
    <definedName name="ClassDeprAmortCust" localSheetId="39">'C-11'!#REF!</definedName>
    <definedName name="ClassDeprAmortCust" localSheetId="1">#REF!</definedName>
    <definedName name="ClassDeprAmortCust">'[6]Class Allocation'!$E$442:$Q$442</definedName>
    <definedName name="ClassDeprAmortDirect" localSheetId="39">'C-11'!#REF!</definedName>
    <definedName name="ClassDeprAmortDirect" localSheetId="1">#REF!</definedName>
    <definedName name="ClassDeprAmortDirect">'[6]Class Allocation'!$E$443:$Q$443</definedName>
    <definedName name="ClassDeprAmortEnergy" localSheetId="39">'C-11'!#REF!</definedName>
    <definedName name="ClassDeprAmortEnergy" localSheetId="1">#REF!</definedName>
    <definedName name="ClassDeprAmortEnergy">'[6]Class Allocation'!$E$437:$Q$437</definedName>
    <definedName name="ClassDeprAmortNCP" localSheetId="39">'C-11'!#REF!</definedName>
    <definedName name="ClassDeprAmortNCP" localSheetId="1">#REF!</definedName>
    <definedName name="ClassDeprAmortNCP">'[6]Class Allocation'!$E$441:$Q$441</definedName>
    <definedName name="ClassDeprAmortProd" localSheetId="39">'C-11'!#REF!</definedName>
    <definedName name="ClassDeprAmortProd" localSheetId="1">#REF!</definedName>
    <definedName name="ClassDeprAmortProd">'[6]Class Allocation'!$E$438:$Q$438</definedName>
    <definedName name="ClassDeprAmortTrans" localSheetId="39">'C-11'!#REF!</definedName>
    <definedName name="ClassDeprAmortTrans" localSheetId="1">#REF!</definedName>
    <definedName name="ClassDeprAmortTrans">'[6]Class Allocation'!$E$439:$Q$439</definedName>
    <definedName name="ClassDeprCP" localSheetId="39">'C-11'!#REF!</definedName>
    <definedName name="ClassDeprCP" localSheetId="1">#REF!</definedName>
    <definedName name="ClassDeprCP">'[6]Class Allocation'!$E$477:$Q$477</definedName>
    <definedName name="ClassDeprCust" localSheetId="39">'C-11'!#REF!</definedName>
    <definedName name="ClassDeprCust" localSheetId="1">#REF!</definedName>
    <definedName name="ClassDeprCust">'[6]Class Allocation'!$E$479:$Q$479</definedName>
    <definedName name="ClassDeprDirect" localSheetId="39">'C-11'!#REF!</definedName>
    <definedName name="ClassDeprDirect" localSheetId="1">#REF!</definedName>
    <definedName name="ClassDeprDirect">'[6]Class Allocation'!$E$480:$Q$480</definedName>
    <definedName name="ClassDeprEnergy" localSheetId="39">'C-11'!#REF!</definedName>
    <definedName name="ClassDeprEnergy" localSheetId="1">#REF!</definedName>
    <definedName name="ClassDeprEnergy">'[6]Class Allocation'!$E$474:$Q$474</definedName>
    <definedName name="ClassDeprNCP" localSheetId="39">'C-11'!#REF!</definedName>
    <definedName name="ClassDeprNCP" localSheetId="1">#REF!</definedName>
    <definedName name="ClassDeprNCP">'[6]Class Allocation'!$E$478:$Q$478</definedName>
    <definedName name="ClassDeprOH_PrimaryC" localSheetId="39">'C-11'!#REF!</definedName>
    <definedName name="ClassDeprOH_PrimaryC" localSheetId="1">#REF!</definedName>
    <definedName name="ClassDeprOH_PrimaryC">'[6]Class Allocation'!$E$329:$Q$329</definedName>
    <definedName name="ClassDeprOH_PrimaryD" localSheetId="39">'C-11'!#REF!</definedName>
    <definedName name="ClassDeprOH_PrimaryD" localSheetId="1">#REF!</definedName>
    <definedName name="ClassDeprOH_PrimaryD">'[6]Class Allocation'!$E$328:$Q$328</definedName>
    <definedName name="ClassDeprOH_SecondaryC" localSheetId="39">'C-11'!#REF!</definedName>
    <definedName name="ClassDeprOH_SecondaryC" localSheetId="1">#REF!</definedName>
    <definedName name="ClassDeprOH_SecondaryC">'[6]Class Allocation'!$E$331:$Q$331</definedName>
    <definedName name="ClassDeprOH_SecondaryD" localSheetId="39">'C-11'!#REF!</definedName>
    <definedName name="ClassDeprOH_SecondaryD" localSheetId="1">#REF!</definedName>
    <definedName name="ClassDeprOH_SecondaryD">'[6]Class Allocation'!$E$330:$Q$330</definedName>
    <definedName name="ClassDeprProd" localSheetId="39">'C-11'!#REF!</definedName>
    <definedName name="ClassDeprProd" localSheetId="1">#REF!</definedName>
    <definedName name="ClassDeprProd">'[6]Class Allocation'!$E$475:$Q$475</definedName>
    <definedName name="ClassDeprTrans" localSheetId="39">'C-11'!#REF!</definedName>
    <definedName name="ClassDeprTrans" localSheetId="1">#REF!</definedName>
    <definedName name="ClassDeprTrans">'[6]Class Allocation'!$E$476:$Q$476</definedName>
    <definedName name="ClassDeprUG_PrimaryC" localSheetId="39">'C-11'!#REF!</definedName>
    <definedName name="ClassDeprUG_PrimaryC" localSheetId="1">#REF!</definedName>
    <definedName name="ClassDeprUG_PrimaryC">'[6]Class Allocation'!$E$333:$Q$333</definedName>
    <definedName name="ClassDeprUG_PrimaryD" localSheetId="39">'C-11'!#REF!</definedName>
    <definedName name="ClassDeprUG_PrimaryD" localSheetId="1">#REF!</definedName>
    <definedName name="ClassDeprUG_PrimaryD">'[6]Class Allocation'!$E$332:$Q$332</definedName>
    <definedName name="ClassDeprUG_SecondaryC" localSheetId="39">'C-11'!#REF!</definedName>
    <definedName name="ClassDeprUG_SecondaryC" localSheetId="1">#REF!</definedName>
    <definedName name="ClassDeprUG_SecondaryC">'[6]Class Allocation'!$E$335:$Q$335</definedName>
    <definedName name="ClassDeprUG_SecondaryD" localSheetId="39">'C-11'!#REF!</definedName>
    <definedName name="ClassDeprUG_SecondaryD" localSheetId="1">#REF!</definedName>
    <definedName name="ClassDeprUG_SecondaryD">'[6]Class Allocation'!$E$334:$Q$334</definedName>
    <definedName name="ClassDistCP" localSheetId="39">'C-11'!#REF!</definedName>
    <definedName name="ClassDistCP" localSheetId="1">#REF!</definedName>
    <definedName name="ClassDistCP">'[6]Class Allocation'!$E$397:$Q$397</definedName>
    <definedName name="ClassDistCust" localSheetId="39">'C-11'!#REF!</definedName>
    <definedName name="ClassDistCust" localSheetId="1">#REF!</definedName>
    <definedName name="ClassDistCust">'[6]Class Allocation'!$E$399:$Q$399</definedName>
    <definedName name="ClassDistDirect" localSheetId="39">'C-11'!#REF!</definedName>
    <definedName name="ClassDistDirect" localSheetId="1">#REF!</definedName>
    <definedName name="ClassDistDirect">'[6]Class Allocation'!$E$400:$Q$400</definedName>
    <definedName name="ClassDistNCP" localSheetId="39">'C-11'!#REF!</definedName>
    <definedName name="ClassDistNCP" localSheetId="1">#REF!</definedName>
    <definedName name="ClassDistNCP">'[6]Class Allocation'!$E$398:$Q$398</definedName>
    <definedName name="ClassDistProd" localSheetId="39">'C-11'!#REF!</definedName>
    <definedName name="ClassDistProd" localSheetId="1">#REF!</definedName>
    <definedName name="ClassDistProd">'[6]Class Allocation'!$E$396:$Q$396</definedName>
    <definedName name="Classes_IOU" localSheetId="39">'C-11'!#REF!</definedName>
    <definedName name="Classes_IOU" localSheetId="1">#REF!</definedName>
    <definedName name="Classes_IOU">[6]DB!$K$10:$K$19</definedName>
    <definedName name="ClassFixedChargeCosts" localSheetId="39">'C-11'!#REF!</definedName>
    <definedName name="ClassFixedChargeCosts" localSheetId="1">#REF!</definedName>
    <definedName name="ClassFixedChargeCosts">'[6]Class Allocation'!$E$589:$Q$589</definedName>
    <definedName name="ClassLightsDepreciation" localSheetId="39">'C-11'!#REF!</definedName>
    <definedName name="ClassLightsDepreciation" localSheetId="1">#REF!</definedName>
    <definedName name="ClassLightsDepreciation">'[6]Class Allocation'!$E$536:$Q$536</definedName>
    <definedName name="ClassLightsExpense" localSheetId="39">'C-11'!#REF!</definedName>
    <definedName name="ClassLightsExpense" localSheetId="1">#REF!</definedName>
    <definedName name="ClassLightsExpense">'[6]Class Allocation'!$E$537:$Q$537</definedName>
    <definedName name="ClassLightsNetPlant" localSheetId="39">'C-11'!#REF!</definedName>
    <definedName name="ClassLightsNetPlant" localSheetId="1">#REF!</definedName>
    <definedName name="ClassLightsNetPlant">'[6]Class Allocation'!$E$535:$Q$535</definedName>
    <definedName name="ClassMSCP" localSheetId="39">'C-11'!#REF!</definedName>
    <definedName name="ClassMSCP" localSheetId="1">#REF!</definedName>
    <definedName name="ClassMSCP">'[6]Class Allocation'!$E$487:$Q$487</definedName>
    <definedName name="ClassMSCust" localSheetId="39">'C-11'!#REF!</definedName>
    <definedName name="ClassMSCust" localSheetId="1">#REF!</definedName>
    <definedName name="ClassMSCust">'[6]Class Allocation'!$E$489:$Q$489</definedName>
    <definedName name="ClassMSEnergy" localSheetId="39">'C-11'!#REF!</definedName>
    <definedName name="ClassMSEnergy" localSheetId="1">#REF!</definedName>
    <definedName name="ClassMSEnergy">'[6]Class Allocation'!$E$484:$Q$484</definedName>
    <definedName name="ClassMSFuel" localSheetId="39">'C-11'!#REF!</definedName>
    <definedName name="ClassMSFuel" localSheetId="1">#REF!</definedName>
    <definedName name="ClassMSFuel">'[6]Class Allocation'!$E$482:$Q$482</definedName>
    <definedName name="ClassMSNCP" localSheetId="39">'C-11'!#REF!</definedName>
    <definedName name="ClassMSNCP" localSheetId="1">#REF!</definedName>
    <definedName name="ClassMSNCP">'[6]Class Allocation'!$E$488:$Q$488</definedName>
    <definedName name="ClassMSProd" localSheetId="39">'C-11'!#REF!</definedName>
    <definedName name="ClassMSProd" localSheetId="1">#REF!</definedName>
    <definedName name="ClassMSProd">'[6]Class Allocation'!$E$485:$Q$485</definedName>
    <definedName name="ClassMSTrans" localSheetId="39">'C-11'!#REF!</definedName>
    <definedName name="ClassMSTrans" localSheetId="1">#REF!</definedName>
    <definedName name="ClassMSTrans">'[6]Class Allocation'!$E$486:$Q$486</definedName>
    <definedName name="ClassNonIncomeTax" localSheetId="39">'C-11'!#REF!</definedName>
    <definedName name="ClassNonIncomeTax" localSheetId="1">#REF!</definedName>
    <definedName name="ClassNonIncomeTax">'[6]Class Allocation'!$E$25:$Q$25</definedName>
    <definedName name="ClassNonPurpowD" localSheetId="39">'C-11'!#REF!</definedName>
    <definedName name="ClassNonPurpowD" localSheetId="1">#REF!</definedName>
    <definedName name="ClassNonPurpowD">'[6]Class Allocation'!$E$389:$Q$389</definedName>
    <definedName name="ClassNonPurpowE" localSheetId="39">'C-11'!#REF!</definedName>
    <definedName name="ClassNonPurpowE" localSheetId="1">#REF!</definedName>
    <definedName name="ClassNonPurpowE">'[6]Class Allocation'!$E$388:$Q$388</definedName>
    <definedName name="ClassOH_PrimaryC" localSheetId="39">'C-11'!#REF!</definedName>
    <definedName name="ClassOH_PrimaryC" localSheetId="1">#REF!</definedName>
    <definedName name="ClassOH_PrimaryC">'[6]Class Allocation'!$E$297:$Q$297</definedName>
    <definedName name="ClassOH_PrimaryD" localSheetId="39">'C-11'!#REF!</definedName>
    <definedName name="ClassOH_PrimaryD" localSheetId="1">#REF!</definedName>
    <definedName name="ClassOH_PrimaryD">'[6]Class Allocation'!$E$296:$Q$296</definedName>
    <definedName name="ClassOH_SecondaryC" localSheetId="39">'C-11'!#REF!</definedName>
    <definedName name="ClassOH_SecondaryC" localSheetId="1">#REF!</definedName>
    <definedName name="ClassOH_SecondaryC">'[6]Class Allocation'!$E$299:$Q$299</definedName>
    <definedName name="ClassOH_SecondaryD" localSheetId="39">'C-11'!#REF!</definedName>
    <definedName name="ClassOH_SecondaryD" localSheetId="1">#REF!</definedName>
    <definedName name="ClassOH_SecondaryD">'[6]Class Allocation'!$E$298:$Q$298</definedName>
    <definedName name="ClassOMCoverage" localSheetId="39">'C-11'!#REF!</definedName>
    <definedName name="ClassOMCoverage" localSheetId="1">#REF!</definedName>
    <definedName name="ClassOMCoverage">'[6]Class Allocation'!$E$22:$Q$22</definedName>
    <definedName name="ClassOtherCP" localSheetId="39">'C-11'!#REF!</definedName>
    <definedName name="ClassOtherCP" localSheetId="1">#REF!</definedName>
    <definedName name="ClassOtherCP">'[6]Class Allocation'!$E$528:$Q$528</definedName>
    <definedName name="ClassOtherCust" localSheetId="39">'C-11'!#REF!</definedName>
    <definedName name="ClassOtherCust" localSheetId="1">#REF!</definedName>
    <definedName name="ClassOtherCust">'[6]Class Allocation'!$E$530:$Q$530</definedName>
    <definedName name="ClassOtherDirect" localSheetId="39">'C-11'!#REF!</definedName>
    <definedName name="ClassOtherDirect" localSheetId="1">#REF!</definedName>
    <definedName name="ClassOtherDirect">'[6]Class Allocation'!$E$531:$Q$531</definedName>
    <definedName name="ClassOtherEnergy" localSheetId="39">'C-11'!#REF!</definedName>
    <definedName name="ClassOtherEnergy" localSheetId="1">#REF!</definedName>
    <definedName name="ClassOtherEnergy">'[6]Class Allocation'!$E$525:$Q$525</definedName>
    <definedName name="ClassOtherNCP" localSheetId="39">'C-11'!#REF!</definedName>
    <definedName name="ClassOtherNCP" localSheetId="1">#REF!</definedName>
    <definedName name="ClassOtherNCP">'[6]Class Allocation'!$E$529:$Q$529</definedName>
    <definedName name="ClassOtherProd" localSheetId="39">'C-11'!#REF!</definedName>
    <definedName name="ClassOtherProd" localSheetId="1">#REF!</definedName>
    <definedName name="ClassOtherProd">'[6]Class Allocation'!$E$526:$Q$526</definedName>
    <definedName name="ClassOtherRev" localSheetId="39">'C-11'!#REF!</definedName>
    <definedName name="ClassOtherRev" localSheetId="1">#REF!</definedName>
    <definedName name="ClassOtherRev">'[6]Class Allocation'!$E$532:$Q$532</definedName>
    <definedName name="ClassOtherSalesEnergy" localSheetId="39">'C-11'!#REF!</definedName>
    <definedName name="ClassOtherSalesEnergy" localSheetId="1">#REF!</definedName>
    <definedName name="ClassOtherSalesEnergy">'[6]Class Allocation'!$E$520:$Q$520</definedName>
    <definedName name="ClassOtherSalesProd" localSheetId="39">'C-11'!#REF!</definedName>
    <definedName name="ClassOtherSalesProd" localSheetId="1">#REF!</definedName>
    <definedName name="ClassOtherSalesProd">'[6]Class Allocation'!$E$521:$Q$521</definedName>
    <definedName name="ClassOtherSalesRev" localSheetId="39">'C-11'!#REF!</definedName>
    <definedName name="ClassOtherSalesRev" localSheetId="1">#REF!</definedName>
    <definedName name="ClassOtherSalesRev">'[6]Class Allocation'!$E$522:$Q$522</definedName>
    <definedName name="ClassOtherTrans" localSheetId="39">'C-11'!#REF!</definedName>
    <definedName name="ClassOtherTrans" localSheetId="1">#REF!</definedName>
    <definedName name="ClassOtherTrans">'[6]Class Allocation'!$E$527:$Q$527</definedName>
    <definedName name="ClassPlantCP" localSheetId="39">'C-11'!#REF!</definedName>
    <definedName name="ClassPlantCP" localSheetId="1">#REF!</definedName>
    <definedName name="ClassPlantCP">'[6]Class Allocation'!$E$458:$Q$458</definedName>
    <definedName name="ClassPlantCust" localSheetId="39">'C-11'!#REF!</definedName>
    <definedName name="ClassPlantCust" localSheetId="1">#REF!</definedName>
    <definedName name="ClassPlantCust">'[6]Class Allocation'!$E$460:$Q$460</definedName>
    <definedName name="ClassPlantDirect" localSheetId="39">'C-11'!#REF!</definedName>
    <definedName name="ClassPlantDirect" localSheetId="1">#REF!</definedName>
    <definedName name="ClassPlantDirect">'[6]Class Allocation'!$E$461:$Q$461</definedName>
    <definedName name="ClassPlantDist" localSheetId="39">'C-11'!#REF!</definedName>
    <definedName name="ClassPlantDist" localSheetId="1">#REF!</definedName>
    <definedName name="ClassPlantDist">'[6]Class Allocation'!$E$314:$Q$314</definedName>
    <definedName name="ClassPlantDistFunc" localSheetId="39">'C-11'!#REF!</definedName>
    <definedName name="ClassPlantDistFunc" localSheetId="1">#REF!</definedName>
    <definedName name="ClassPlantDistFunc">'[6]Class Allocation'!$E$313:$Q$313</definedName>
    <definedName name="ClassPlantDistTotal" localSheetId="39">'C-11'!#REF!</definedName>
    <definedName name="ClassPlantDistTotal" localSheetId="1">#REF!</definedName>
    <definedName name="ClassPlantDistTotal">'[6]Class Allocation'!$D$314</definedName>
    <definedName name="ClassPlantEnergy" localSheetId="39">'C-11'!#REF!</definedName>
    <definedName name="ClassPlantEnergy" localSheetId="1">#REF!</definedName>
    <definedName name="ClassPlantEnergy">'[6]Class Allocation'!$E$455:$Q$455</definedName>
    <definedName name="ClassPlantNCP" localSheetId="39">'C-11'!#REF!</definedName>
    <definedName name="ClassPlantNCP" localSheetId="1">#REF!</definedName>
    <definedName name="ClassPlantNCP">'[6]Class Allocation'!$E$459:$Q$459</definedName>
    <definedName name="ClassPlantProd" localSheetId="39">'C-11'!#REF!</definedName>
    <definedName name="ClassPlantProd" localSheetId="1">#REF!</definedName>
    <definedName name="ClassPlantProd">'[6]Class Allocation'!$E$456:$Q$456</definedName>
    <definedName name="ClassPlantTrans" localSheetId="39">'C-11'!#REF!</definedName>
    <definedName name="ClassPlantTrans" localSheetId="1">#REF!</definedName>
    <definedName name="ClassPlantTrans">'[6]Class Allocation'!$E$457:$Q$457</definedName>
    <definedName name="ClassPropIns" localSheetId="39">'C-11'!#REF!</definedName>
    <definedName name="ClassPropIns" localSheetId="1">#REF!</definedName>
    <definedName name="ClassPropIns">'[6]Class Allocation'!$E$225:$Q$225</definedName>
    <definedName name="ClassPurpowD" localSheetId="39">'C-11'!#REF!</definedName>
    <definedName name="ClassPurpowD" localSheetId="1">#REF!</definedName>
    <definedName name="ClassPurpowD">'[6]Class Allocation'!$E$391:$Q$391</definedName>
    <definedName name="ClassPurpowE" localSheetId="39">'C-11'!#REF!</definedName>
    <definedName name="ClassPurpowE" localSheetId="1">#REF!</definedName>
    <definedName name="ClassPurpowE">'[6]Class Allocation'!$E$390:$Q$390</definedName>
    <definedName name="ClassRates" localSheetId="39">'C-11'!#REF!</definedName>
    <definedName name="ClassRates" localSheetId="1">#REF!</definedName>
    <definedName name="ClassRates">'[6]Class Allocation'!$E$10:$Q$10</definedName>
    <definedName name="ClassRegLiabilityCP" localSheetId="39">'C-11'!#REF!</definedName>
    <definedName name="ClassRegLiabilityCP" localSheetId="1">#REF!</definedName>
    <definedName name="ClassRegLiabilityCP">'[6]Class Allocation'!$E$498:$Q$498</definedName>
    <definedName name="ClassRegLiabilityCust" localSheetId="39">'C-11'!#REF!</definedName>
    <definedName name="ClassRegLiabilityCust" localSheetId="1">#REF!</definedName>
    <definedName name="ClassRegLiabilityCust">'[6]Class Allocation'!$E$500:$Q$500</definedName>
    <definedName name="ClassRegLiabilityNCP" localSheetId="39">'C-11'!#REF!</definedName>
    <definedName name="ClassRegLiabilityNCP" localSheetId="1">#REF!</definedName>
    <definedName name="ClassRegLiabilityNCP">'[6]Class Allocation'!$E$499:$Q$499</definedName>
    <definedName name="ClassRegLiabilityTX" localSheetId="39">'C-11'!#REF!</definedName>
    <definedName name="ClassRegLiabilityTX" localSheetId="1">#REF!</definedName>
    <definedName name="ClassRegLiabilityTX">'[6]Class Allocation'!$E$497:$Q$497</definedName>
    <definedName name="ClassTaxesCP" localSheetId="39">'C-11'!#REF!</definedName>
    <definedName name="ClassTaxesCP" localSheetId="1">#REF!</definedName>
    <definedName name="ClassTaxesCP">'[6]Class Allocation'!$E$449:$Q$449</definedName>
    <definedName name="ClassTaxesCust" localSheetId="39">'C-11'!#REF!</definedName>
    <definedName name="ClassTaxesCust" localSheetId="1">#REF!</definedName>
    <definedName name="ClassTaxesCust">'[6]Class Allocation'!$E$451:$Q$451</definedName>
    <definedName name="ClassTaxesDirect" localSheetId="39">'C-11'!#REF!</definedName>
    <definedName name="ClassTaxesDirect" localSheetId="1">#REF!</definedName>
    <definedName name="ClassTaxesDirect">'[6]Class Allocation'!$E$452:$Q$452</definedName>
    <definedName name="ClassTaxesEnergy" localSheetId="39">'C-11'!#REF!</definedName>
    <definedName name="ClassTaxesEnergy" localSheetId="1">#REF!</definedName>
    <definedName name="ClassTaxesEnergy">'[6]Class Allocation'!$E$446:$Q$446</definedName>
    <definedName name="ClassTaxesNCP" localSheetId="39">'C-11'!#REF!</definedName>
    <definedName name="ClassTaxesNCP" localSheetId="1">#REF!</definedName>
    <definedName name="ClassTaxesNCP">'[6]Class Allocation'!$E$450:$Q$450</definedName>
    <definedName name="ClassTaxesProd" localSheetId="39">'C-11'!#REF!</definedName>
    <definedName name="ClassTaxesProd" localSheetId="1">#REF!</definedName>
    <definedName name="ClassTaxesProd">'[6]Class Allocation'!$E$447:$Q$447</definedName>
    <definedName name="ClassTaxesTrans" localSheetId="39">'C-11'!#REF!</definedName>
    <definedName name="ClassTaxesTrans" localSheetId="1">#REF!</definedName>
    <definedName name="ClassTaxesTrans">'[6]Class Allocation'!$E$448:$Q$448</definedName>
    <definedName name="ClassTOTINcTax" localSheetId="39">'C-11'!#REF!</definedName>
    <definedName name="ClassTOTINcTax" localSheetId="1">#REF!</definedName>
    <definedName name="ClassTOTINcTax">'[6]Class Allocation'!$E$121:$Q$121</definedName>
    <definedName name="ClassTransD" localSheetId="39">'C-11'!#REF!</definedName>
    <definedName name="ClassTransD" localSheetId="1">#REF!</definedName>
    <definedName name="ClassTransD">'[6]Class Allocation'!$E$394:$Q$394</definedName>
    <definedName name="ClassTransE" localSheetId="39">'C-11'!#REF!</definedName>
    <definedName name="ClassTransE" localSheetId="1">#REF!</definedName>
    <definedName name="ClassTransE">'[6]Class Allocation'!$E$393:$Q$393</definedName>
    <definedName name="ClassUG_PrimaryC" localSheetId="39">'C-11'!#REF!</definedName>
    <definedName name="ClassUG_PrimaryC" localSheetId="1">#REF!</definedName>
    <definedName name="ClassUG_PrimaryC">'[6]Class Allocation'!$E$301:$Q$301</definedName>
    <definedName name="ClassUG_PrimaryD" localSheetId="39">'C-11'!#REF!</definedName>
    <definedName name="ClassUG_PrimaryD" localSheetId="1">#REF!</definedName>
    <definedName name="ClassUG_PrimaryD">'[6]Class Allocation'!$E$300:$Q$300</definedName>
    <definedName name="ClassUG_SecondaryC" localSheetId="39">'C-11'!#REF!</definedName>
    <definedName name="ClassUG_SecondaryC" localSheetId="1">#REF!</definedName>
    <definedName name="ClassUG_SecondaryC">'[6]Class Allocation'!$E$303:$Q$303</definedName>
    <definedName name="ClassUG_SecondaryD" localSheetId="39">'C-11'!#REF!</definedName>
    <definedName name="ClassUG_SecondaryD" localSheetId="1">#REF!</definedName>
    <definedName name="ClassUG_SecondaryD">'[6]Class Allocation'!$E$302:$Q$302</definedName>
    <definedName name="cLowCol">#REF!</definedName>
    <definedName name="CompIOU" localSheetId="39">'C-11'!#REF!</definedName>
    <definedName name="CompIOU" localSheetId="1">#REF!</definedName>
    <definedName name="CompIOU">[14]Setup!$D$16</definedName>
    <definedName name="completenonpermanent">#REF!</definedName>
    <definedName name="completepermanent">#REF!</definedName>
    <definedName name="Component_Types">#REF!</definedName>
    <definedName name="comppermtotal">#REF!</definedName>
    <definedName name="CostAllocation" localSheetId="39">'C-11'!#REF!</definedName>
    <definedName name="CostAllocation" localSheetId="1">#REF!</definedName>
    <definedName name="CostAllocation">[15]!Table13[CostAllocation List]</definedName>
    <definedName name="CP4PCACtype" localSheetId="39">'C-11'!#REF!</definedName>
    <definedName name="CP4PCACtype" localSheetId="1">#REF!</definedName>
    <definedName name="CP4PCACtype">[14]Setup!#REF!</definedName>
    <definedName name="CPclasses" localSheetId="39">'C-11'!#REF!,'C-11'!#REF!,'C-11'!#REF!,'C-11'!#REF!</definedName>
    <definedName name="CPclasses" localSheetId="1">#REF!,#REF!,#REF!,#REF!</definedName>
    <definedName name="CPclasses">[14]Setup!$G$3,[14]Setup!#REF!,[14]Setup!#REF!,[14]Setup!#REF!</definedName>
    <definedName name="CurrentPCAC2" localSheetId="39">'C-11'!#REF!</definedName>
    <definedName name="CurrentPCAC2" localSheetId="1">#REF!</definedName>
    <definedName name="CurrentPCAC2">[6]DB!$I$9</definedName>
    <definedName name="Customers" localSheetId="39">'C-11'!#REF!</definedName>
    <definedName name="Customers" localSheetId="1">#REF!</definedName>
    <definedName name="Customers">[6]Allocators!$E$47:$P$47</definedName>
    <definedName name="cValAreaB1">#REF!</definedName>
    <definedName name="cValAreaC1">#REF!</definedName>
    <definedName name="cValAreaC2">#REF!</definedName>
    <definedName name="cValAreaC3">#REF!</definedName>
    <definedName name="cValAreaC3_2">#REF!</definedName>
    <definedName name="cValAreaE">#REF!</definedName>
    <definedName name="cValAreaE_2">#REF!</definedName>
    <definedName name="D" localSheetId="75" hidden="1">#REF!</definedName>
    <definedName name="D" hidden="1">#REF!</definedName>
    <definedName name="DATA_02" localSheetId="75" hidden="1">#REF!</definedName>
    <definedName name="DATA_02" hidden="1">#REF!</definedName>
    <definedName name="DATA_08" localSheetId="75" hidden="1">#REF!</definedName>
    <definedName name="DATA_08" hidden="1">#REF!</definedName>
    <definedName name="DCA" localSheetId="39">'C-11'!#REF!</definedName>
    <definedName name="DCA" localSheetId="1">#REF!</definedName>
    <definedName name="DCA">[6]PurPow!$X$54</definedName>
    <definedName name="dd" localSheetId="75" hidden="1">#REF!</definedName>
    <definedName name="dd" hidden="1">#REF!</definedName>
    <definedName name="dddddddddddd" localSheetId="75" hidden="1">#REF!</definedName>
    <definedName name="dddddddddddd" hidden="1">#REF!</definedName>
    <definedName name="dddddddddddddddddddddddddddddddd" localSheetId="10" hidden="1">#REF!</definedName>
    <definedName name="dddddddddddddddddddddddddddddddd" localSheetId="8" hidden="1">#REF!</definedName>
    <definedName name="dddddddddddddddddddddddddddddddd" localSheetId="37" hidden="1">#REF!</definedName>
    <definedName name="dddddddddddddddddddddddddddddddd" localSheetId="75" hidden="1">#REF!</definedName>
    <definedName name="dddddddddddddddddddddddddddddddd" localSheetId="65" hidden="1">#REF!</definedName>
    <definedName name="dddddddddddddddddddddddddddddddd" localSheetId="78" hidden="1">#REF!</definedName>
    <definedName name="dddddddddddddddddddddddddddddddd" hidden="1">#REF!</definedName>
    <definedName name="DemandCP" localSheetId="39">'C-11'!#REF!</definedName>
    <definedName name="DemandCP" localSheetId="1">#REF!</definedName>
    <definedName name="DemandCP">[6]Allocators!$E$28:$P$28</definedName>
    <definedName name="DemandFactor" localSheetId="39">'C-11'!#REF!</definedName>
    <definedName name="DemandFactor" localSheetId="1">#REF!</definedName>
    <definedName name="DemandFactor">[16]Dashboard!$C$5</definedName>
    <definedName name="DemandNCP" localSheetId="39">'C-11'!#REF!</definedName>
    <definedName name="DemandNCP" localSheetId="1">#REF!</definedName>
    <definedName name="DemandNCP">[6]Allocators!$E$12:$P$12</definedName>
    <definedName name="DETALLE">#REF!</definedName>
    <definedName name="ECA" localSheetId="39">'C-11'!#REF!</definedName>
    <definedName name="ECA" localSheetId="1">#REF!</definedName>
    <definedName name="ECA">[6]PurPow!$X$64</definedName>
    <definedName name="ed" localSheetId="10" hidden="1">#REF!</definedName>
    <definedName name="ed" localSheetId="8" hidden="1">#REF!</definedName>
    <definedName name="ed" localSheetId="37" hidden="1">#REF!</definedName>
    <definedName name="ed" localSheetId="75" hidden="1">#REF!</definedName>
    <definedName name="ed" localSheetId="65" hidden="1">#REF!</definedName>
    <definedName name="ed" hidden="1">#REF!</definedName>
    <definedName name="eded" localSheetId="10" hidden="1">#REF!</definedName>
    <definedName name="eded" localSheetId="8" hidden="1">#REF!</definedName>
    <definedName name="eded" localSheetId="37" hidden="1">#REF!</definedName>
    <definedName name="eded" localSheetId="65" hidden="1">#REF!</definedName>
    <definedName name="eded" hidden="1">#REF!</definedName>
    <definedName name="eeee" localSheetId="10" hidden="1">#REF!</definedName>
    <definedName name="eeee" localSheetId="8" hidden="1">#REF!</definedName>
    <definedName name="eeee" localSheetId="37" hidden="1">#REF!</definedName>
    <definedName name="eeee" localSheetId="65" hidden="1">#REF!</definedName>
    <definedName name="eeee" hidden="1">#REF!</definedName>
    <definedName name="EEEEEEEEEEE" localSheetId="10" hidden="1">#REF!</definedName>
    <definedName name="EEEEEEEEEEE" localSheetId="8" hidden="1">#REF!</definedName>
    <definedName name="EEEEEEEEEEE" localSheetId="37" hidden="1">#REF!</definedName>
    <definedName name="EEEEEEEEEEE" localSheetId="75" hidden="1">#REF!</definedName>
    <definedName name="EEEEEEEEEEE" localSheetId="65" hidden="1">#REF!</definedName>
    <definedName name="EEEEEEEEEEE" hidden="1">#REF!</definedName>
    <definedName name="eeeeeeeeeeee" localSheetId="10" hidden="1">#REF!</definedName>
    <definedName name="eeeeeeeeeeee" localSheetId="8" hidden="1">#REF!</definedName>
    <definedName name="eeeeeeeeeeee" localSheetId="37" hidden="1">#REF!</definedName>
    <definedName name="eeeeeeeeeeee" localSheetId="75" hidden="1">#REF!</definedName>
    <definedName name="eeeeeeeeeeee" localSheetId="65" hidden="1">#REF!</definedName>
    <definedName name="eeeeeeeeeeee" hidden="1">#REF!</definedName>
    <definedName name="eeeeeeeeeeeee" localSheetId="10" hidden="1">#REF!</definedName>
    <definedName name="eeeeeeeeeeeee" localSheetId="8" hidden="1">#REF!</definedName>
    <definedName name="eeeeeeeeeeeee" localSheetId="37" hidden="1">#REF!</definedName>
    <definedName name="eeeeeeeeeeeee" localSheetId="75" hidden="1">#REF!</definedName>
    <definedName name="eeeeeeeeeeeee" localSheetId="65" hidden="1">#REF!</definedName>
    <definedName name="eeeeeeeeeeeee" hidden="1">#REF!</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y" localSheetId="39">'C-11'!#REF!</definedName>
    <definedName name="Energy" localSheetId="1">#REF!</definedName>
    <definedName name="Energy">[6]Allocators!$E$62:$P$62</definedName>
    <definedName name="EV__LASTREFTIME__" hidden="1">38579.6373148148</definedName>
    <definedName name="Exh5.2" hidden="1">#REF!</definedName>
    <definedName name="f" localSheetId="10" hidden="1">{#N/A,#N/A,FALSE,"FY97P1";#N/A,#N/A,FALSE,"FY97Z312";#N/A,#N/A,FALSE,"FY97LRBC";#N/A,#N/A,FALSE,"FY97O";#N/A,#N/A,FALSE,"FY97DAM"}</definedName>
    <definedName name="f" localSheetId="8" hidden="1">{#N/A,#N/A,FALSE,"FY97P1";#N/A,#N/A,FALSE,"FY97Z312";#N/A,#N/A,FALSE,"FY97LRBC";#N/A,#N/A,FALSE,"FY97O";#N/A,#N/A,FALSE,"FY97DAM"}</definedName>
    <definedName name="f" localSheetId="39" hidden="1">{#N/A,#N/A,FALSE,"FY97P1";#N/A,#N/A,FALSE,"FY97Z312";#N/A,#N/A,FALSE,"FY97LRBC";#N/A,#N/A,FALSE,"FY97O";#N/A,#N/A,FALSE,"FY97DAM"}</definedName>
    <definedName name="f" localSheetId="37" hidden="1">{#N/A,#N/A,FALSE,"FY97P1";#N/A,#N/A,FALSE,"FY97Z312";#N/A,#N/A,FALSE,"FY97LRBC";#N/A,#N/A,FALSE,"FY97O";#N/A,#N/A,FALSE,"FY97DAM"}</definedName>
    <definedName name="f" localSheetId="75" hidden="1">{#N/A,#N/A,FALSE,"FY97P1";#N/A,#N/A,FALSE,"FY97Z312";#N/A,#N/A,FALSE,"FY97LRBC";#N/A,#N/A,FALSE,"FY97O";#N/A,#N/A,FALSE,"FY97DAM"}</definedName>
    <definedName name="f" localSheetId="65" hidden="1">{#N/A,#N/A,FALSE,"FY97P1";#N/A,#N/A,FALSE,"FY97Z312";#N/A,#N/A,FALSE,"FY97LRBC";#N/A,#N/A,FALSE,"FY97O";#N/A,#N/A,FALSE,"FY97DAM"}</definedName>
    <definedName name="f" localSheetId="27" hidden="1">{#N/A,#N/A,FALSE,"FY97P1";#N/A,#N/A,FALSE,"FY97Z312";#N/A,#N/A,FALSE,"FY97LRBC";#N/A,#N/A,FALSE,"FY97O";#N/A,#N/A,FALSE,"FY97DAM"}</definedName>
    <definedName name="f" localSheetId="2" hidden="1">{#N/A,#N/A,FALSE,"FY97P1";#N/A,#N/A,FALSE,"FY97Z312";#N/A,#N/A,FALSE,"FY97LRBC";#N/A,#N/A,FALSE,"FY97O";#N/A,#N/A,FALSE,"FY97DAM"}</definedName>
    <definedName name="f" localSheetId="29" hidden="1">#REF!</definedName>
    <definedName name="f" localSheetId="78" hidden="1">{#N/A,#N/A,FALSE,"FY97P1";#N/A,#N/A,FALSE,"FY97Z312";#N/A,#N/A,FALSE,"FY97LRBC";#N/A,#N/A,FALSE,"FY97O";#N/A,#N/A,FALSE,"FY97DAM"}</definedName>
    <definedName name="f" localSheetId="3" hidden="1">{#N/A,#N/A,FALSE,"FY97P1";#N/A,#N/A,FALSE,"FY97Z312";#N/A,#N/A,FALSE,"FY97LRBC";#N/A,#N/A,FALSE,"FY97O";#N/A,#N/A,FALSE,"FY97DAM"}</definedName>
    <definedName name="f" localSheetId="1" hidden="1">{#N/A,#N/A,FALSE,"FY97P1";#N/A,#N/A,FALSE,"FY97Z312";#N/A,#N/A,FALSE,"FY97LRBC";#N/A,#N/A,FALSE,"FY97O";#N/A,#N/A,FALSE,"FY97DAM"}</definedName>
    <definedName name="f" hidden="1">{#N/A,#N/A,FALSE,"FY97P1";#N/A,#N/A,FALSE,"FY97Z312";#N/A,#N/A,FALSE,"FY97LRBC";#N/A,#N/A,FALSE,"FY97O";#N/A,#N/A,FALSE,"FY97DAM"}</definedName>
    <definedName name="FactSheetSpellRange">#REF!</definedName>
    <definedName name="Facturas">#REF!</definedName>
    <definedName name="FEMA_PA_Code">#REF!</definedName>
    <definedName name="ffff" localSheetId="75" hidden="1">#REF!</definedName>
    <definedName name="ffff" hidden="1">#REF!</definedName>
    <definedName name="G" localSheetId="75" hidden="1">#REF!</definedName>
    <definedName name="G" hidden="1">#REF!</definedName>
    <definedName name="G1B">#REF!</definedName>
    <definedName name="G1B_2">#REF!</definedName>
    <definedName name="G1Left">#REF!</definedName>
    <definedName name="G1Left_2">#REF!</definedName>
    <definedName name="G1M">#REF!</definedName>
    <definedName name="G1M_2">#REF!</definedName>
    <definedName name="G1Right">#REF!</definedName>
    <definedName name="G1Right_2">#REF!</definedName>
    <definedName name="GLDTL" hidden="1">#REF!</definedName>
    <definedName name="H" localSheetId="10" hidden="1">#REF!</definedName>
    <definedName name="H" localSheetId="8" hidden="1">#REF!</definedName>
    <definedName name="H" localSheetId="37" hidden="1">#REF!</definedName>
    <definedName name="H" localSheetId="75" hidden="1">#REF!</definedName>
    <definedName name="H" localSheetId="65" hidden="1">#REF!</definedName>
    <definedName name="H" hidden="1">#REF!</definedName>
    <definedName name="H3B">#REF!</definedName>
    <definedName name="H3B_2">#REF!</definedName>
    <definedName name="H3Left">#REF!</definedName>
    <definedName name="H3Left_2">#REF!</definedName>
    <definedName name="H3M">#REF!</definedName>
    <definedName name="H3M_2">#REF!</definedName>
    <definedName name="H3Right">#REF!</definedName>
    <definedName name="H3Right_2">#REF!</definedName>
    <definedName name="hhh" localSheetId="10" hidden="1">#REF!</definedName>
    <definedName name="hhh" localSheetId="8" hidden="1">#REF!</definedName>
    <definedName name="hhh" localSheetId="37" hidden="1">#REF!</definedName>
    <definedName name="hhh" localSheetId="65" hidden="1">#REF!</definedName>
    <definedName name="hhh" hidden="1">#REF!</definedName>
    <definedName name="hhhhhhhhhhhh" localSheetId="10" hidden="1">#REF!</definedName>
    <definedName name="hhhhhhhhhhhh" localSheetId="8" hidden="1">#REF!</definedName>
    <definedName name="hhhhhhhhhhhh" localSheetId="37" hidden="1">#REF!</definedName>
    <definedName name="hhhhhhhhhhhh" localSheetId="75" hidden="1">#REF!</definedName>
    <definedName name="hhhhhhhhhhhh" localSheetId="65" hidden="1">#REF!</definedName>
    <definedName name="hhhhhhhhhhhh" localSheetId="78" hidden="1">#REF!</definedName>
    <definedName name="hhhhhhhhhhhh" hidden="1">#REF!</definedName>
    <definedName name="HideProposed">#REF!</definedName>
    <definedName name="HTML_CodePage" hidden="1">1252</definedName>
    <definedName name="HTML_Control" localSheetId="10" hidden="1">{"'Sheet1'!$A$1:$J$121"}</definedName>
    <definedName name="HTML_Control" localSheetId="8" hidden="1">{"'Sheet1'!$A$1:$J$121"}</definedName>
    <definedName name="HTML_Control" localSheetId="39" hidden="1">{"'Sheet1'!$A$1:$J$121"}</definedName>
    <definedName name="HTML_Control" localSheetId="37" hidden="1">{"'Sheet1'!$A$1:$J$121"}</definedName>
    <definedName name="HTML_Control" localSheetId="75" hidden="1">{"'Sheet1'!$A$1:$J$121"}</definedName>
    <definedName name="HTML_Control" localSheetId="65" hidden="1">{"'Sheet1'!$A$1:$J$121"}</definedName>
    <definedName name="HTML_Control" localSheetId="27" hidden="1">{"'Sheet1'!$A$1:$J$121"}</definedName>
    <definedName name="HTML_Control" localSheetId="2" hidden="1">{"'Sheet1'!$A$1:$J$121"}</definedName>
    <definedName name="HTML_Control" localSheetId="29" hidden="1">{"'Output'!$B$1:$E$30"}</definedName>
    <definedName name="HTML_Control" localSheetId="78" hidden="1">{"'Sheet1'!$A$1:$J$121"}</definedName>
    <definedName name="HTML_Control" localSheetId="3" hidden="1">{"'Sheet1'!$A$1:$J$121"}</definedName>
    <definedName name="HTML_Control" localSheetId="1" hidden="1">{"'Sheet1'!$A$1:$J$121"}</definedName>
    <definedName name="HTML_Control" hidden="1">{"'Sheet1'!$A$1:$J$121"}</definedName>
    <definedName name="HTML_Control_1_1" localSheetId="39" hidden="1">{"'Output'!$B$1:$E$30"}</definedName>
    <definedName name="HTML_Control_1_1" localSheetId="75" hidden="1">{"'Output'!$B$1:$E$30"}</definedName>
    <definedName name="HTML_Control_1_1" localSheetId="27" hidden="1">{"'Output'!$B$1:$E$30"}</definedName>
    <definedName name="HTML_Control_1_1" localSheetId="29" hidden="1">{"'Output'!$B$1:$E$30"}</definedName>
    <definedName name="HTML_Control_1_1" localSheetId="1" hidden="1">{"'Output'!$B$1:$E$30"}</definedName>
    <definedName name="HTML_Control_1_1" hidden="1">{"'Output'!$B$1:$E$30"}</definedName>
    <definedName name="HTML_Control_2" localSheetId="39" hidden="1">{"'Output'!$B$1:$E$30"}</definedName>
    <definedName name="HTML_Control_2" localSheetId="75" hidden="1">{"'Output'!$B$1:$E$30"}</definedName>
    <definedName name="HTML_Control_2" localSheetId="27" hidden="1">{"'Output'!$B$1:$E$30"}</definedName>
    <definedName name="HTML_Control_2" localSheetId="29" hidden="1">{"'Output'!$B$1:$E$30"}</definedName>
    <definedName name="HTML_Control_2" localSheetId="1" hidden="1">{"'Output'!$B$1:$E$30"}</definedName>
    <definedName name="HTML_Control_2" hidden="1">{"'Output'!$B$1:$E$30"}</definedName>
    <definedName name="HTML_Control_2_1" localSheetId="39" hidden="1">{"'Output'!$B$1:$E$30"}</definedName>
    <definedName name="HTML_Control_2_1" localSheetId="75" hidden="1">{"'Output'!$B$1:$E$30"}</definedName>
    <definedName name="HTML_Control_2_1" localSheetId="27" hidden="1">{"'Output'!$B$1:$E$30"}</definedName>
    <definedName name="HTML_Control_2_1" localSheetId="29" hidden="1">{"'Output'!$B$1:$E$30"}</definedName>
    <definedName name="HTML_Control_2_1" localSheetId="1" hidden="1">{"'Output'!$B$1:$E$30"}</definedName>
    <definedName name="HTML_Control_2_1" hidden="1">{"'Output'!$B$1:$E$30"}</definedName>
    <definedName name="HTML_Control_3" localSheetId="39" hidden="1">{"'Output'!$B$1:$E$30"}</definedName>
    <definedName name="HTML_Control_3" localSheetId="75" hidden="1">{"'Output'!$B$1:$E$30"}</definedName>
    <definedName name="HTML_Control_3" localSheetId="27" hidden="1">{"'Output'!$B$1:$E$30"}</definedName>
    <definedName name="HTML_Control_3" localSheetId="29" hidden="1">{"'Output'!$B$1:$E$30"}</definedName>
    <definedName name="HTML_Control_3" localSheetId="1" hidden="1">{"'Output'!$B$1:$E$30"}</definedName>
    <definedName name="HTML_Control_3" hidden="1">{"'Output'!$B$1:$E$30"}</definedName>
    <definedName name="HTML_Control_4" localSheetId="39" hidden="1">{"'Output'!$B$1:$E$30"}</definedName>
    <definedName name="HTML_Control_4" localSheetId="75" hidden="1">{"'Output'!$B$1:$E$30"}</definedName>
    <definedName name="HTML_Control_4" localSheetId="27" hidden="1">{"'Output'!$B$1:$E$30"}</definedName>
    <definedName name="HTML_Control_4" localSheetId="29" hidden="1">{"'Output'!$B$1:$E$30"}</definedName>
    <definedName name="HTML_Control_4" localSheetId="1" hidden="1">{"'Output'!$B$1:$E$30"}</definedName>
    <definedName name="HTML_Control_4" hidden="1">{"'Output'!$B$1:$E$30"}</definedName>
    <definedName name="HTML_Control_5" localSheetId="39" hidden="1">{"'Output'!$B$1:$E$30"}</definedName>
    <definedName name="HTML_Control_5" localSheetId="75" hidden="1">{"'Output'!$B$1:$E$30"}</definedName>
    <definedName name="HTML_Control_5" localSheetId="27" hidden="1">{"'Output'!$B$1:$E$30"}</definedName>
    <definedName name="HTML_Control_5" localSheetId="29" hidden="1">{"'Output'!$B$1:$E$30"}</definedName>
    <definedName name="HTML_Control_5" localSheetId="1" hidden="1">{"'Output'!$B$1:$E$30"}</definedName>
    <definedName name="HTML_Control_5" hidden="1">{"'Output'!$B$1:$E$30"}</definedName>
    <definedName name="HTML_Description" hidden="1">""</definedName>
    <definedName name="HTML_Email" hidden="1">""</definedName>
    <definedName name="HTML_Header" localSheetId="29" hidden="1">"Output"</definedName>
    <definedName name="HTML_Header" hidden="1">"Sheet1"</definedName>
    <definedName name="HTML_LastUpdate" localSheetId="29" hidden="1">"2/16/00"</definedName>
    <definedName name="HTML_LastUpdate" hidden="1">"10/21/99"</definedName>
    <definedName name="HTML_LineAfter" hidden="1">FALSE</definedName>
    <definedName name="HTML_LineBefore" hidden="1">FALSE</definedName>
    <definedName name="HTML_Name" localSheetId="29" hidden="1">"RC"</definedName>
    <definedName name="HTML_Name" hidden="1">"Paulette Peoples"</definedName>
    <definedName name="HTML_OBDlg2" hidden="1">TRUE</definedName>
    <definedName name="HTML_OBDlg4" hidden="1">TRUE</definedName>
    <definedName name="HTML_OS" hidden="1">0</definedName>
    <definedName name="HTML_PathFile" localSheetId="29" hidden="1">"J:\PS\pso\Resource Coordination\Resource Coordinator\System Lambda\SystemLambda.htm"</definedName>
    <definedName name="HTML_PathFile" hidden="1">"\\Bhincres01\groups\Mkt_Dev\EXECMKTR\RIGS\RigBible\Web NA.htm"</definedName>
    <definedName name="HTML_Title" localSheetId="29" hidden="1">"System Lambda Temp"</definedName>
    <definedName name="HTML_Title" hidden="1">"Total North America"</definedName>
    <definedName name="incrementaltax" localSheetId="39">'C-11'!#REF!</definedName>
    <definedName name="incrementaltax" localSheetId="1">#REF!</definedName>
    <definedName name="incrementaltax">[6]Income!$E$87</definedName>
    <definedName name="Inflation">0</definedName>
    <definedName name="IOUs" localSheetId="39">'C-11'!#REF!</definedName>
    <definedName name="IOUs" localSheetId="1">#REF!</definedName>
    <definedName name="IOUs">[6]Backend!$F$2:$F$6</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USTABLE_RATE_LOANS_FDIC" hidden="1">"c6375"</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CE_FDIC" hidden="1">"c6296"</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111</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D_GUARANTEED_US_FDIC" hidden="1">"c6404"</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ONE_YEAR_LESS_FDIC" hidden="1">"c6425"</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75" hidden="1">43959.6753240741</definedName>
    <definedName name="IQ_NAMES_REVISION_DATE_" localSheetId="29" hidden="1">41832.4655902778</definedName>
    <definedName name="IQ_NAMES_REVISION_DATE_" hidden="1">43326.0086458333</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TRANSACTIONS_FDIC" hidden="1">"c6504"</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VG_STORE_SIZE_GROSS" hidden="1">"c2066"</definedName>
    <definedName name="IQ_RETAIL_AVG_STORE_SIZE_NET" hidden="1">"c2067"</definedName>
    <definedName name="IQ_RETAIL_CLOSED_STORES" hidden="1">"c2063"</definedName>
    <definedName name="IQ_RETAIL_DEPOSITS_FDIC" hidden="1">"c6488"</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DEBT_FDIC" hidden="1">"c6346"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ONE_RATIO" hidden="1">"c1229"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R" hidden="1">"c5517"</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DIVIDED_PROFITS_FDIC" hidden="1">"c6352"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Z_SCORE" hidden="1">"c1339"</definedName>
    <definedName name="jjjj" hidden="1">#REF!</definedName>
    <definedName name="jjjjjjjjjjj" localSheetId="10" hidden="1">#REF!</definedName>
    <definedName name="jjjjjjjjjjj" localSheetId="8" hidden="1">#REF!</definedName>
    <definedName name="jjjjjjjjjjj" localSheetId="37" hidden="1">#REF!</definedName>
    <definedName name="jjjjjjjjjjj" localSheetId="75" hidden="1">#REF!</definedName>
    <definedName name="jjjjjjjjjjj" localSheetId="65" hidden="1">#REF!</definedName>
    <definedName name="jjjjjjjjjjj" localSheetId="78" hidden="1">#REF!</definedName>
    <definedName name="jjjjjjjjjjj" hidden="1">#REF!</definedName>
    <definedName name="jkjk" localSheetId="10" hidden="1">#REF!</definedName>
    <definedName name="jkjk" localSheetId="8" hidden="1">#REF!</definedName>
    <definedName name="jkjk" localSheetId="37" hidden="1">#REF!</definedName>
    <definedName name="jkjk" localSheetId="75" hidden="1">#REF!</definedName>
    <definedName name="jkjk" localSheetId="65" hidden="1">#REF!</definedName>
    <definedName name="jkjk" localSheetId="78" hidden="1">#REF!</definedName>
    <definedName name="jkjk" hidden="1">#REF!</definedName>
    <definedName name="Job_Number">#REF!</definedName>
    <definedName name="jskljsljslk" localSheetId="6" hidden="1">TextRefCopy1</definedName>
    <definedName name="jskljsljslk" localSheetId="10" hidden="1">TextRefCopy1</definedName>
    <definedName name="jskljsljslk" localSheetId="8" hidden="1">TextRefCopy1</definedName>
    <definedName name="jskljsljslk" localSheetId="14" hidden="1">TextRefCopy1</definedName>
    <definedName name="jskljsljslk" localSheetId="15" hidden="1">TextRefCopy1</definedName>
    <definedName name="jskljsljslk" localSheetId="16" hidden="1">TextRefCopy1</definedName>
    <definedName name="jskljsljslk" localSheetId="20" hidden="1">TextRefCopy1</definedName>
    <definedName name="jskljsljslk" localSheetId="39" hidden="1">TextRefCopy1</definedName>
    <definedName name="jskljsljslk" localSheetId="22" hidden="1">TextRefCopy1</definedName>
    <definedName name="jskljsljslk" localSheetId="26" hidden="1">TextRefCopy1</definedName>
    <definedName name="jskljsljslk" localSheetId="25" hidden="1">TextRefCopy1</definedName>
    <definedName name="jskljsljslk" localSheetId="30" hidden="1">TextRefCopy1</definedName>
    <definedName name="jskljsljslk" localSheetId="31" hidden="1">TextRefCopy1</definedName>
    <definedName name="jskljsljslk" localSheetId="32" hidden="1">TextRefCopy1</definedName>
    <definedName name="jskljsljslk" localSheetId="34" hidden="1">TextRefCopy1</definedName>
    <definedName name="jskljsljslk" localSheetId="35" hidden="1">TextRefCopy1</definedName>
    <definedName name="jskljsljslk" localSheetId="37" hidden="1">TextRefCopy1</definedName>
    <definedName name="jskljsljslk" localSheetId="75" hidden="1">TextRefCopy1</definedName>
    <definedName name="jskljsljslk" localSheetId="0" hidden="1">TextRefCopy1</definedName>
    <definedName name="jskljsljslk" localSheetId="45" hidden="1">TextRefCopy1</definedName>
    <definedName name="jskljsljslk" localSheetId="41" hidden="1">TextRefCopy1</definedName>
    <definedName name="jskljsljslk" localSheetId="48" hidden="1">TextRefCopy1</definedName>
    <definedName name="jskljsljslk" localSheetId="44" hidden="1">TextRefCopy1</definedName>
    <definedName name="jskljsljslk" localSheetId="52" hidden="1">TextRefCopy1</definedName>
    <definedName name="jskljsljslk" localSheetId="53" hidden="1">TextRefCopy1</definedName>
    <definedName name="jskljsljslk" localSheetId="55" hidden="1">TextRefCopy1</definedName>
    <definedName name="jskljsljslk" localSheetId="56" hidden="1">TextRefCopy1</definedName>
    <definedName name="jskljsljslk" localSheetId="57" hidden="1">TextRefCopy1</definedName>
    <definedName name="jskljsljslk" localSheetId="58" hidden="1">TextRefCopy1</definedName>
    <definedName name="jskljsljslk" localSheetId="59" hidden="1">TextRefCopy1</definedName>
    <definedName name="jskljsljslk" localSheetId="62" hidden="1">TextRefCopy1</definedName>
    <definedName name="jskljsljslk" localSheetId="64" hidden="1">TextRefCopy1</definedName>
    <definedName name="jskljsljslk" localSheetId="65" hidden="1">TextRefCopy1</definedName>
    <definedName name="jskljsljslk" localSheetId="27" hidden="1">TextRefCopy1</definedName>
    <definedName name="jskljsljslk" localSheetId="2" hidden="1">TextRefCopy1</definedName>
    <definedName name="jskljsljslk" localSheetId="29" hidden="1">TextRefCopy1</definedName>
    <definedName name="jskljsljslk" localSheetId="78" hidden="1">TextRefCopy1</definedName>
    <definedName name="jskljsljslk" localSheetId="3" hidden="1">TextRefCopy1</definedName>
    <definedName name="jskljsljslk" localSheetId="70" hidden="1">TextRefCopy1</definedName>
    <definedName name="jskljsljslk" localSheetId="71" hidden="1">TextRefCopy1</definedName>
    <definedName name="jskljsljslk" localSheetId="72" hidden="1">TextRefCopy1</definedName>
    <definedName name="jskljsljslk" localSheetId="73" hidden="1">TextRefCopy1</definedName>
    <definedName name="jskljsljslk" localSheetId="7" hidden="1">TextRefCopy1</definedName>
    <definedName name="jskljsljslk" localSheetId="1" hidden="1">TextRefCopy1</definedName>
    <definedName name="jskljsljslk" hidden="1">TextRefCopy1</definedName>
    <definedName name="K2_WBEVMODE" hidden="1">-1</definedName>
    <definedName name="kjdfj" localSheetId="10" hidden="1">{#N/A,#N/A,FALSE,"FY97P1";#N/A,#N/A,FALSE,"FY97Z312";#N/A,#N/A,FALSE,"FY97LRBC";#N/A,#N/A,FALSE,"FY97O";#N/A,#N/A,FALSE,"FY97DAM"}</definedName>
    <definedName name="kjdfj" localSheetId="8" hidden="1">{#N/A,#N/A,FALSE,"FY97P1";#N/A,#N/A,FALSE,"FY97Z312";#N/A,#N/A,FALSE,"FY97LRBC";#N/A,#N/A,FALSE,"FY97O";#N/A,#N/A,FALSE,"FY97DAM"}</definedName>
    <definedName name="kjdfj" localSheetId="39" hidden="1">{#N/A,#N/A,FALSE,"FY97P1";#N/A,#N/A,FALSE,"FY97Z312";#N/A,#N/A,FALSE,"FY97LRBC";#N/A,#N/A,FALSE,"FY97O";#N/A,#N/A,FALSE,"FY97DAM"}</definedName>
    <definedName name="kjdfj" localSheetId="37" hidden="1">{#N/A,#N/A,FALSE,"FY97P1";#N/A,#N/A,FALSE,"FY97Z312";#N/A,#N/A,FALSE,"FY97LRBC";#N/A,#N/A,FALSE,"FY97O";#N/A,#N/A,FALSE,"FY97DAM"}</definedName>
    <definedName name="kjdfj" localSheetId="75" hidden="1">{#N/A,#N/A,FALSE,"FY97P1";#N/A,#N/A,FALSE,"FY97Z312";#N/A,#N/A,FALSE,"FY97LRBC";#N/A,#N/A,FALSE,"FY97O";#N/A,#N/A,FALSE,"FY97DAM"}</definedName>
    <definedName name="kjdfj" localSheetId="65" hidden="1">{#N/A,#N/A,FALSE,"FY97P1";#N/A,#N/A,FALSE,"FY97Z312";#N/A,#N/A,FALSE,"FY97LRBC";#N/A,#N/A,FALSE,"FY97O";#N/A,#N/A,FALSE,"FY97DAM"}</definedName>
    <definedName name="kjdfj" localSheetId="27" hidden="1">{#N/A,#N/A,FALSE,"FY97P1";#N/A,#N/A,FALSE,"FY97Z312";#N/A,#N/A,FALSE,"FY97LRBC";#N/A,#N/A,FALSE,"FY97O";#N/A,#N/A,FALSE,"FY97DAM"}</definedName>
    <definedName name="kjdfj" localSheetId="2" hidden="1">{#N/A,#N/A,FALSE,"FY97P1";#N/A,#N/A,FALSE,"FY97Z312";#N/A,#N/A,FALSE,"FY97LRBC";#N/A,#N/A,FALSE,"FY97O";#N/A,#N/A,FALSE,"FY97DAM"}</definedName>
    <definedName name="kjdfj" localSheetId="29" hidden="1">{#N/A,#N/A,FALSE,"FY97P1";#N/A,#N/A,FALSE,"FY97Z312";#N/A,#N/A,FALSE,"FY97LRBC";#N/A,#N/A,FALSE,"FY97O";#N/A,#N/A,FALSE,"FY97DAM"}</definedName>
    <definedName name="kjdfj" localSheetId="78" hidden="1">{#N/A,#N/A,FALSE,"FY97P1";#N/A,#N/A,FALSE,"FY97Z312";#N/A,#N/A,FALSE,"FY97LRBC";#N/A,#N/A,FALSE,"FY97O";#N/A,#N/A,FALSE,"FY97DAM"}</definedName>
    <definedName name="kjdfj" localSheetId="3" hidden="1">{#N/A,#N/A,FALSE,"FY97P1";#N/A,#N/A,FALSE,"FY97Z312";#N/A,#N/A,FALSE,"FY97LRBC";#N/A,#N/A,FALSE,"FY97O";#N/A,#N/A,FALSE,"FY97DAM"}</definedName>
    <definedName name="kjdfj" localSheetId="1" hidden="1">{#N/A,#N/A,FALSE,"FY97P1";#N/A,#N/A,FALSE,"FY97Z312";#N/A,#N/A,FALSE,"FY97LRBC";#N/A,#N/A,FALSE,"FY97O";#N/A,#N/A,FALSE,"FY97DAM"}</definedName>
    <definedName name="kjdfj" hidden="1">{#N/A,#N/A,FALSE,"FY97P1";#N/A,#N/A,FALSE,"FY97Z312";#N/A,#N/A,FALSE,"FY97LRBC";#N/A,#N/A,FALSE,"FY97O";#N/A,#N/A,FALSE,"FY97DAM"}</definedName>
    <definedName name="kjjjjjjjjjjjjj" localSheetId="75" hidden="1">#REF!</definedName>
    <definedName name="kjjjjjjjjjjjjj" localSheetId="78" hidden="1">#REF!</definedName>
    <definedName name="kjjjjjjjjjjjjj" hidden="1">#REF!</definedName>
    <definedName name="kjkk" localSheetId="10" hidden="1">#REF!</definedName>
    <definedName name="kjkk" localSheetId="8" hidden="1">#REF!</definedName>
    <definedName name="kjkk" localSheetId="37" hidden="1">#REF!</definedName>
    <definedName name="kjkk" localSheetId="75" hidden="1">#REF!</definedName>
    <definedName name="kjkk" localSheetId="65" hidden="1">#REF!</definedName>
    <definedName name="kjkk" hidden="1">#REF!</definedName>
    <definedName name="kkkk" localSheetId="75" hidden="1">#REF!</definedName>
    <definedName name="kkkk" localSheetId="78" hidden="1">#REF!</definedName>
    <definedName name="kkkk" hidden="1">#REF!</definedName>
    <definedName name="kkkkkkkk" localSheetId="10" hidden="1">{#N/A,#N/A,FALSE,"FY97P1";#N/A,#N/A,FALSE,"FY97Z312";#N/A,#N/A,FALSE,"FY97LRBC";#N/A,#N/A,FALSE,"FY97O";#N/A,#N/A,FALSE,"FY97DAM"}</definedName>
    <definedName name="kkkkkkkk" localSheetId="8" hidden="1">{#N/A,#N/A,FALSE,"FY97P1";#N/A,#N/A,FALSE,"FY97Z312";#N/A,#N/A,FALSE,"FY97LRBC";#N/A,#N/A,FALSE,"FY97O";#N/A,#N/A,FALSE,"FY97DAM"}</definedName>
    <definedName name="kkkkkkkk" localSheetId="39" hidden="1">{#N/A,#N/A,FALSE,"FY97P1";#N/A,#N/A,FALSE,"FY97Z312";#N/A,#N/A,FALSE,"FY97LRBC";#N/A,#N/A,FALSE,"FY97O";#N/A,#N/A,FALSE,"FY97DAM"}</definedName>
    <definedName name="kkkkkkkk" localSheetId="37" hidden="1">{#N/A,#N/A,FALSE,"FY97P1";#N/A,#N/A,FALSE,"FY97Z312";#N/A,#N/A,FALSE,"FY97LRBC";#N/A,#N/A,FALSE,"FY97O";#N/A,#N/A,FALSE,"FY97DAM"}</definedName>
    <definedName name="kkkkkkkk" localSheetId="75" hidden="1">{#N/A,#N/A,FALSE,"FY97P1";#N/A,#N/A,FALSE,"FY97Z312";#N/A,#N/A,FALSE,"FY97LRBC";#N/A,#N/A,FALSE,"FY97O";#N/A,#N/A,FALSE,"FY97DAM"}</definedName>
    <definedName name="kkkkkkkk" localSheetId="65" hidden="1">{#N/A,#N/A,FALSE,"FY97P1";#N/A,#N/A,FALSE,"FY97Z312";#N/A,#N/A,FALSE,"FY97LRBC";#N/A,#N/A,FALSE,"FY97O";#N/A,#N/A,FALSE,"FY97DAM"}</definedName>
    <definedName name="kkkkkkkk" localSheetId="27" hidden="1">{#N/A,#N/A,FALSE,"FY97P1";#N/A,#N/A,FALSE,"FY97Z312";#N/A,#N/A,FALSE,"FY97LRBC";#N/A,#N/A,FALSE,"FY97O";#N/A,#N/A,FALSE,"FY97DAM"}</definedName>
    <definedName name="kkkkkkkk" localSheetId="2" hidden="1">{#N/A,#N/A,FALSE,"FY97P1";#N/A,#N/A,FALSE,"FY97Z312";#N/A,#N/A,FALSE,"FY97LRBC";#N/A,#N/A,FALSE,"FY97O";#N/A,#N/A,FALSE,"FY97DAM"}</definedName>
    <definedName name="kkkkkkkk" localSheetId="29" hidden="1">{#N/A,#N/A,FALSE,"FY97P1";#N/A,#N/A,FALSE,"FY97Z312";#N/A,#N/A,FALSE,"FY97LRBC";#N/A,#N/A,FALSE,"FY97O";#N/A,#N/A,FALSE,"FY97DAM"}</definedName>
    <definedName name="kkkkkkkk" localSheetId="78" hidden="1">{#N/A,#N/A,FALSE,"FY97P1";#N/A,#N/A,FALSE,"FY97Z312";#N/A,#N/A,FALSE,"FY97LRBC";#N/A,#N/A,FALSE,"FY97O";#N/A,#N/A,FALSE,"FY97DAM"}</definedName>
    <definedName name="kkkkkkkk" localSheetId="3" hidden="1">{#N/A,#N/A,FALSE,"FY97P1";#N/A,#N/A,FALSE,"FY97Z312";#N/A,#N/A,FALSE,"FY97LRBC";#N/A,#N/A,FALSE,"FY97O";#N/A,#N/A,FALSE,"FY97DAM"}</definedName>
    <definedName name="kkkkkkkk" localSheetId="1" hidden="1">{#N/A,#N/A,FALSE,"FY97P1";#N/A,#N/A,FALSE,"FY97Z312";#N/A,#N/A,FALSE,"FY97LRBC";#N/A,#N/A,FALSE,"FY97O";#N/A,#N/A,FALSE,"FY97DAM"}</definedName>
    <definedName name="kkkkkkkk" hidden="1">{#N/A,#N/A,FALSE,"FY97P1";#N/A,#N/A,FALSE,"FY97Z312";#N/A,#N/A,FALSE,"FY97LRBC";#N/A,#N/A,FALSE,"FY97O";#N/A,#N/A,FALSE,"FY97DAM"}</definedName>
    <definedName name="kkkkkkkkkkkk" localSheetId="75" hidden="1">#REF!</definedName>
    <definedName name="kkkkkkkkkkkk" localSheetId="78" hidden="1">#REF!</definedName>
    <definedName name="kkkkkkkkkkkk" hidden="1">#REF!</definedName>
    <definedName name="kkkkkkkkkkkkkk" localSheetId="75" hidden="1">#REF!</definedName>
    <definedName name="kkkkkkkkkkkkkk" localSheetId="78" hidden="1">#REF!</definedName>
    <definedName name="kkkkkkkkkkkkkk" hidden="1">#REF!</definedName>
    <definedName name="kkkkkkkkkkkkkkkll" localSheetId="75" hidden="1">#REF!</definedName>
    <definedName name="kkkkkkkkkkkkkkkll" localSheetId="78" hidden="1">#REF!</definedName>
    <definedName name="kkkkkkkkkkkkkkkll" hidden="1">#REF!</definedName>
    <definedName name="KWH" localSheetId="39">'C-11'!#REF!</definedName>
    <definedName name="KWH" localSheetId="1">#REF!</definedName>
    <definedName name="KWH">[5]KWH!$A$3:$M$42</definedName>
    <definedName name="Last_Row" hidden="1">#N/A</definedName>
    <definedName name="lll" localSheetId="10" hidden="1">#REF!</definedName>
    <definedName name="lll" localSheetId="8" hidden="1">#REF!</definedName>
    <definedName name="lll" localSheetId="37" hidden="1">#REF!</definedName>
    <definedName name="lll" localSheetId="75" hidden="1">#REF!</definedName>
    <definedName name="lll" localSheetId="65" hidden="1">#REF!</definedName>
    <definedName name="lll" hidden="1">#REF!</definedName>
    <definedName name="LLLLLL" localSheetId="75" hidden="1">#REF!</definedName>
    <definedName name="LLLLLL" localSheetId="78" hidden="1">#REF!</definedName>
    <definedName name="LLLLLL" hidden="1">#REF!</definedName>
    <definedName name="lllllllll" localSheetId="10" hidden="1">#REF!</definedName>
    <definedName name="lllllllll" localSheetId="8" hidden="1">#REF!</definedName>
    <definedName name="lllllllll" localSheetId="37" hidden="1">#REF!</definedName>
    <definedName name="lllllllll" localSheetId="75" hidden="1">#REF!</definedName>
    <definedName name="lllllllll" localSheetId="65" hidden="1">#REF!</definedName>
    <definedName name="lllllllll" hidden="1">#REF!</definedName>
    <definedName name="lllllllllllllll" localSheetId="75" hidden="1">#REF!</definedName>
    <definedName name="lllllllllllllll" hidden="1">#REF!</definedName>
    <definedName name="llllllllllllllllllllll" localSheetId="10" hidden="1">#REF!</definedName>
    <definedName name="llllllllllllllllllllll" localSheetId="8" hidden="1">#REF!</definedName>
    <definedName name="llllllllllllllllllllll" localSheetId="37" hidden="1">#REF!</definedName>
    <definedName name="llllllllllllllllllllll" localSheetId="75" hidden="1">#REF!</definedName>
    <definedName name="llllllllllllllllllllll" localSheetId="65" hidden="1">#REF!</definedName>
    <definedName name="llllllllllllllllllllll" hidden="1">#REF!</definedName>
    <definedName name="llo" localSheetId="10" hidden="1">#REF!</definedName>
    <definedName name="llo" localSheetId="8" hidden="1">#REF!</definedName>
    <definedName name="llo" localSheetId="37" hidden="1">#REF!</definedName>
    <definedName name="llo" localSheetId="65" hidden="1">#REF!</definedName>
    <definedName name="llo" hidden="1">#REF!</definedName>
    <definedName name="Load" localSheetId="39">'C-11'!#REF!</definedName>
    <definedName name="Load" localSheetId="1">#REF!</definedName>
    <definedName name="Load">[5]Chart!$C$2</definedName>
    <definedName name="MLNK02347c98abe94ba9b3722615bcea76f2" localSheetId="75" hidden="1">#REF!</definedName>
    <definedName name="MLNK02347c98abe94ba9b3722615bcea76f2" hidden="1">#REF!</definedName>
    <definedName name="MLNK0262065a669a4e968930c4526b0f05b7" localSheetId="10" hidden="1">#REF!</definedName>
    <definedName name="MLNK0262065a669a4e968930c4526b0f05b7" localSheetId="8" hidden="1">#REF!</definedName>
    <definedName name="MLNK0262065a669a4e968930c4526b0f05b7" localSheetId="37" hidden="1">#REF!</definedName>
    <definedName name="MLNK0262065a669a4e968930c4526b0f05b7" localSheetId="75" hidden="1">#REF!</definedName>
    <definedName name="MLNK0262065a669a4e968930c4526b0f05b7" localSheetId="65" hidden="1">#REF!</definedName>
    <definedName name="MLNK0262065a669a4e968930c4526b0f05b7" hidden="1">#REF!</definedName>
    <definedName name="MLNK02b791ed46a444d090833f3ce58fb934" hidden="1">#REF!</definedName>
    <definedName name="MLNK03e2a036ea3842699f83504ad8f7a5e5" hidden="1">#REF!</definedName>
    <definedName name="MLNK03f04ae1071849c79db6439ced8d26c9" hidden="1">#REF!</definedName>
    <definedName name="MLNK043c1e5a207443eb8f069dbd2d6ecc64" hidden="1">#REF!</definedName>
    <definedName name="MLNK045375ee4a4548bfa72023ea2f1316ae" hidden="1">#REF!</definedName>
    <definedName name="MLNK0465b191f0134334bd6cbd9eb298cdb0" hidden="1">#REF!</definedName>
    <definedName name="MLNK04937c37b0f64af18046c31d5cfeff71" hidden="1">#REF!</definedName>
    <definedName name="MLNK049828f2a61e436099b2fb772a17356d" hidden="1">#REF!</definedName>
    <definedName name="MLNK056d8357b79d4eb69caae6809440ae9e" hidden="1">#REF!</definedName>
    <definedName name="MLNK05b5f32848ca4ccdb53f467a4f8fcabf" hidden="1">#REF!</definedName>
    <definedName name="MLNK0624affccd53448b9975d0cd5b3b311c" hidden="1">#REF!</definedName>
    <definedName name="MLNK066d45cd0eaf423f82fea9c28653ace1" hidden="1">#REF!</definedName>
    <definedName name="MLNK06d6f2b802744c6bbacb48586ac5ebe1" hidden="1">#REF!</definedName>
    <definedName name="MLNK06ee92ac18cc4d1cb585ae5a9b158177" hidden="1">#REF!</definedName>
    <definedName name="MLNK070302756cb64499b49c608764cbc7d5" hidden="1">#REF!</definedName>
    <definedName name="MLNK070aa30f79e64056ae744044db8d4c19" hidden="1">#REF!</definedName>
    <definedName name="MLNK07d9cef4c7c74977abff5d0bf2e93c15" hidden="1">#REF!</definedName>
    <definedName name="MLNK097feda4769a4bf6847c682bb102e327" hidden="1">#REF!</definedName>
    <definedName name="MLNK09862c159cb148c4997e666ddcf57115" hidden="1">#REF!</definedName>
    <definedName name="MLNK09cca42754934922a07d3a367f92d435" hidden="1">#REF!</definedName>
    <definedName name="MLNK09d81ba5b40a42c0a9c14c810f1878cc" hidden="1">#REF!</definedName>
    <definedName name="MLNK0b082d276bca40faa8004fcab2601e68" hidden="1">#REF!</definedName>
    <definedName name="MLNK0b092fa231b04e2396db4bf15cecd0c3" hidden="1">#REF!</definedName>
    <definedName name="MLNK0b8bab327c0147d6ba4d9c01bde0c846" hidden="1">#REF!</definedName>
    <definedName name="MLNK0bf2454c25664e64ae8d489f22f02acd" hidden="1">#REF!</definedName>
    <definedName name="MLNK0c20fcebec34462ead6e44515658074e" hidden="1">#REF!</definedName>
    <definedName name="MLNK0c8ba547a1514edc9a147b16e9e57c04" hidden="1">#REF!</definedName>
    <definedName name="MLNK0d09efce5d334adab7eadc8455671d25" hidden="1">#REF!</definedName>
    <definedName name="MLNK0e7d997834d146e59be8c567513dbc73" localSheetId="10" hidden="1">#REF!</definedName>
    <definedName name="MLNK0e7d997834d146e59be8c567513dbc73" localSheetId="8" hidden="1">#REF!</definedName>
    <definedName name="MLNK0e7d997834d146e59be8c567513dbc73" localSheetId="37" hidden="1">#REF!</definedName>
    <definedName name="MLNK0e7d997834d146e59be8c567513dbc73" localSheetId="75" hidden="1">#REF!</definedName>
    <definedName name="MLNK0e7d997834d146e59be8c567513dbc73" localSheetId="65" hidden="1">#REF!</definedName>
    <definedName name="MLNK0e7d997834d146e59be8c567513dbc73" hidden="1">#REF!</definedName>
    <definedName name="MLNK0f6a8f93e67b44949558c9c724157855" hidden="1">#REF!</definedName>
    <definedName name="MLNK0f8ee7e3d6684f56b91213ff6e90fe1b" hidden="1">#REF!</definedName>
    <definedName name="MLNK0f9829bf3f2649c2a538fcb2cf8b24fe" hidden="1">#REF!</definedName>
    <definedName name="MLNK11b485f0e80a44ffb9a7deb8be61f099" hidden="1">#REF!</definedName>
    <definedName name="MLNK1391aab276394e21be88e9a90d23fcf2" hidden="1">#REF!</definedName>
    <definedName name="MLNK14e014d9037a49668e199d3784eef1f4" hidden="1">#REF!</definedName>
    <definedName name="MLNK15204dd5e4ec404d90f7eb22f1bad2ed" hidden="1">#REF!</definedName>
    <definedName name="MLNK15ce465ad48849b89dd690a9c51bba8a" hidden="1">#REF!</definedName>
    <definedName name="MLNK1607210ce72346f78bac1856d21ec9ea" hidden="1">#REF!</definedName>
    <definedName name="MLNK1639424883e1435b88a9242b1788d136" hidden="1">#REF!</definedName>
    <definedName name="MLNK165d1a9d7fa04befab5f4c77a2635fe9" hidden="1">#REF!</definedName>
    <definedName name="MLNK177560faf53444eba7c99a855f81b48a" hidden="1">#REF!</definedName>
    <definedName name="MLNK1871dbc761b14af196dd83f16fd31a61" hidden="1">#REF!</definedName>
    <definedName name="MLNK18cee1f17b9844a4a586aeb9361b4ef1" hidden="1">#REF!</definedName>
    <definedName name="MLNK18f36d5e46a242d4975aa2cb418391f5" hidden="1">#REF!</definedName>
    <definedName name="MLNK19e6afb16f4648328debe1c6135c3d10" hidden="1">#REF!</definedName>
    <definedName name="MLNK1a2a7cf1be524d52a31eb8cd96a763cb" hidden="1">#REF!</definedName>
    <definedName name="MLNK1a91886f3c5a4d589a5e6a36f4eec6d3" hidden="1">#REF!</definedName>
    <definedName name="MLNK1b01a1c7503f4e3db843c5ee082376b3" hidden="1">#REF!</definedName>
    <definedName name="MLNK1b9d7dbd02704ed0b18a5b5ee898cbe1" hidden="1">#REF!</definedName>
    <definedName name="MLNK1c65a5e0efd4414fb11830954083af7f" hidden="1">#REF!</definedName>
    <definedName name="MLNK1d4bc7fb67f544eb963ce66e6c87487d" hidden="1">#REF!</definedName>
    <definedName name="MLNK1ecd8ff118b84d0595b49e9cbba23524" hidden="1">#REF!</definedName>
    <definedName name="MLNK1f0c1ce04fd44380a7476d1707ca2bb8" hidden="1">#REF!</definedName>
    <definedName name="MLNK1f68c3d05fc04f47954f056ca0e8849b" hidden="1">#REF!</definedName>
    <definedName name="MLNK1fd69c2d7cb14234bacd3f64e619d2c8" hidden="1">#REF!</definedName>
    <definedName name="MLNK1fef4b2a96144fb694fcbb8d2b0c481a" hidden="1">#REF!</definedName>
    <definedName name="MLNK209443b38cdd4e9cae3c7943483c8070" hidden="1">#REF!</definedName>
    <definedName name="MLNK2184274f3e2d4f0c9ace0067e8f9e2da" hidden="1">#REF!</definedName>
    <definedName name="MLNK21a0d26467c549acb5dbaf5c2234f1b8" hidden="1">#REF!</definedName>
    <definedName name="MLNK21a3f9f85f66464ab19f2b2111d98410" hidden="1">#REF!</definedName>
    <definedName name="MLNK21b54d7030a740a9a542cd222db7c708" hidden="1">#REF!</definedName>
    <definedName name="MLNK22e32a2d70a84fafbb5884fa1ab5b76c" hidden="1">#REF!</definedName>
    <definedName name="MLNK248d9b3e0e934d35964a07c1341e23b6" hidden="1">#REF!</definedName>
    <definedName name="MLNK2658219a56b541ab8153804281cdba79" hidden="1">#REF!</definedName>
    <definedName name="MLNK26c02635a0d74d4088cd433fdea92ca1" hidden="1">#REF!</definedName>
    <definedName name="MLNK27da0f47019e47f79817fef6e398902d" hidden="1">#REF!</definedName>
    <definedName name="MLNK27f323f0e2874762881301b4e840d7f2" hidden="1">#REF!</definedName>
    <definedName name="MLNK2805b44edd0441129f8e11aa4acd41a7" hidden="1">#REF!</definedName>
    <definedName name="MLNK296c940554a54038b436a5a194f390b0" hidden="1">#REF!</definedName>
    <definedName name="MLNK29d6568d77a84ac0840cba8e1d1d6ee3" hidden="1">#REF!</definedName>
    <definedName name="MLNK2a47b22002254067be85e68327a7e813" hidden="1">#REF!</definedName>
    <definedName name="MLNK2a5c79f50aec42c8a2e31d5325c28031" hidden="1">#REF!</definedName>
    <definedName name="MLNK2a5e8554d6d24547af0536956f860375" hidden="1">#REF!</definedName>
    <definedName name="MLNK2aecb38e444a4a40a14b70143f708801" hidden="1">#REF!</definedName>
    <definedName name="MLNK2b8114d7a2d84280a2be0050bd51168b" hidden="1">#REF!</definedName>
    <definedName name="MLNK2be8dd5fafc0478aa9b72035019b5312" hidden="1">#REF!</definedName>
    <definedName name="MLNK2c1ea20a78034d11aad208c8cb37fc57" hidden="1">#REF!</definedName>
    <definedName name="MLNK2c24ddb14bd24af285ffc11304208820" hidden="1">#REF!</definedName>
    <definedName name="MLNK2c7069f1dccc47fcaec327b3c64f7bc6" hidden="1">#REF!</definedName>
    <definedName name="MLNK2db95360c50d4010be00f3b6ddc7792d" hidden="1">#REF!</definedName>
    <definedName name="MLNK2deef52e26fc409fa454323d5247537c" hidden="1">#REF!</definedName>
    <definedName name="MLNK2df7a817a5c246af99027147ede92642" hidden="1">#REF!</definedName>
    <definedName name="MLNK2e2dfb78537e41a6b46ecbf4575afbd1" hidden="1">#REF!</definedName>
    <definedName name="MLNK2f885612a8f944a086299dda361c7ed1" hidden="1">#REF!</definedName>
    <definedName name="MLNK2fe5187b5ef446448070aaf0b454c70c" hidden="1">#REF!</definedName>
    <definedName name="MLNK308ec47b16224f54a3a1ed632cbe0316" localSheetId="10" hidden="1">#REF!</definedName>
    <definedName name="MLNK308ec47b16224f54a3a1ed632cbe0316" localSheetId="8" hidden="1">#REF!</definedName>
    <definedName name="MLNK308ec47b16224f54a3a1ed632cbe0316" localSheetId="37" hidden="1">#REF!</definedName>
    <definedName name="MLNK308ec47b16224f54a3a1ed632cbe0316" localSheetId="75" hidden="1">#REF!</definedName>
    <definedName name="MLNK308ec47b16224f54a3a1ed632cbe0316" localSheetId="65" hidden="1">#REF!</definedName>
    <definedName name="MLNK308ec47b16224f54a3a1ed632cbe0316" hidden="1">#REF!</definedName>
    <definedName name="MLNK31399fdff50142e59cba8c077ad38f91" hidden="1">#REF!</definedName>
    <definedName name="MLNK31c2d578afa84b99a2cd086665213a79" hidden="1">#REF!</definedName>
    <definedName name="MLNK31ff285c72d4439dbe0e2be832dc8679" hidden="1">#REF!</definedName>
    <definedName name="MLNK35e4b6f0156948d1bdf9153b287ae30f" hidden="1">#REF!</definedName>
    <definedName name="MLNK360f3d432fda4ea990599a5f08def911" hidden="1">#REF!</definedName>
    <definedName name="MLNK3648f583af614635b59edb48f94a4130" hidden="1">#REF!</definedName>
    <definedName name="MLNK3658811918af4fd78645ae1c10cfe309" hidden="1">#REF!</definedName>
    <definedName name="MLNK36abbd0d52b04afd9a1aa158ef250528" localSheetId="10" hidden="1">#REF!</definedName>
    <definedName name="MLNK36abbd0d52b04afd9a1aa158ef250528" localSheetId="8" hidden="1">#REF!</definedName>
    <definedName name="MLNK36abbd0d52b04afd9a1aa158ef250528" localSheetId="37" hidden="1">#REF!</definedName>
    <definedName name="MLNK36abbd0d52b04afd9a1aa158ef250528" localSheetId="75" hidden="1">#REF!</definedName>
    <definedName name="MLNK36abbd0d52b04afd9a1aa158ef250528" localSheetId="65" hidden="1">#REF!</definedName>
    <definedName name="MLNK36abbd0d52b04afd9a1aa158ef250528" hidden="1">#REF!</definedName>
    <definedName name="MLNK36e5efc324ea43cabbf6164f660626bf" hidden="1">#REF!</definedName>
    <definedName name="MLNK36eb917cf7d14534b65b7531d6c48f0a" hidden="1">#REF!</definedName>
    <definedName name="MLNK3706e24c887c4bfbbdad6cf2cec81d6c" hidden="1">#REF!</definedName>
    <definedName name="MLNK37a873b0c9d34fb08c46e4acd5991a92" hidden="1">#REF!</definedName>
    <definedName name="MLNK37baddb09f3b4c75a05f2fcf17aedfe6" hidden="1">#REF!</definedName>
    <definedName name="MLNK37f868d4fa2843f0824a0aea3caff875" hidden="1">#REF!</definedName>
    <definedName name="MLNK3828f00d5db24b5cb3f5ea512518e4e1" hidden="1">#REF!</definedName>
    <definedName name="MLNK38d046e8ed49413a95ebb71b6f526008" hidden="1">#REF!</definedName>
    <definedName name="MLNK3aade161feec4705b303c619f23a71c0" hidden="1">#REF!</definedName>
    <definedName name="MLNK3ad0197dea8e471aafedb431ba3d1ad3" hidden="1">#REF!</definedName>
    <definedName name="MLNK3b38a2b0fec4415786f78bdb5f2c5b17" hidden="1">#REF!</definedName>
    <definedName name="MLNK3b7d42c6927a47d3aa8c3b806705192d" hidden="1">#REF!</definedName>
    <definedName name="MLNK3bac5fe737474ee291eda81fc45a936b" hidden="1">#REF!</definedName>
    <definedName name="MLNK3bd9cb0bf4ae46c18f27be91d867f5d0" hidden="1">#REF!</definedName>
    <definedName name="MLNK3c28ecdfc128449bb2e925e5c3bc7f79" hidden="1">#REF!</definedName>
    <definedName name="MLNK3d4c90ddf7624b599035ed156292e6e7" hidden="1">#REF!</definedName>
    <definedName name="MLNK3e1282583c70432bb6e4f5bcf64f6799" hidden="1">#REF!</definedName>
    <definedName name="MLNK3e3e2f3ea73b4ce2b3b55a1ff8863e08" hidden="1">#REF!</definedName>
    <definedName name="MLNK3e5a338d69ad40388d23cbc751d891a4" hidden="1">#REF!</definedName>
    <definedName name="MLNK3e647beb89b24f928aea55bf87a19639" hidden="1">#REF!</definedName>
    <definedName name="MLNK3eee6069b89b44b9857417005784e3ab" hidden="1">#REF!</definedName>
    <definedName name="MLNK403ebfd4f40e43c99784de624c8f354d" hidden="1">#REF!</definedName>
    <definedName name="MLNK413da80677384ac0a79b6ccc1fdb5195" hidden="1">#REF!</definedName>
    <definedName name="MLNK415f334cb91f4b7282c1eeafac78ea43" hidden="1">#REF!</definedName>
    <definedName name="MLNK41e4e79c26a142d59def981d2dd145df" hidden="1">#REF!</definedName>
    <definedName name="MLNK42752d9e1ccc44ce9adb2280645efe9b" hidden="1">#REF!</definedName>
    <definedName name="MLNK42b3bb17631f41b8b3f75f71dd17fa5f" hidden="1">#REF!</definedName>
    <definedName name="MLNK4319580fe7794c4099aedb5cf68a3476" hidden="1">#REF!</definedName>
    <definedName name="MLNK433fb54cacd1435a9c9e560c0cdd8df8" hidden="1">#REF!</definedName>
    <definedName name="MLNK438a2a6e120142498741816ba9579735" hidden="1">#REF!</definedName>
    <definedName name="MLNK43d81e261c8a4297b97427c57a2a0f3d" hidden="1">#REF!</definedName>
    <definedName name="MLNK443d01b130344b52a766fe8ee0d9c39d" hidden="1">#REF!</definedName>
    <definedName name="MLNK458aaa79af9846afb73e41d3c9e2f1ab" hidden="1">#REF!</definedName>
    <definedName name="MLNK45b83cc97481460da2311ad794b247e4" hidden="1">#REF!</definedName>
    <definedName name="MLNK45c76ff10b874741ab77a9634a1feb11" hidden="1">#REF!</definedName>
    <definedName name="MLNK46df31e034a7404583d4c864ba95b54e" hidden="1">#REF!</definedName>
    <definedName name="MLNK47ecd769fb4441469072be216124a69f" hidden="1">#REF!</definedName>
    <definedName name="MLNK482919bd20434765a50a5474233d58dc" hidden="1">#REF!</definedName>
    <definedName name="MLNK48471666c3414f8aa956b5053db71384" hidden="1">#REF!</definedName>
    <definedName name="MLNK484bb76c7e41479cbe4e39303ad6f0d3" hidden="1">#REF!</definedName>
    <definedName name="MLNK4931501a55124a859b558556c9bde21a" hidden="1">#REF!</definedName>
    <definedName name="MLNK498d98cc04654c498b39d53c1522165b" hidden="1">#REF!</definedName>
    <definedName name="MLNK49d3f0c296384b68956588199f80ee48" hidden="1">#REF!</definedName>
    <definedName name="MLNK49e6d6b375eb4898b318fa941c74e98b" hidden="1">#REF!</definedName>
    <definedName name="MLNK4a1a0bcea1014b019e7b811681cb9ba0" hidden="1">#REF!</definedName>
    <definedName name="MLNK4bb76648e81d4bf3804872f4216576c9" hidden="1">#REF!</definedName>
    <definedName name="MLNK4c45991e708e4e0086cff0f3dec04376" hidden="1">#REF!</definedName>
    <definedName name="MLNK4c635a19550a44109070e6130c847b6b" hidden="1">#REF!</definedName>
    <definedName name="MLNK4cde9847bc18436482ab008f59ab9718" hidden="1">#REF!</definedName>
    <definedName name="MLNK4d258d99109745b2be56909102240102" hidden="1">#REF!</definedName>
    <definedName name="MLNK4d7213d61e414411986e7d332e756fc5" hidden="1">#REF!</definedName>
    <definedName name="MLNK4da9c9e6b8c644f380a6ca5d5ab2620f" hidden="1">#REF!</definedName>
    <definedName name="MLNK4e49e49c582e448e9e30a83d9c83a122" localSheetId="10" hidden="1">#REF!</definedName>
    <definedName name="MLNK4e49e49c582e448e9e30a83d9c83a122" localSheetId="8" hidden="1">#REF!</definedName>
    <definedName name="MLNK4e49e49c582e448e9e30a83d9c83a122" localSheetId="37" hidden="1">#REF!</definedName>
    <definedName name="MLNK4e49e49c582e448e9e30a83d9c83a122" localSheetId="75" hidden="1">#REF!</definedName>
    <definedName name="MLNK4e49e49c582e448e9e30a83d9c83a122" localSheetId="65" hidden="1">#REF!</definedName>
    <definedName name="MLNK4e49e49c582e448e9e30a83d9c83a122" hidden="1">#REF!</definedName>
    <definedName name="MLNK4e9053f195424c5898385bfd1c12f6b3" hidden="1">#REF!</definedName>
    <definedName name="MLNK4f98288bba1c4350913b060688bde28e" hidden="1">#REF!</definedName>
    <definedName name="MLNK508ff2ecf28e40cfaa71d75881b6a90a" hidden="1">#REF!</definedName>
    <definedName name="MLNK509f8c4fb6714660a48602426ab100f0" hidden="1">#REF!</definedName>
    <definedName name="MLNK50bae705cc0d41ad9ba07fcaf0b91d98" hidden="1">#REF!</definedName>
    <definedName name="MLNK51a8fd158f3540cd92b538a0e9992c1d" hidden="1">#REF!</definedName>
    <definedName name="MLNK51bea82e02e4429d891d84a27212e619" hidden="1">#REF!</definedName>
    <definedName name="MLNK52cb6911a2a44cb19e70c2ca9b02d38e" hidden="1">#REF!</definedName>
    <definedName name="MLNK52efdd4a84064a8ca4dec1a4ddc32412" localSheetId="10" hidden="1">#REF!</definedName>
    <definedName name="MLNK52efdd4a84064a8ca4dec1a4ddc32412" localSheetId="8" hidden="1">#REF!</definedName>
    <definedName name="MLNK52efdd4a84064a8ca4dec1a4ddc32412" localSheetId="37" hidden="1">#REF!</definedName>
    <definedName name="MLNK52efdd4a84064a8ca4dec1a4ddc32412" localSheetId="75" hidden="1">#REF!</definedName>
    <definedName name="MLNK52efdd4a84064a8ca4dec1a4ddc32412" localSheetId="65" hidden="1">#REF!</definedName>
    <definedName name="MLNK52efdd4a84064a8ca4dec1a4ddc32412" hidden="1">#REF!</definedName>
    <definedName name="MLNK5347981ee1dd4801af77c60c95ccb8e1" hidden="1">#REF!</definedName>
    <definedName name="MLNK536333f261bd411397bf03627d7c2745" hidden="1">#REF!</definedName>
    <definedName name="MLNK53a9cc6153f347ccb56b1fc51538aa76" hidden="1">#REF!</definedName>
    <definedName name="MLNK53e55a5a145e40329efd59713c9d9c6f" hidden="1">#REF!</definedName>
    <definedName name="MLNK5492763a4dfa4261a804a7a6144d6c5f" hidden="1">#REF!</definedName>
    <definedName name="MLNK55ae9c71f0dd499881deb18bc8d1f2a5" hidden="1">#REF!</definedName>
    <definedName name="MLNK560b6e60e3e0435e8c4d001347bff533" hidden="1">#REF!</definedName>
    <definedName name="MLNK570ef26b10a941acb89178583a814e76" hidden="1">#REF!</definedName>
    <definedName name="MLNK579ef4e1916f46aab301f33adc076bcc" hidden="1">#REF!</definedName>
    <definedName name="MLNK582db0217a614d7ba0e1511524a77e05" hidden="1">#REF!</definedName>
    <definedName name="MLNK5898a6e69caa4597babc57cdf97bd9bf" hidden="1">#REF!</definedName>
    <definedName name="MLNK59f209be2bf3401e9e0607f2f78b4c04" hidden="1">#REF!</definedName>
    <definedName name="MLNK5a83c17b18714ce0becd2b289712c52b" hidden="1">#REF!</definedName>
    <definedName name="MLNK5abb92c89621466b91d5cb1ade855f7f" hidden="1">#REF!</definedName>
    <definedName name="MLNK5ad85d409591497d8dad9509425e0ba2" hidden="1">#REF!</definedName>
    <definedName name="MLNK5ae714f60c1641bb934d97ab30be240e" hidden="1">#REF!</definedName>
    <definedName name="MLNK5b339955694e46b7802896462eee8b3d" hidden="1">#REF!</definedName>
    <definedName name="MLNK5cb4dbe67964435e930dd63eb29896b1" hidden="1">#REF!</definedName>
    <definedName name="MLNK5d5c778196e0436eba8d974251b3bf17" hidden="1">#REF!</definedName>
    <definedName name="MLNK5d68080b038343fa816dada380863ce8" localSheetId="10" hidden="1">#REF!</definedName>
    <definedName name="MLNK5d68080b038343fa816dada380863ce8" localSheetId="8" hidden="1">#REF!</definedName>
    <definedName name="MLNK5d68080b038343fa816dada380863ce8" localSheetId="37" hidden="1">#REF!</definedName>
    <definedName name="MLNK5d68080b038343fa816dada380863ce8" localSheetId="75" hidden="1">#REF!</definedName>
    <definedName name="MLNK5d68080b038343fa816dada380863ce8" localSheetId="65" hidden="1">#REF!</definedName>
    <definedName name="MLNK5d68080b038343fa816dada380863ce8" hidden="1">#REF!</definedName>
    <definedName name="MLNK5d77c638f3c2404dab35b6e6ac94b9a7" hidden="1">#REF!</definedName>
    <definedName name="MLNK5df9151fd86842b89bcd179e2f0def34" hidden="1">#REF!</definedName>
    <definedName name="MLNK5e5f590bc264463e98d16a114838aa57" hidden="1">#REF!</definedName>
    <definedName name="MLNK5eada16b3c5c487bbc0de01cf74e2173" hidden="1">#REF!</definedName>
    <definedName name="MLNK5f228fd4a59d4db2812d49b0a7754e23" hidden="1">#REF!</definedName>
    <definedName name="MLNK5f848ded84264f5d98bf3e15cbe8c01d" hidden="1">#REF!</definedName>
    <definedName name="MLNK5fa1877d45bd4a9289b48633d5b5072a" hidden="1">#REF!</definedName>
    <definedName name="MLNK610db0b6cc754ef99c73a3cd6f22f571" hidden="1">#REF!</definedName>
    <definedName name="MLNK6226dcd378504a2ca1dbbaa1e632dc0a" hidden="1">#REF!</definedName>
    <definedName name="MLNK63c206df9ed041a9a1121d1257b3f60b" hidden="1">#REF!</definedName>
    <definedName name="MLNK6411ea80b5b440648c6d6066ca29173c" hidden="1">#REF!</definedName>
    <definedName name="MLNK65bc63d0bd984accb696d002904d0f08" hidden="1">#REF!</definedName>
    <definedName name="MLNK6640a089c91645b3a9f3615b7584b729" hidden="1">#REF!</definedName>
    <definedName name="MLNK672e13883a264a4f8e419d942933dd1b" hidden="1">#REF!</definedName>
    <definedName name="MLNK6790d0c9a6224e2d928c158b38604b86" hidden="1">#REF!</definedName>
    <definedName name="MLNK67c184b495fd4955b3cf94cbcedb6638" hidden="1">#REF!</definedName>
    <definedName name="MLNK695bfab210c8400cbd5abb57e71aebe6" hidden="1">#REF!</definedName>
    <definedName name="MLNK69aa328df44848a999824b4b2fa0448b" hidden="1">#REF!</definedName>
    <definedName name="MLNK69d944092bcf489d931862cbfbe1c996" hidden="1">#REF!</definedName>
    <definedName name="MLNK6ab964da169d467bbce24bbafd667728" hidden="1">#REF!</definedName>
    <definedName name="MLNK6b00ddf2e9c04801b29cc98e91eb2dbc" hidden="1">#REF!</definedName>
    <definedName name="MLNK6b423b375ecf4725b5fa25353b990667" hidden="1">#REF!</definedName>
    <definedName name="MLNK6b65ed32ce7640a99fa7442f9889b454" localSheetId="10" hidden="1">#REF!</definedName>
    <definedName name="MLNK6b65ed32ce7640a99fa7442f9889b454" localSheetId="8" hidden="1">#REF!</definedName>
    <definedName name="MLNK6b65ed32ce7640a99fa7442f9889b454" localSheetId="37" hidden="1">#REF!</definedName>
    <definedName name="MLNK6b65ed32ce7640a99fa7442f9889b454" localSheetId="75" hidden="1">#REF!</definedName>
    <definedName name="MLNK6b65ed32ce7640a99fa7442f9889b454" localSheetId="65" hidden="1">#REF!</definedName>
    <definedName name="MLNK6b65ed32ce7640a99fa7442f9889b454" hidden="1">#REF!</definedName>
    <definedName name="MLNK6c16a94d2a0b43b7b8adb5c5950c7890" hidden="1">#REF!</definedName>
    <definedName name="MLNK6c366b5f04d54533bf372b0bebc30c9f" hidden="1">#REF!</definedName>
    <definedName name="MLNK6c949c245d594993a72b43c4e938f5d2" hidden="1">#REF!</definedName>
    <definedName name="MLNK6d480d6ee1b34b10965446268e5e05ed" hidden="1">#REF!</definedName>
    <definedName name="MLNK6d5ef2ae7d494c4983a39cafda858a07" localSheetId="10" hidden="1">#REF!</definedName>
    <definedName name="MLNK6d5ef2ae7d494c4983a39cafda858a07" localSheetId="8" hidden="1">#REF!</definedName>
    <definedName name="MLNK6d5ef2ae7d494c4983a39cafda858a07" localSheetId="37" hidden="1">#REF!</definedName>
    <definedName name="MLNK6d5ef2ae7d494c4983a39cafda858a07" localSheetId="75" hidden="1">#REF!</definedName>
    <definedName name="MLNK6d5ef2ae7d494c4983a39cafda858a07" localSheetId="65" hidden="1">#REF!</definedName>
    <definedName name="MLNK6d5ef2ae7d494c4983a39cafda858a07" hidden="1">#REF!</definedName>
    <definedName name="MLNK6e283d9da0464568a5dfc377690f1543" hidden="1">#REF!</definedName>
    <definedName name="MLNK6e6ce24531cb48eaa9d8307f24b6a872" hidden="1">#REF!</definedName>
    <definedName name="MLNK6ea59209ef7a45c9833c1204928341d0" hidden="1">#REF!</definedName>
    <definedName name="MLNK6f98c812586e46718c1e93daade62794" hidden="1">#REF!</definedName>
    <definedName name="MLNK6fae11f939ba4aaa9802df3725e20ebb" hidden="1">#REF!</definedName>
    <definedName name="MLNK6ff06dccb8854c3b939387890f5c8993" hidden="1">#REF!</definedName>
    <definedName name="MLNK7006de1b050c4e36a26d4f3df2768687" hidden="1">#REF!</definedName>
    <definedName name="MLNK70df96ddcf5e421ab12a8c2e2c167bf8" hidden="1">#REF!</definedName>
    <definedName name="MLNK72298a29c71740da88c3fd2965b44709" hidden="1">#REF!</definedName>
    <definedName name="MLNK7320956c55894738a58535007c9313c1" localSheetId="10" hidden="1">#REF!</definedName>
    <definedName name="MLNK7320956c55894738a58535007c9313c1" localSheetId="8" hidden="1">#REF!</definedName>
    <definedName name="MLNK7320956c55894738a58535007c9313c1" localSheetId="37" hidden="1">#REF!</definedName>
    <definedName name="MLNK7320956c55894738a58535007c9313c1" localSheetId="75" hidden="1">#REF!</definedName>
    <definedName name="MLNK7320956c55894738a58535007c9313c1" localSheetId="65" hidden="1">#REF!</definedName>
    <definedName name="MLNK7320956c55894738a58535007c9313c1" hidden="1">#REF!</definedName>
    <definedName name="MLNK732c066412c842f39247eaa9b6c6a2b0" hidden="1">#REF!</definedName>
    <definedName name="MLNK73cefd734dde4b4ca833bd52be1fa527" hidden="1">#REF!</definedName>
    <definedName name="MLNK73d7f83c73834c11ace54c3ccdbcac3f" hidden="1">#REF!</definedName>
    <definedName name="MLNK74b6be136557406f93d3fabd488f684b" hidden="1">#REF!</definedName>
    <definedName name="MLNK7586c74528b54c32aec2be58fd578869" hidden="1">#REF!</definedName>
    <definedName name="MLNK75cfff200780462da3dcec6b0350fe13" hidden="1">#REF!</definedName>
    <definedName name="MLNK75fed7b1a5d344618cc0a1d861ff8665" hidden="1">#REF!</definedName>
    <definedName name="MLNK76fea2f65b2c4015983773cce88188ba" hidden="1">#REF!</definedName>
    <definedName name="MLNK7717dbd64b4f4e368a87cd7134213489" hidden="1">#REF!</definedName>
    <definedName name="MLNK776e206f7b34477d9fe2261fc720ce07" hidden="1">#REF!</definedName>
    <definedName name="MLNK78198bd7015f42f599923a8e585086b5" hidden="1">#REF!</definedName>
    <definedName name="MLNK78afc04f88f94fb2a2de1a68e9f170f3" hidden="1">#REF!</definedName>
    <definedName name="MLNK79515637e4784aa7b54851b3bf4ee9d0" hidden="1">#REF!</definedName>
    <definedName name="MLNK79518544eb1e4239bad2c4df986bfcb2" hidden="1">#REF!</definedName>
    <definedName name="MLNK79c185f0a9ff46d49295c3ad86d88745" hidden="1">#REF!</definedName>
    <definedName name="MLNK7ab4431700474b12aad45a0e8e119c10" hidden="1">#REF!</definedName>
    <definedName name="MLNK7b2229d2956847c2bacafaddac3315c0" hidden="1">#REF!</definedName>
    <definedName name="MLNK7bdd4a8943c247d98d9afc0cccf057c7" hidden="1">#REF!</definedName>
    <definedName name="MLNK7d44ae3b8fb748759c025ff240f58bb1" hidden="1">#REF!</definedName>
    <definedName name="MLNK7dc1b60e98604641860cb357980c435e" hidden="1">#REF!</definedName>
    <definedName name="MLNK7dcaa5a87c7247068b76a43a8dd42b7d" localSheetId="10" hidden="1">#REF!</definedName>
    <definedName name="MLNK7dcaa5a87c7247068b76a43a8dd42b7d" localSheetId="8" hidden="1">#REF!</definedName>
    <definedName name="MLNK7dcaa5a87c7247068b76a43a8dd42b7d" localSheetId="37" hidden="1">#REF!</definedName>
    <definedName name="MLNK7dcaa5a87c7247068b76a43a8dd42b7d" localSheetId="75" hidden="1">#REF!</definedName>
    <definedName name="MLNK7dcaa5a87c7247068b76a43a8dd42b7d" localSheetId="65" hidden="1">#REF!</definedName>
    <definedName name="MLNK7dcaa5a87c7247068b76a43a8dd42b7d" hidden="1">#REF!</definedName>
    <definedName name="MLNK7ddf4f9db0324f7ebf9355303eb31c1f" hidden="1">#REF!</definedName>
    <definedName name="MLNK7ebcc979ebd94d74a778743b7667dc5c" hidden="1">#REF!</definedName>
    <definedName name="MLNK7ef2886e3c5b4aef813d8064e0a67da3" hidden="1">#REF!</definedName>
    <definedName name="MLNK7f3b2b5f505341e2953ae07dd22a644d" hidden="1">#REF!</definedName>
    <definedName name="MLNK7fb0284a33ca45b6bc8db27e6722b74e" hidden="1">#REF!</definedName>
    <definedName name="MLNK80e30c2279ce4a1c964731ffa1934673" hidden="1">#REF!</definedName>
    <definedName name="MLNK80e41df743d74118bf3cf2ba320c8cb9" hidden="1">#REF!</definedName>
    <definedName name="MLNK811988d6250a4f708b3574f3f52b2699" hidden="1">#REF!</definedName>
    <definedName name="MLNK819b54474d124f0e9e3fea62de36062a" hidden="1">#REF!</definedName>
    <definedName name="MLNK81a613552b8d452aa971184139314877" hidden="1">#REF!</definedName>
    <definedName name="MLNK820c2a12b47f4a3c985b400c17ec56b5" hidden="1">#REF!</definedName>
    <definedName name="MLNK827bbde68c754473b757a8c8abb0abbb" hidden="1">#REF!</definedName>
    <definedName name="MLNK8396db9410954821841a1bdd1cee3738" hidden="1">#REF!</definedName>
    <definedName name="MLNK84049fb093174bb1b26120e50bd191e8" hidden="1">#REF!</definedName>
    <definedName name="MLNK847e7ca4a4a242e1bb6cf1855fadc504" hidden="1">#REF!</definedName>
    <definedName name="MLNK866cca8ff8ec48cc93e8c250448cdf2a" hidden="1">#REF!</definedName>
    <definedName name="MLNK869e0e4728fa40b78dfa0e2b980196da" hidden="1">#REF!</definedName>
    <definedName name="MLNK86f97346d0a840ad8c439bc1929be8cf" hidden="1">#REF!</definedName>
    <definedName name="MLNK87588a7692c844439f842dd6417e3483" hidden="1">#REF!</definedName>
    <definedName name="MLNK88492eb2e92d43ae8fb3d16da3c4120a" hidden="1">#REF!</definedName>
    <definedName name="MLNK889fe013cd6d444e8eea8a3b3a056bd0" hidden="1">#REF!</definedName>
    <definedName name="MLNK88cc4edfffba4398b4ed2ebeb85d2376" hidden="1">#REF!</definedName>
    <definedName name="MLNK88d90c390dca4e7e82cae88ea2652b89" hidden="1">#REF!</definedName>
    <definedName name="MLNK89abd7b3eeca4827adb9fbfbd9f9af0e" hidden="1">#REF!</definedName>
    <definedName name="MLNK8af6e60d05ef41d79a30dc72856cdbee" hidden="1">#REF!</definedName>
    <definedName name="MLNK8b4b7de34bef406487decb310af2eeb4" hidden="1">#REF!</definedName>
    <definedName name="MLNK8bb79c82040d4484b3816f6f7b72d5d4" hidden="1">#REF!</definedName>
    <definedName name="MLNK8bb8e5a13b0e4054a5aa434d7650ebff" hidden="1">#REF!</definedName>
    <definedName name="MLNK8c9868abe09d492d97763b5181936f82" hidden="1">#REF!</definedName>
    <definedName name="MLNK8cca239a83654e938e539ccbc3626f0d" hidden="1">#REF!</definedName>
    <definedName name="MLNK8d1fec7a101845718ec1b31336d59a8b" hidden="1">#REF!</definedName>
    <definedName name="MLNK8ddf68f182e942319a0a75c5bdfb92a4" hidden="1">#REF!</definedName>
    <definedName name="MLNK8edb8209051f4f798a92546d1b2214e6" hidden="1">#REF!</definedName>
    <definedName name="MLNK8f0fd326f97b402ea1f2b6fb91b79004" hidden="1">#REF!</definedName>
    <definedName name="MLNK91042598dd4d48f9a3a5961b626a97be" hidden="1">#REF!</definedName>
    <definedName name="MLNK91a2c28d4b654ce7807c0ff0e49bc91a" hidden="1">#REF!</definedName>
    <definedName name="MLNK92138ec22c3e458ea27db72e9db740b0" hidden="1">#REF!</definedName>
    <definedName name="MLNK923cc8a94e3c4192b594ed402ccea5c1" hidden="1">#REF!</definedName>
    <definedName name="MLNK92debea704f94bf79b7e748022199504" hidden="1">#REF!</definedName>
    <definedName name="MLNK9369c50d1537418ba144f121a3aa92f4" hidden="1">#REF!</definedName>
    <definedName name="MLNK93b927d86f0143cc99b233ac64d83956" hidden="1">#REF!</definedName>
    <definedName name="MLNK93ee80bdbdd4474888dd3b666916415c" localSheetId="10" hidden="1">#REF!</definedName>
    <definedName name="MLNK93ee80bdbdd4474888dd3b666916415c" localSheetId="8" hidden="1">#REF!</definedName>
    <definedName name="MLNK93ee80bdbdd4474888dd3b666916415c" localSheetId="37" hidden="1">#REF!</definedName>
    <definedName name="MLNK93ee80bdbdd4474888dd3b666916415c" localSheetId="75" hidden="1">#REF!</definedName>
    <definedName name="MLNK93ee80bdbdd4474888dd3b666916415c" localSheetId="65" hidden="1">#REF!</definedName>
    <definedName name="MLNK93ee80bdbdd4474888dd3b666916415c" hidden="1">#REF!</definedName>
    <definedName name="MLNK9470b29f89cb476ab5ab6454188ec242" hidden="1">#REF!</definedName>
    <definedName name="MLNK94a72e226b1841c69836e117f7d264e0" hidden="1">#REF!</definedName>
    <definedName name="MLNK955edca74ed1456dbc18c5e93f19dc77" hidden="1">#REF!</definedName>
    <definedName name="MLNK9570a7e591704b08a74b41a5d9bae695" hidden="1">#REF!</definedName>
    <definedName name="MLNK97403d2bf29d45c2afdedec484e8b0e1" hidden="1">#REF!</definedName>
    <definedName name="MLNK9872e82cd1a0411eb1db7f06eca5cc98" hidden="1">#REF!</definedName>
    <definedName name="MLNK9960ce205b024d159716c3ce4936c881" hidden="1">#REF!</definedName>
    <definedName name="MLNK999d13581f694d4ba486490b078876f2" hidden="1">#REF!</definedName>
    <definedName name="MLNK9b10c5b6335e4b30a3912ec2b1c576da" hidden="1">#REF!</definedName>
    <definedName name="MLNK9b4c0e419e214f9f9bb282c52f22aa2f" hidden="1">#REF!</definedName>
    <definedName name="MLNK9c080c3c47054527b7506bc65c7449a8" hidden="1">#REF!</definedName>
    <definedName name="MLNK9c536454db82435bbd4c2fe2390cc7e6" hidden="1">#REF!</definedName>
    <definedName name="MLNK9cb237b3ae60460782dd06ffcc94d176" hidden="1">#REF!</definedName>
    <definedName name="MLNK9d5e29c21d444f83a3d5169a1a7c3f6f" hidden="1">#REF!</definedName>
    <definedName name="MLNK9d74016a436444f5ad4a81861f1a6148" hidden="1">#REF!</definedName>
    <definedName name="MLNK9dcf8d6ad50c4be6bb8591c8b7b857c8" hidden="1">#REF!</definedName>
    <definedName name="MLNK9e1a9dda33e14902a6dd0673b256826b" hidden="1">#REF!</definedName>
    <definedName name="MLNK9e8b43e038ae4e2ba9733b86fd90fe71" hidden="1">#REF!</definedName>
    <definedName name="MLNK9ef4dac6e4c84b458fc5f55c61125436" hidden="1">#REF!</definedName>
    <definedName name="MLNK9fd9933cf36142abbf30b1efe021931a" hidden="1">#REF!</definedName>
    <definedName name="MLNKa06fcdbf09ad4b959abcd6096bf0a309" hidden="1">#REF!</definedName>
    <definedName name="MLNKa0b680364bd64b6bb7599d2495f4e278" hidden="1">#REF!</definedName>
    <definedName name="MLNKa0ecde0bfb884f3a8551e84a6a8f60b9" hidden="1">#REF!</definedName>
    <definedName name="MLNKa37684ad5e5c439fba3caf3e931ef589" hidden="1">#REF!</definedName>
    <definedName name="MLNKa39050e76e34480aba1652cfb53b94e0" hidden="1">#REF!</definedName>
    <definedName name="MLNKa3a7625c9eb5408485d4ecbd181f23fc" hidden="1">#REF!</definedName>
    <definedName name="MLNKa4241d13e4bc4b39bad2e35c0e9d7ab6" hidden="1">#REF!</definedName>
    <definedName name="MLNKa45f0b5d58ae4ea698d724401b69a749" hidden="1">#REF!</definedName>
    <definedName name="MLNKa57dbd7b02de435f870166c7bda74f98" hidden="1">#REF!</definedName>
    <definedName name="MLNKa638583f96504e62abdc8491d2248f1b" hidden="1">#REF!</definedName>
    <definedName name="MLNKa641d40d22c24cfca1394053f04d5537" hidden="1">#REF!</definedName>
    <definedName name="MLNKa6a2b4c999754b6fa587294734a84eed" hidden="1">#REF!</definedName>
    <definedName name="MLNKa6ae728097774d5ba9301ffca4f74b11" hidden="1">#REF!</definedName>
    <definedName name="MLNKa6c0e0237cac402cabd6204e6e59d7a5" hidden="1">#REF!</definedName>
    <definedName name="MLNKa7b67ae77b284e35ae2b5f5bb9575b07" hidden="1">#REF!</definedName>
    <definedName name="MLNKa7e24b1e0aa14069b0ba2ebfa0a6bd41" hidden="1">#REF!</definedName>
    <definedName name="MLNKa7f7d52d146745979d9706bffbe6198f" hidden="1">#REF!</definedName>
    <definedName name="MLNKa8003a7005074dd4b91fd919082934b4" hidden="1">#REF!</definedName>
    <definedName name="MLNKa891951608d940f0b5453cea58d1ca19" hidden="1">#REF!</definedName>
    <definedName name="MLNKa9096654227746cba3b1e72d845b84ec" hidden="1">#REF!</definedName>
    <definedName name="MLNKa92d7f7227464481a58fce804523c660" localSheetId="10" hidden="1">#REF!</definedName>
    <definedName name="MLNKa92d7f7227464481a58fce804523c660" localSheetId="8" hidden="1">#REF!</definedName>
    <definedName name="MLNKa92d7f7227464481a58fce804523c660" localSheetId="37" hidden="1">#REF!</definedName>
    <definedName name="MLNKa92d7f7227464481a58fce804523c660" localSheetId="75" hidden="1">#REF!</definedName>
    <definedName name="MLNKa92d7f7227464481a58fce804523c660" localSheetId="65" hidden="1">#REF!</definedName>
    <definedName name="MLNKa92d7f7227464481a58fce804523c660" hidden="1">#REF!</definedName>
    <definedName name="MLNKa96dfec67e7d42c185eddf571b4a0871" hidden="1">#REF!</definedName>
    <definedName name="MLNKa9b72ee297dc4b6b82fd726e8ceed72e" hidden="1">#REF!</definedName>
    <definedName name="MLNKa9c3041995b9474f9a59fd740ee8ef41" hidden="1">#REF!</definedName>
    <definedName name="MLNKaaa54138778c4ed398d9c92f594c3692" hidden="1">#REF!</definedName>
    <definedName name="MLNKabdb601947de4e1f8d5ee0de13110117" hidden="1">#REF!</definedName>
    <definedName name="MLNKac79cba661f14184a139a93e111d3a40" hidden="1">#REF!</definedName>
    <definedName name="MLNKacaeb68fa0174607b702b054095283f1" hidden="1">#REF!</definedName>
    <definedName name="MLNKad0f0122808f4e6ca564f699b5d4df70" hidden="1">#REF!</definedName>
    <definedName name="MLNKad6f939e009f43f29aea395bcb7ff7da" hidden="1">#REF!</definedName>
    <definedName name="MLNKadae2988d338434fa6c1f93428bbcdba" hidden="1">#REF!</definedName>
    <definedName name="MLNKade14c001b4d484e97e8cb97712c662e" hidden="1">#REF!</definedName>
    <definedName name="MLNKaee04a1f5f4946128bac3cf1750d357e" hidden="1">#REF!</definedName>
    <definedName name="MLNKaee5ba47a48940498129a8b0c327aad7" localSheetId="10" hidden="1">#REF!</definedName>
    <definedName name="MLNKaee5ba47a48940498129a8b0c327aad7" localSheetId="8" hidden="1">#REF!</definedName>
    <definedName name="MLNKaee5ba47a48940498129a8b0c327aad7" localSheetId="37" hidden="1">#REF!</definedName>
    <definedName name="MLNKaee5ba47a48940498129a8b0c327aad7" localSheetId="75" hidden="1">#REF!</definedName>
    <definedName name="MLNKaee5ba47a48940498129a8b0c327aad7" localSheetId="65" hidden="1">#REF!</definedName>
    <definedName name="MLNKaee5ba47a48940498129a8b0c327aad7" hidden="1">#REF!</definedName>
    <definedName name="MLNKaeef41523bb6461a8ce9e28075b377e4" hidden="1">#REF!</definedName>
    <definedName name="MLNKaf2e362f14b04b17806312aeb7d9faf9" hidden="1">#REF!</definedName>
    <definedName name="MLNKaf77800d7a8e4682894b3769276f31bb" hidden="1">#REF!</definedName>
    <definedName name="MLNKaf94d03758284d08a9bb51221502e5b0" hidden="1">#REF!</definedName>
    <definedName name="MLNKb010cd6e928d416d9e7983be69f79c50" hidden="1">#REF!</definedName>
    <definedName name="MLNKb04447d1db1847e587a3d9aa4f78fe6d" hidden="1">#REF!</definedName>
    <definedName name="MLNKb0473d7dd78c4a649f8526b1e37979d5" hidden="1">#REF!</definedName>
    <definedName name="MLNKb136cf7245024dee886809a08f751993" hidden="1">#REF!</definedName>
    <definedName name="MLNKb1c120e3e05f442caee363901edde9fc" hidden="1">#REF!</definedName>
    <definedName name="MLNKb282340194064624b6cf45ee3a5d8cf3" hidden="1">#REF!</definedName>
    <definedName name="MLNKb2e29bf6bb754010b2035460a63decd5" hidden="1">#REF!</definedName>
    <definedName name="MLNKb349298827dd451ca01eae8d451cbafa" hidden="1">#REF!</definedName>
    <definedName name="MLNKb42d2ffc2880423dbdccee020c46e293" localSheetId="10" hidden="1">#REF!</definedName>
    <definedName name="MLNKb42d2ffc2880423dbdccee020c46e293" localSheetId="8" hidden="1">#REF!</definedName>
    <definedName name="MLNKb42d2ffc2880423dbdccee020c46e293" localSheetId="37" hidden="1">#REF!</definedName>
    <definedName name="MLNKb42d2ffc2880423dbdccee020c46e293" localSheetId="75" hidden="1">#REF!</definedName>
    <definedName name="MLNKb42d2ffc2880423dbdccee020c46e293" localSheetId="65" hidden="1">#REF!</definedName>
    <definedName name="MLNKb42d2ffc2880423dbdccee020c46e293" hidden="1">#REF!</definedName>
    <definedName name="MLNKb4f70c82a31a47ad83b8b7f15bf345a5" hidden="1">#REF!</definedName>
    <definedName name="MLNKb5508efe7987472ab4f953738785d4b4" localSheetId="10" hidden="1">#REF!</definedName>
    <definedName name="MLNKb5508efe7987472ab4f953738785d4b4" localSheetId="8" hidden="1">#REF!</definedName>
    <definedName name="MLNKb5508efe7987472ab4f953738785d4b4" localSheetId="37" hidden="1">#REF!</definedName>
    <definedName name="MLNKb5508efe7987472ab4f953738785d4b4" localSheetId="75" hidden="1">#REF!</definedName>
    <definedName name="MLNKb5508efe7987472ab4f953738785d4b4" localSheetId="65" hidden="1">#REF!</definedName>
    <definedName name="MLNKb5508efe7987472ab4f953738785d4b4" hidden="1">#REF!</definedName>
    <definedName name="MLNKb816d754e3344cc4be89f8ea0f8c9c94" hidden="1">#REF!</definedName>
    <definedName name="MLNKb8583062930e424f8748226949f89f6c" hidden="1">#REF!</definedName>
    <definedName name="MLNKb93d34857bb04fc1a64b9078ec23b406" hidden="1">#REF!</definedName>
    <definedName name="MLNKb9755911bd834082a7d986a6b07d2f82" hidden="1">#REF!</definedName>
    <definedName name="MLNKb979ac6f0cab4975bab3cda822c3b1e3" hidden="1">#REF!</definedName>
    <definedName name="MLNKb994f9a4d891480782542be08cb5cc8d" localSheetId="10" hidden="1">#REF!</definedName>
    <definedName name="MLNKb994f9a4d891480782542be08cb5cc8d" localSheetId="8" hidden="1">#REF!</definedName>
    <definedName name="MLNKb994f9a4d891480782542be08cb5cc8d" localSheetId="37" hidden="1">#REF!</definedName>
    <definedName name="MLNKb994f9a4d891480782542be08cb5cc8d" localSheetId="75" hidden="1">#REF!</definedName>
    <definedName name="MLNKb994f9a4d891480782542be08cb5cc8d" localSheetId="65" hidden="1">#REF!</definedName>
    <definedName name="MLNKb994f9a4d891480782542be08cb5cc8d" hidden="1">#REF!</definedName>
    <definedName name="MLNKb99b6f56a9e34f35abe68b74e546b1f1" hidden="1">#REF!</definedName>
    <definedName name="MLNKb9d53635a48a403cbdc3032cb2bb5329" hidden="1">#REF!</definedName>
    <definedName name="MLNKbb604d3957e44542bb81978f13919299" localSheetId="10" hidden="1">#REF!</definedName>
    <definedName name="MLNKbb604d3957e44542bb81978f13919299" localSheetId="8" hidden="1">#REF!</definedName>
    <definedName name="MLNKbb604d3957e44542bb81978f13919299" localSheetId="37" hidden="1">#REF!</definedName>
    <definedName name="MLNKbb604d3957e44542bb81978f13919299" localSheetId="75" hidden="1">#REF!</definedName>
    <definedName name="MLNKbb604d3957e44542bb81978f13919299" localSheetId="65" hidden="1">#REF!</definedName>
    <definedName name="MLNKbb604d3957e44542bb81978f13919299" hidden="1">#REF!</definedName>
    <definedName name="MLNKbcc3d5689b41491a87ad560a88db4968" localSheetId="10" hidden="1">#REF!</definedName>
    <definedName name="MLNKbcc3d5689b41491a87ad560a88db4968" localSheetId="8" hidden="1">#REF!</definedName>
    <definedName name="MLNKbcc3d5689b41491a87ad560a88db4968" localSheetId="37" hidden="1">#REF!</definedName>
    <definedName name="MLNKbcc3d5689b41491a87ad560a88db4968" localSheetId="65" hidden="1">#REF!</definedName>
    <definedName name="MLNKbcc3d5689b41491a87ad560a88db4968" hidden="1">#REF!</definedName>
    <definedName name="MLNKbdb85fa7051540999df91804d0a0b119" localSheetId="10" hidden="1">#REF!</definedName>
    <definedName name="MLNKbdb85fa7051540999df91804d0a0b119" localSheetId="8" hidden="1">#REF!</definedName>
    <definedName name="MLNKbdb85fa7051540999df91804d0a0b119" localSheetId="37" hidden="1">#REF!</definedName>
    <definedName name="MLNKbdb85fa7051540999df91804d0a0b119" localSheetId="65" hidden="1">#REF!</definedName>
    <definedName name="MLNKbdb85fa7051540999df91804d0a0b119" hidden="1">#REF!</definedName>
    <definedName name="MLNKbde3d65e80254dfb87342de54a856d45" hidden="1">#REF!</definedName>
    <definedName name="MLNKbea97a0855cb40a9bbf379974dfc80ef" hidden="1">#REF!</definedName>
    <definedName name="MLNKbeed6724f84944a3bc30e3d939a19213" hidden="1">#REF!</definedName>
    <definedName name="MLNKbeede1d2ef8843e498c74f8e4c0a3652" hidden="1">#REF!</definedName>
    <definedName name="MLNKbf09c822539741f2ad5743da6ba8f515" hidden="1">#REF!</definedName>
    <definedName name="MLNKbfb2535ee8da4dfaadd79b8d0747322e" hidden="1">#REF!</definedName>
    <definedName name="MLNKc090f0f8359f426190a3ea42e5d45556" hidden="1">#REF!</definedName>
    <definedName name="MLNKc0911c223c7c493098e644d1619b59b8" hidden="1">#REF!</definedName>
    <definedName name="MLNKc0e85a2f8d55446c9fc535e85305a73a" hidden="1">#REF!</definedName>
    <definedName name="MLNKc17c01caf48f46be9271967eeaf0d1a7" hidden="1">#REF!</definedName>
    <definedName name="MLNKc1b2d591990d430da2fa806f29cc875d" hidden="1">#REF!</definedName>
    <definedName name="MLNKc22cecafb47244e890ad7ce55a9ceaf9" hidden="1">#REF!</definedName>
    <definedName name="MLNKc23bb7e037854afdbfb318463627a51f" hidden="1">#REF!</definedName>
    <definedName name="MLNKc28702ddf99a41bcb1a9fde89d97ec2a" hidden="1">#REF!</definedName>
    <definedName name="MLNKc3a76ad0a2ea45779efb1a55c38f04a5" hidden="1">#REF!</definedName>
    <definedName name="MLNKc45014c3c67243099c9226300cc0468b" localSheetId="10" hidden="1">#REF!</definedName>
    <definedName name="MLNKc45014c3c67243099c9226300cc0468b" localSheetId="8" hidden="1">#REF!</definedName>
    <definedName name="MLNKc45014c3c67243099c9226300cc0468b" localSheetId="37" hidden="1">#REF!</definedName>
    <definedName name="MLNKc45014c3c67243099c9226300cc0468b" localSheetId="75" hidden="1">#REF!</definedName>
    <definedName name="MLNKc45014c3c67243099c9226300cc0468b" localSheetId="65" hidden="1">#REF!</definedName>
    <definedName name="MLNKc45014c3c67243099c9226300cc0468b" hidden="1">#REF!</definedName>
    <definedName name="MLNKc4b06ba3b51a4ec4b8c276ecb244e1e0" hidden="1">#REF!</definedName>
    <definedName name="MLNKc52dfa536e6247af8b2d4721387e97e3" hidden="1">#REF!</definedName>
    <definedName name="MLNKc5c18166bf51464b911a664a66f2ea64" hidden="1">#REF!</definedName>
    <definedName name="MLNKc774833e88f14f5585a6d1ea20519e72" hidden="1">#REF!</definedName>
    <definedName name="MLNKc842a6653ba84f498592833351bba869" hidden="1">#REF!</definedName>
    <definedName name="MLNKc950751ff212401bb3399138aeb08071" hidden="1">#REF!</definedName>
    <definedName name="MLNKc974773dd9474facb0097b8ba86c9c88" hidden="1">#REF!</definedName>
    <definedName name="MLNKc9e3c53ddd1846e4acc39ec87f03525e" hidden="1">#REF!</definedName>
    <definedName name="MLNKcb0c5612c95149aab0a0b4545a83d83a" hidden="1">#REF!</definedName>
    <definedName name="MLNKcb52cb82696449c4acaccd75559d9533" hidden="1">#REF!</definedName>
    <definedName name="MLNKcca92169cf9044b283c9d1ae5a573598" hidden="1">#REF!</definedName>
    <definedName name="MLNKcd2f59e8aa124177bbf584ac68d410cd" hidden="1">#REF!</definedName>
    <definedName name="MLNKcd4c59a5e6914ade8985355fca18cdd8" hidden="1">#REF!</definedName>
    <definedName name="MLNKcdfd123717954f7282c5a06900bb6d10" hidden="1">#REF!</definedName>
    <definedName name="MLNKce1a9386d4ff469e851d118a2b4216b1" hidden="1">#REF!</definedName>
    <definedName name="MLNKcf2d5c047a684f0a8f8bfc0b5a1d2295" hidden="1">#REF!</definedName>
    <definedName name="MLNKd04f1a930c2a4d0f8e650f7c49428bed" hidden="1">#REF!</definedName>
    <definedName name="MLNKd0dd92e1cef94a4dac9bd06422abbfb0" hidden="1">#REF!</definedName>
    <definedName name="MLNKd30362751fd14500956ac77cd5b6c928" hidden="1">#REF!</definedName>
    <definedName name="MLNKd33b38b9404a489393116a4e3f21e4ba" hidden="1">#REF!</definedName>
    <definedName name="MLNKd3523672e9e64b65a5b09c20b1f0f2c5" hidden="1">#REF!</definedName>
    <definedName name="MLNKd3b085692077475c881219fffa7851a4" hidden="1">#REF!</definedName>
    <definedName name="MLNKd457f50f3db7487aaaf4cbbe1b7b85f0" hidden="1">#REF!</definedName>
    <definedName name="MLNKd500c6f93fc04a9ab91d89f1d26a5bda" hidden="1">#REF!</definedName>
    <definedName name="MLNKd572d1969c5e45a5a651c723b07711e1" hidden="1">#REF!</definedName>
    <definedName name="MLNKd5a9a247d8d94a6abe2159ecd153eb1e" hidden="1">#REF!</definedName>
    <definedName name="MLNKd60f92bab68c4087bb693e7adfc318ae" hidden="1">#REF!</definedName>
    <definedName name="MLNKd6345eea8edd438a86063a19e38525c2" hidden="1">#REF!</definedName>
    <definedName name="MLNKd6757d4fd35f4b5f9c157e11b9be9592" hidden="1">#REF!</definedName>
    <definedName name="MLNKd7638984428141099e5ebdc5433ad1cb" hidden="1">#REF!</definedName>
    <definedName name="MLNKd7dd50d502ff4917b8cef972de06f4b7" hidden="1">#REF!</definedName>
    <definedName name="MLNKd9209ddc786e4182a7f4d866f6bfae70" hidden="1">#REF!</definedName>
    <definedName name="MLNKd94fb142363a4045967b7d07a80abf6e" hidden="1">#REF!</definedName>
    <definedName name="MLNKd96dc4db62c14ffda9b013a931c13d82" hidden="1">#REF!</definedName>
    <definedName name="MLNKda2d915548204ed49edbbfc1645eb5ba" localSheetId="10" hidden="1">#REF!</definedName>
    <definedName name="MLNKda2d915548204ed49edbbfc1645eb5ba" localSheetId="8" hidden="1">#REF!</definedName>
    <definedName name="MLNKda2d915548204ed49edbbfc1645eb5ba" localSheetId="37" hidden="1">#REF!</definedName>
    <definedName name="MLNKda2d915548204ed49edbbfc1645eb5ba" localSheetId="75" hidden="1">#REF!</definedName>
    <definedName name="MLNKda2d915548204ed49edbbfc1645eb5ba" localSheetId="65" hidden="1">#REF!</definedName>
    <definedName name="MLNKda2d915548204ed49edbbfc1645eb5ba" hidden="1">#REF!</definedName>
    <definedName name="MLNKda58f8a2145646239179163c0299793b" hidden="1">#REF!</definedName>
    <definedName name="MLNKda62fae5d3634009bb36d3b099154e68" hidden="1">#REF!</definedName>
    <definedName name="MLNKda715c062c524ca593a6e79787c07cda" hidden="1">#REF!</definedName>
    <definedName name="MLNKda9714ded189452b8d36646278847408" hidden="1">#REF!</definedName>
    <definedName name="MLNKda9ae8c008cd46b0a30a432bd98e2a92" hidden="1">#REF!</definedName>
    <definedName name="MLNKdab0c3fc4fa44f029e9455459c5863cc" hidden="1">#REF!</definedName>
    <definedName name="MLNKdac0a3da1f474bb49bbfe2e104e1a456" hidden="1">#REF!</definedName>
    <definedName name="MLNKdb0b61caa08b42499f7a520d9d9512d5" hidden="1">#REF!</definedName>
    <definedName name="MLNKdbffc65f47524dd8a6970ab5516c54b8" hidden="1">#REF!</definedName>
    <definedName name="MLNKdc3bd7f720274d3985a7ad930d0aec81" hidden="1">#REF!</definedName>
    <definedName name="MLNKdc540b1653014c88a67ce3e63b233581" hidden="1">#REF!</definedName>
    <definedName name="MLNKdd784700188c43aaac0e4bd2d6d21af3" localSheetId="10" hidden="1">#REF!</definedName>
    <definedName name="MLNKdd784700188c43aaac0e4bd2d6d21af3" localSheetId="8" hidden="1">#REF!</definedName>
    <definedName name="MLNKdd784700188c43aaac0e4bd2d6d21af3" localSheetId="37" hidden="1">#REF!</definedName>
    <definedName name="MLNKdd784700188c43aaac0e4bd2d6d21af3" localSheetId="75" hidden="1">#REF!</definedName>
    <definedName name="MLNKdd784700188c43aaac0e4bd2d6d21af3" localSheetId="65" hidden="1">#REF!</definedName>
    <definedName name="MLNKdd784700188c43aaac0e4bd2d6d21af3" hidden="1">#REF!</definedName>
    <definedName name="MLNKde028b07903e49a1b07f84b69b0242c3" hidden="1">#REF!</definedName>
    <definedName name="MLNKdf04489994304a3f97d281f9fa73f034" hidden="1">#REF!</definedName>
    <definedName name="MLNKdf5caf4e0e6a4d17831719e6acee4572" hidden="1">#REF!</definedName>
    <definedName name="MLNKdf7b39d34667409c95462c25978584ad" hidden="1">#REF!</definedName>
    <definedName name="MLNKe0a3e82ecea64e02b4d71c2ec52b4a5f" hidden="1">#REF!</definedName>
    <definedName name="MLNKe101f801665548a08e039d3183cc252f" hidden="1">#REF!</definedName>
    <definedName name="MLNKe15d8bfb7c78473ba833a0b8fb531e7a" hidden="1">#REF!</definedName>
    <definedName name="MLNKe20944887eb84e1ba227fdb7c8b68ec5" hidden="1">#REF!</definedName>
    <definedName name="MLNKe367e4256edd4c78ac89b8b89adf6305" hidden="1">#REF!</definedName>
    <definedName name="MLNKe3801a78f88f4bb0af36985252ace683" hidden="1">#REF!</definedName>
    <definedName name="MLNKe38279966f754476be6f361af519f88f" hidden="1">#REF!</definedName>
    <definedName name="MLNKe38b0304c6e14fcdbd573ee8ff096b71" hidden="1">#REF!</definedName>
    <definedName name="MLNKe3de2b25ed2a4fcdb532085f4626be8b" hidden="1">#REF!</definedName>
    <definedName name="MLNKe4957daaf9eb4a1ea6e0ae5b9284ba9a" hidden="1">#REF!</definedName>
    <definedName name="MLNKe49bbe102cbe481c83b982dc5eb99c75" hidden="1">#REF!</definedName>
    <definedName name="MLNKe4c078a0196a49de8d50e8ae6bdcc558" hidden="1">#REF!</definedName>
    <definedName name="MLNKe4df9b0ee93f49bfa3cebb2385be6721" hidden="1">#REF!</definedName>
    <definedName name="MLNKe5b4a1fc432d4c12b49fd9d7aff55457" hidden="1">#REF!</definedName>
    <definedName name="MLNKe681e8ce59ea4ec4a572ebe2141df7d0" hidden="1">#REF!</definedName>
    <definedName name="MLNKe68bc2eae14144b7a1fc43fe2ebfaa65" hidden="1">#REF!</definedName>
    <definedName name="MLNKe6e54db7691a4821a439522821796f8e" hidden="1">#REF!</definedName>
    <definedName name="MLNKe768a3fd5af143beaff39adac7b4fb2e" hidden="1">#REF!</definedName>
    <definedName name="MLNKe7823e83a54944c8a76e160e6a946ff6" hidden="1">#REF!</definedName>
    <definedName name="MLNKe8312b1ac7544f699a6e51353d45ca4d" hidden="1">#REF!</definedName>
    <definedName name="MLNKe96f548d2c5442b8b620df06fb00ea72" hidden="1">#REF!</definedName>
    <definedName name="MLNKea0bd8df58fa47aa8a8cffb2990cbed8" hidden="1">#REF!</definedName>
    <definedName name="MLNKeb1d5e4a4a414d659e3b9fd0d27cd1f0" hidden="1">#REF!</definedName>
    <definedName name="MLNKeb2c235dfd4d445d813aaee85b1c01ea" hidden="1">#REF!</definedName>
    <definedName name="MLNKebd76e8c5e1047d99182ae05fa70403c" hidden="1">#REF!</definedName>
    <definedName name="MLNKec5ae76f6d63450a92cbb4402d7e67aa" hidden="1">#REF!</definedName>
    <definedName name="MLNKec780d6aadd844acab6521c80f8d46dc" hidden="1">#REF!</definedName>
    <definedName name="MLNKed4c712987ed4a26914aacabb3cb5a07" hidden="1">#REF!</definedName>
    <definedName name="MLNKeddc187a60694639a530d9f81932b352" hidden="1">#REF!</definedName>
    <definedName name="MLNKee18904b977444c4a81c4150ab7003f3" hidden="1">#REF!</definedName>
    <definedName name="MLNKee67bd5619e1462d88447b08abd8c0ef" hidden="1">#REF!</definedName>
    <definedName name="MLNKeeb339a109374f9d80115674cfecbde9" hidden="1">#REF!</definedName>
    <definedName name="MLNKef55fa396e3d42d4b6a5646d3529262b" hidden="1">#REF!</definedName>
    <definedName name="MLNKef8a5f8c83064d99b57e8eb88e47942c" hidden="1">#REF!</definedName>
    <definedName name="MLNKf05c855193ca4186968bd3b28a68a3f9" hidden="1">#REF!</definedName>
    <definedName name="MLNKf09745d38e954715b3719bd40068ebcd" hidden="1">#REF!</definedName>
    <definedName name="MLNKf25d690c0c9040969651078a0fd34468" localSheetId="10" hidden="1">#REF!</definedName>
    <definedName name="MLNKf25d690c0c9040969651078a0fd34468" localSheetId="8" hidden="1">#REF!</definedName>
    <definedName name="MLNKf25d690c0c9040969651078a0fd34468" localSheetId="37" hidden="1">#REF!</definedName>
    <definedName name="MLNKf25d690c0c9040969651078a0fd34468" localSheetId="75" hidden="1">#REF!</definedName>
    <definedName name="MLNKf25d690c0c9040969651078a0fd34468" localSheetId="65" hidden="1">#REF!</definedName>
    <definedName name="MLNKf25d690c0c9040969651078a0fd34468" hidden="1">#REF!</definedName>
    <definedName name="MLNKf3d83f5b96e941b0932a1f43f6d6991a" localSheetId="10" hidden="1">#REF!</definedName>
    <definedName name="MLNKf3d83f5b96e941b0932a1f43f6d6991a" localSheetId="8" hidden="1">#REF!</definedName>
    <definedName name="MLNKf3d83f5b96e941b0932a1f43f6d6991a" localSheetId="37" hidden="1">#REF!</definedName>
    <definedName name="MLNKf3d83f5b96e941b0932a1f43f6d6991a" localSheetId="65" hidden="1">#REF!</definedName>
    <definedName name="MLNKf3d83f5b96e941b0932a1f43f6d6991a" hidden="1">#REF!</definedName>
    <definedName name="MLNKf5156a0cee3344af9231fa8b11e9484f" localSheetId="10" hidden="1">#REF!</definedName>
    <definedName name="MLNKf5156a0cee3344af9231fa8b11e9484f" localSheetId="8" hidden="1">#REF!</definedName>
    <definedName name="MLNKf5156a0cee3344af9231fa8b11e9484f" localSheetId="37" hidden="1">#REF!</definedName>
    <definedName name="MLNKf5156a0cee3344af9231fa8b11e9484f" localSheetId="65" hidden="1">#REF!</definedName>
    <definedName name="MLNKf5156a0cee3344af9231fa8b11e9484f" hidden="1">#REF!</definedName>
    <definedName name="MLNKf5ac4fb13bcd468c9dba17c408fb6571" hidden="1">#REF!</definedName>
    <definedName name="MLNKf5c641a89179411482ca8ffb35fdbcd0" hidden="1">#REF!</definedName>
    <definedName name="MLNKf60a89fa14a944ffa81a4b2b2c5a6a65" hidden="1">#REF!</definedName>
    <definedName name="MLNKf69d90895223406595354e1a016a0b55" hidden="1">#REF!</definedName>
    <definedName name="MLNKf6ff47807254415683e2e72ea28f73a6" hidden="1">#REF!</definedName>
    <definedName name="MLNKf7b01b58e55d4d98b18ea36659e07768" hidden="1">#REF!</definedName>
    <definedName name="MLNKf7c6dc0b1f7b4cd79e8e5ea6ab59a1e8" hidden="1">#REF!</definedName>
    <definedName name="MLNKf7dc7c8e02d0429f82eea42d7c131cac" hidden="1">#REF!</definedName>
    <definedName name="MLNKfa0e88ca68f94eb68067d515b17f6739" hidden="1">#REF!</definedName>
    <definedName name="MLNKfa791a191b41434c8e46cb15e1c7aa7c" hidden="1">#REF!</definedName>
    <definedName name="MLNKfaee2e53933a492e98ec8109d03578fe" hidden="1">#REF!</definedName>
    <definedName name="MLNKfbd20e26625a4a6d95d1d5f87a5c06be" hidden="1">#REF!</definedName>
    <definedName name="MLNKfc1eb932feeb44998c31bb3c1c820e41" hidden="1">#REF!</definedName>
    <definedName name="MLNKfc3d4045ac6546bbb96fb436de2a6736" hidden="1">#REF!</definedName>
    <definedName name="MLNKfc73d232647645828ea4844e98b41c9f" hidden="1">#REF!</definedName>
    <definedName name="MLNKfc85833d86264a5abe1e9d21c923318a" hidden="1">#REF!</definedName>
    <definedName name="MLNKfce6e9edb9824a87af81b209f9c5283c" hidden="1">#REF!</definedName>
    <definedName name="MLNKfe57550892dd4400bc1fa56bb0c2bdde" hidden="1">#REF!</definedName>
    <definedName name="MLNKffcae4d64e6644c190307811b03f3c98" hidden="1">#REF!</definedName>
    <definedName name="MMMMMMM" localSheetId="75" hidden="1">#REF!</definedName>
    <definedName name="MMMMMMM" localSheetId="78" hidden="1">#REF!</definedName>
    <definedName name="MMMMMMM" hidden="1">#REF!</definedName>
    <definedName name="MSclasses" localSheetId="39">'C-11'!#REF!</definedName>
    <definedName name="MSclasses" localSheetId="1">#REF!</definedName>
    <definedName name="MSclasses">[6]DB!$H$14:$H$16</definedName>
    <definedName name="MSgroups" localSheetId="39">OFFSET('C-11'!#REF!,0,0,COUNTA('C-11'!#REF!),1)</definedName>
    <definedName name="MSgroups" localSheetId="1">OFFSET(#REF!,0,0,COUNTA(#REF!),1)</definedName>
    <definedName name="MSgroups">OFFSET([6]Backend!$C$2,0,0,COUNTA([6]Backend!$C$2:$C$10),1)</definedName>
    <definedName name="MStypes" localSheetId="39">'C-11'!#REF!</definedName>
    <definedName name="MStypes" localSheetId="1">#REF!</definedName>
    <definedName name="MStypes">[6]Backend!$E$2:$E$7</definedName>
    <definedName name="Nb_Clusters">#REF!</definedName>
    <definedName name="newdata_03" localSheetId="75" hidden="1">#REF!</definedName>
    <definedName name="newdata_03" hidden="1">#REF!</definedName>
    <definedName name="NewPCAC2" localSheetId="39">'C-11'!#REF!</definedName>
    <definedName name="NewPCAC2" localSheetId="1">#REF!</definedName>
    <definedName name="NewPCAC2">[6]DB!$I$10</definedName>
    <definedName name="NNNNNNNN" localSheetId="75" hidden="1">#REF!</definedName>
    <definedName name="NNNNNNNN" localSheetId="78" hidden="1">#REF!</definedName>
    <definedName name="NNNNNNNN" hidden="1">#REF!</definedName>
    <definedName name="NO" localSheetId="10" hidden="1">{"'Sheet1'!$A$1:$J$121"}</definedName>
    <definedName name="NO" localSheetId="8" hidden="1">{"'Sheet1'!$A$1:$J$121"}</definedName>
    <definedName name="NO" localSheetId="39" hidden="1">{"'Sheet1'!$A$1:$J$121"}</definedName>
    <definedName name="NO" localSheetId="37" hidden="1">{"'Sheet1'!$A$1:$J$121"}</definedName>
    <definedName name="NO" localSheetId="75" hidden="1">{"'Sheet1'!$A$1:$J$121"}</definedName>
    <definedName name="NO" localSheetId="65" hidden="1">{"'Sheet1'!$A$1:$J$121"}</definedName>
    <definedName name="NO" localSheetId="27" hidden="1">{"'Sheet1'!$A$1:$J$121"}</definedName>
    <definedName name="NO" localSheetId="2" hidden="1">{"'Sheet1'!$A$1:$J$121"}</definedName>
    <definedName name="NO" localSheetId="29" hidden="1">{"'Sheet1'!$A$1:$J$121"}</definedName>
    <definedName name="NO" localSheetId="78" hidden="1">{"'Sheet1'!$A$1:$J$121"}</definedName>
    <definedName name="NO" localSheetId="3" hidden="1">{"'Sheet1'!$A$1:$J$121"}</definedName>
    <definedName name="NO" localSheetId="1" hidden="1">{"'Sheet1'!$A$1:$J$121"}</definedName>
    <definedName name="NO" hidden="1">{"'Sheet1'!$A$1:$J$121"}</definedName>
    <definedName name="NotesSpellRange">#REF!,#REF!</definedName>
    <definedName name="NotesSpellRange_2">#REF!,#REF!</definedName>
    <definedName name="NotesSpellRange_3">#REF!,#REF!</definedName>
    <definedName name="NvsASD">"V2012-12-31"</definedName>
    <definedName name="NvsAutoDrillOk">"VN"</definedName>
    <definedName name="NvsElapsedTime">0.00020833333110204</definedName>
    <definedName name="NvsEndTime">41499.368587963</definedName>
    <definedName name="NvsInstLang">"VENG"</definedName>
    <definedName name="NvsInstSpec">"%,FOPERATING_UNIT,TRESP_CENT_WPSC,NWESTON"</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"V2010-10-01"</definedName>
    <definedName name="NvsPanelSetid">"VMODEL"</definedName>
    <definedName name="NvsReqBU">"V3000"</definedName>
    <definedName name="NvsReqBUOnly">"VY"</definedName>
    <definedName name="NvsTransLed">"VN"</definedName>
    <definedName name="NvsTreeASD">"V2013-01-08"</definedName>
    <definedName name="old_1" hidden="1">#REF!</definedName>
    <definedName name="oooo" localSheetId="75" hidden="1">#REF!</definedName>
    <definedName name="oooo" hidden="1">#REF!</definedName>
    <definedName name="OpportunityCost" localSheetId="39">'C-11'!#REF!</definedName>
    <definedName name="OpportunityCost" localSheetId="1">#REF!</definedName>
    <definedName name="OpportunityCost">[16]Dashboard!$C$2</definedName>
    <definedName name="Outage" localSheetId="39">'C-11'!#REF!</definedName>
    <definedName name="Outage" localSheetId="1">#REF!</definedName>
    <definedName name="Outage">[17]Sheet3!$C$5:$C$6</definedName>
    <definedName name="Pal_Workbook_GUID" hidden="1">"ZNKQLAX5J3K18YY4TKR1FKU4"</definedName>
    <definedName name="PartASpellRange">#REF!</definedName>
    <definedName name="PCAC" localSheetId="39">'C-11'!#REF!</definedName>
    <definedName name="PCAC" localSheetId="1">#REF!</definedName>
    <definedName name="PCAC">[6]PurPow!$L$24</definedName>
    <definedName name="PCAC_Toggle_List" hidden="1">#REF!</definedName>
    <definedName name="PCAC2" localSheetId="39">'C-11'!#REF!</definedName>
    <definedName name="PCAC2" localSheetId="1">#REF!</definedName>
    <definedName name="PCAC2">[6]PurPow!$W$36</definedName>
    <definedName name="PCACtypes" localSheetId="39">'C-11'!#REF!</definedName>
    <definedName name="PCACtypes" localSheetId="1">#REF!</definedName>
    <definedName name="PCACtypes">[6]Backend!$B$2:$B$4</definedName>
    <definedName name="Peerless" localSheetId="75" hidden="1">#REF!</definedName>
    <definedName name="Peerless" hidden="1">#REF!</definedName>
    <definedName name="Peerless_Oil" localSheetId="75" hidden="1">#REF!</definedName>
    <definedName name="Peerless_Oil" hidden="1">#REF!</definedName>
    <definedName name="plp" localSheetId="10" hidden="1">#REF!</definedName>
    <definedName name="plp" localSheetId="8" hidden="1">#REF!</definedName>
    <definedName name="plp" localSheetId="37" hidden="1">#REF!</definedName>
    <definedName name="plp" localSheetId="75" hidden="1">#REF!</definedName>
    <definedName name="plp" localSheetId="65" hidden="1">#REF!</definedName>
    <definedName name="plp" hidden="1">#REF!</definedName>
    <definedName name="Post93Count" localSheetId="39">'C-11'!#REF!</definedName>
    <definedName name="Post93Count" localSheetId="1">#REF!</definedName>
    <definedName name="Post93Count">'[16]Contibution Balances'!$G$14</definedName>
    <definedName name="pp" localSheetId="10" hidden="1">#REF!</definedName>
    <definedName name="pp" localSheetId="8" hidden="1">#REF!</definedName>
    <definedName name="pp" localSheetId="37" hidden="1">#REF!</definedName>
    <definedName name="pp" localSheetId="75" hidden="1">#REF!</definedName>
    <definedName name="pp" localSheetId="65" hidden="1">#REF!</definedName>
    <definedName name="pp" hidden="1">#REF!</definedName>
    <definedName name="Pre93Count" localSheetId="39">'C-11'!#REF!</definedName>
    <definedName name="Pre93Count" localSheetId="1">#REF!</definedName>
    <definedName name="Pre93Count">'[16]Contibution Balances'!$G$13</definedName>
    <definedName name="_xlnm.Print_Area" localSheetId="8">'B-1 - OPTIMAL'!$A$1:$Q$42</definedName>
    <definedName name="_xlnm.Print_Area" localSheetId="13">'B-2'!$A$1:$R$67</definedName>
    <definedName name="_xlnm.Print_Area" localSheetId="14">'B-3'!$A$1:$I$63</definedName>
    <definedName name="_xlnm.Print_Area" localSheetId="15">'B-4'!$A$1:$J$40</definedName>
    <definedName name="_xlnm.Print_Area" localSheetId="18">'B-7'!$A$1:$J$16</definedName>
    <definedName name="_xlnm.Print_Area" localSheetId="39">'C-11'!$B$1:$L$2036</definedName>
    <definedName name="_xlnm.Print_Area" localSheetId="22">'C-2 - CONSTRAINED'!$A$1:$AI$85</definedName>
    <definedName name="_xlnm.Print_Area" localSheetId="21">'C-2 - OPTIMAL'!$A$1:$AI$89</definedName>
    <definedName name="_xlnm.Print_Area" localSheetId="26">'C-2 Constrained'!$A$1:$AT$88</definedName>
    <definedName name="_xlnm.Print_Area" localSheetId="25">'C-2 Optimal'!$A$1:$AT$91</definedName>
    <definedName name="_xlnm.Print_Area" localSheetId="30">'C-3'!$A$1:$J$4</definedName>
    <definedName name="_xlnm.Print_Area" localSheetId="31">'C-4'!$A$1:$J$4</definedName>
    <definedName name="_xlnm.Print_Area" localSheetId="33">'C-6'!$A$1:$I$3</definedName>
    <definedName name="_xlnm.Print_Area" localSheetId="34">'C-7'!$A$1:$K$67,'C-7'!$L$27:$T$67</definedName>
    <definedName name="_xlnm.Print_Area" localSheetId="35">'C-8'!$A$1:$Q$121</definedName>
    <definedName name="_xlnm.Print_Area" localSheetId="36">'C-8 Lighting'!$A$1:$Q$120</definedName>
    <definedName name="_xlnm.Print_Area" localSheetId="37">'C-9'!$A$1:$O$20</definedName>
    <definedName name="_xlnm.Print_Area" localSheetId="45">'D-1-Constrained'!$A$1:$R$92</definedName>
    <definedName name="_xlnm.Print_Area" localSheetId="41">'D-1-Optimal'!$A$1:$R$93</definedName>
    <definedName name="_xlnm.Print_Area" localSheetId="46">'D-2-Constrained'!$A$1:$R$269</definedName>
    <definedName name="_xlnm.Print_Area" localSheetId="42">'D-2-Optimal'!$A$1:$R$269</definedName>
    <definedName name="_xlnm.Print_Area" localSheetId="47">'D-3-Constrained'!$A$1:$R$12</definedName>
    <definedName name="_xlnm.Print_Area" localSheetId="43">'D-3-Optimal'!$A$1:$R$13</definedName>
    <definedName name="_xlnm.Print_Area" localSheetId="48">'D-4-Constrained'!$A$1:$R$13</definedName>
    <definedName name="_xlnm.Print_Area" localSheetId="44">'D-4-Optimal'!$A$1:$R$13</definedName>
    <definedName name="_xlnm.Print_Area" localSheetId="50">'E-1'!$A$1:$K$33</definedName>
    <definedName name="_xlnm.Print_Area" localSheetId="51">'E-2 FY2026'!$A$1:$G$155</definedName>
    <definedName name="_xlnm.Print_Area" localSheetId="53">'E-2 FY2028'!$A$1:$G$155</definedName>
    <definedName name="_xlnm.Print_Area" localSheetId="54">'E-2 Lighting FY2026'!$A$1:$R$138</definedName>
    <definedName name="_xlnm.Print_Area" localSheetId="55">'E-2 Lighting FY2027'!$A$1:$R$138</definedName>
    <definedName name="_xlnm.Print_Area" localSheetId="56">'E-2 Lighting FY2028'!$A$1:$R$138</definedName>
    <definedName name="_xlnm.Print_Area" localSheetId="57">'E-2 Riders'!$A$1:$H$35</definedName>
    <definedName name="_xlnm.Print_Area" localSheetId="58">'E-3'!$A$1:$I$2</definedName>
    <definedName name="_xlnm.Print_Area" localSheetId="59">'E-4'!$A$1:$I$2</definedName>
    <definedName name="_xlnm.Print_Area" localSheetId="62">'F-1'!$A$1:$I$1</definedName>
    <definedName name="_xlnm.Print_Area" localSheetId="63">'F-2'!$A$1:$I$2</definedName>
    <definedName name="_xlnm.Print_Area" localSheetId="64">'F-3'!$A$1:$I$3</definedName>
    <definedName name="_xlnm.Print_Area" localSheetId="66">'F-4'!$A$1:$I$2</definedName>
    <definedName name="_xlnm.Print_Area" localSheetId="67">'F-5'!$A$1:$I$1</definedName>
    <definedName name="_xlnm.Print_Area" localSheetId="68">'F-6'!$A$1:$K$140,'F-6'!$A$141:$U$174,'F-6'!$A$175:$M$191,'F-6'!$B$193:$S$232,'F-6'!$C$233:$N$267</definedName>
    <definedName name="_xlnm.Print_Area" localSheetId="27">'FY26-FY28_PREPA Consolidated'!$E$4:$EN$80</definedName>
    <definedName name="_xlnm.Print_Area" localSheetId="70">'Schedule G'!$A$1:$I$4</definedName>
    <definedName name="_xlnm.Print_Area" localSheetId="71">'Schedule H'!$A$1:$L$32</definedName>
    <definedName name="_xlnm.Print_Area" localSheetId="72">'Schedule I'!$A$1:$I$2</definedName>
    <definedName name="_xlnm.Print_Area" localSheetId="73">'Schedule J'!$A$1:$I$37</definedName>
    <definedName name="_xlnm.Print_Area">#REF!</definedName>
    <definedName name="PRINT_AREA_MI">#REF!</definedName>
    <definedName name="_xlnm.Print_Titles" localSheetId="13">'B-2'!$A:$C</definedName>
    <definedName name="_xlnm.Print_Titles" localSheetId="14">'B-3'!$1:$3</definedName>
    <definedName name="_xlnm.Print_Titles" localSheetId="39">'C-11'!$1:$2</definedName>
    <definedName name="_xlnm.Print_Titles" localSheetId="22">'C-2 - CONSTRAINED'!$A:$D</definedName>
    <definedName name="_xlnm.Print_Titles" localSheetId="21">'C-2 - OPTIMAL'!$A:$D</definedName>
    <definedName name="_xlnm.Print_Titles" localSheetId="26">'C-2 Constrained'!$A:$D</definedName>
    <definedName name="_xlnm.Print_Titles" localSheetId="25">'C-2 Optimal'!$A:$D</definedName>
    <definedName name="_xlnm.Print_Titles" localSheetId="35">'C-8'!$A:$C,'C-8'!$3:$4</definedName>
    <definedName name="_xlnm.Print_Titles" localSheetId="36">'C-8 Lighting'!$A:$C,'C-8 Lighting'!$3:$5</definedName>
    <definedName name="_xlnm.Print_Titles" localSheetId="45">'D-1-Constrained'!$A:$E,'D-1-Constrained'!$1:$3</definedName>
    <definedName name="_xlnm.Print_Titles" localSheetId="41">'D-1-Optimal'!$A:$F,'D-1-Optimal'!$2:$4</definedName>
    <definedName name="_xlnm.Print_Titles" localSheetId="46">'D-2-Constrained'!$A:$E,'D-2-Constrained'!$1:$4</definedName>
    <definedName name="_xlnm.Print_Titles" localSheetId="42">'D-2-Optimal'!$A:$E,'D-2-Optimal'!$1:$4</definedName>
    <definedName name="_xlnm.Print_Titles" localSheetId="47">'D-3-Constrained'!$A:$E</definedName>
    <definedName name="_xlnm.Print_Titles" localSheetId="43">'D-3-Optimal'!$A:$E</definedName>
    <definedName name="_xlnm.Print_Titles" localSheetId="48">'D-4-Constrained'!$A:$E</definedName>
    <definedName name="_xlnm.Print_Titles" localSheetId="44">'D-4-Optimal'!$A:$E</definedName>
    <definedName name="_xlnm.Print_Titles" localSheetId="51">'E-2 FY2026'!$1:$5</definedName>
    <definedName name="_xlnm.Print_Titles" localSheetId="52">'E-2 FY2027'!$1:$5</definedName>
    <definedName name="_xlnm.Print_Titles" localSheetId="53">'E-2 FY2028'!$1:$5</definedName>
    <definedName name="_xlnm.Print_Titles" localSheetId="54">'E-2 Lighting FY2026'!$1:$5</definedName>
    <definedName name="_xlnm.Print_Titles" localSheetId="55">'E-2 Lighting FY2027'!$1:$5</definedName>
    <definedName name="_xlnm.Print_Titles" localSheetId="56">'E-2 Lighting FY2028'!$1:$5</definedName>
    <definedName name="Prior_Month_2" localSheetId="39">'C-11'!#REF!</definedName>
    <definedName name="Prior_Month_2" localSheetId="1">#REF!</definedName>
    <definedName name="Prior_Month_2">'[18]Hyperion GL'!$AM$2:$AM$5003</definedName>
    <definedName name="Project_Start">#REF!</definedName>
    <definedName name="Prolinks" localSheetId="10" hidden="1">#REF!</definedName>
    <definedName name="Prolinks" localSheetId="8" hidden="1">#REF!</definedName>
    <definedName name="Prolinks" localSheetId="37" hidden="1">#REF!</definedName>
    <definedName name="Prolinks" localSheetId="65" hidden="1">#REF!</definedName>
    <definedName name="Prolinks" localSheetId="78" hidden="1">#REF!</definedName>
    <definedName name="Prolinks" hidden="1">#REF!</definedName>
    <definedName name="prolinks_01a0c545244d4f229c69e2c67ee9ea9d" localSheetId="10" hidden="1">#REF!</definedName>
    <definedName name="prolinks_01a0c545244d4f229c69e2c67ee9ea9d" localSheetId="8" hidden="1">#REF!</definedName>
    <definedName name="prolinks_01a0c545244d4f229c69e2c67ee9ea9d" localSheetId="37" hidden="1">#REF!</definedName>
    <definedName name="prolinks_01a0c545244d4f229c69e2c67ee9ea9d" localSheetId="65" hidden="1">#REF!</definedName>
    <definedName name="prolinks_01a0c545244d4f229c69e2c67ee9ea9d" localSheetId="78" hidden="1">#REF!</definedName>
    <definedName name="prolinks_01a0c545244d4f229c69e2c67ee9ea9d" hidden="1">#REF!</definedName>
    <definedName name="prolinks_0596fd2adbfc47d9ac3dcd5e1105a21e" hidden="1">#REF!</definedName>
    <definedName name="prolinks_05b6403fe6544606bca0a8a09800be0e" hidden="1">#REF!</definedName>
    <definedName name="prolinks_07079316794a4c46b6138c660d6cab03" hidden="1">#REF!</definedName>
    <definedName name="prolinks_084ed1bfada6443a8affa63e32e51247" hidden="1">#REF!</definedName>
    <definedName name="prolinks_0bd622004eaf4b0aa10ea0454f7737d3" hidden="1">#REF!</definedName>
    <definedName name="prolinks_0c39044a3d254a02b33af0ca7ef1260d" hidden="1">#REF!</definedName>
    <definedName name="prolinks_153e906add294d409d3bee7cebfbd3aa" hidden="1">#REF!</definedName>
    <definedName name="prolinks_16c801b6d5414c808dc66f9650a35a32" hidden="1">#REF!</definedName>
    <definedName name="prolinks_1894464ecd844143a98140f3ac4ef19e" hidden="1">#REF!</definedName>
    <definedName name="prolinks_1a1180f1f3e641ed9c22276f0fe7150f" hidden="1">#REF!</definedName>
    <definedName name="prolinks_1b10443825df43a5bbcde18ad7b18113" localSheetId="10" hidden="1">#REF!</definedName>
    <definedName name="prolinks_1b10443825df43a5bbcde18ad7b18113" localSheetId="8" hidden="1">#REF!</definedName>
    <definedName name="prolinks_1b10443825df43a5bbcde18ad7b18113" localSheetId="37" hidden="1">#REF!</definedName>
    <definedName name="prolinks_1b10443825df43a5bbcde18ad7b18113" localSheetId="75" hidden="1">#REF!</definedName>
    <definedName name="prolinks_1b10443825df43a5bbcde18ad7b18113" localSheetId="65" hidden="1">#REF!</definedName>
    <definedName name="prolinks_1b10443825df43a5bbcde18ad7b18113" localSheetId="78" hidden="1">#REF!</definedName>
    <definedName name="prolinks_1b10443825df43a5bbcde18ad7b18113" hidden="1">#REF!</definedName>
    <definedName name="prolinks_1e840767a25b4ad08fa3dc104c1c19c4" localSheetId="10" hidden="1">#REF!</definedName>
    <definedName name="prolinks_1e840767a25b4ad08fa3dc104c1c19c4" localSheetId="8" hidden="1">#REF!</definedName>
    <definedName name="prolinks_1e840767a25b4ad08fa3dc104c1c19c4" localSheetId="37" hidden="1">#REF!</definedName>
    <definedName name="prolinks_1e840767a25b4ad08fa3dc104c1c19c4" localSheetId="65" hidden="1">#REF!</definedName>
    <definedName name="prolinks_1e840767a25b4ad08fa3dc104c1c19c4" localSheetId="78" hidden="1">#REF!</definedName>
    <definedName name="prolinks_1e840767a25b4ad08fa3dc104c1c19c4" hidden="1">#REF!</definedName>
    <definedName name="prolinks_2315b8bd8bcc4444a08b48b2c77053ca" localSheetId="10" hidden="1">#REF!</definedName>
    <definedName name="prolinks_2315b8bd8bcc4444a08b48b2c77053ca" localSheetId="8" hidden="1">#REF!</definedName>
    <definedName name="prolinks_2315b8bd8bcc4444a08b48b2c77053ca" localSheetId="37" hidden="1">#REF!</definedName>
    <definedName name="prolinks_2315b8bd8bcc4444a08b48b2c77053ca" localSheetId="65" hidden="1">#REF!</definedName>
    <definedName name="prolinks_2315b8bd8bcc4444a08b48b2c77053ca" localSheetId="78" hidden="1">#REF!</definedName>
    <definedName name="prolinks_2315b8bd8bcc4444a08b48b2c77053ca" hidden="1">#REF!</definedName>
    <definedName name="prolinks_251191970339467cab486c77ead21660" hidden="1">#REF!</definedName>
    <definedName name="prolinks_269280657b0c40669ef2af3dbb710223" hidden="1">#REF!</definedName>
    <definedName name="prolinks_297e01ee305549e7a2a9f942c5c52474" hidden="1">#REF!</definedName>
    <definedName name="prolinks_29e19fe27bcc451e950ff0f11bd9a54e" hidden="1">#REF!</definedName>
    <definedName name="prolinks_29ee4a881da745cca1da125d14abce08" hidden="1">#REF!</definedName>
    <definedName name="prolinks_2a30da71db3b42c88741a51b9cb339dd" hidden="1">#REF!</definedName>
    <definedName name="prolinks_2c4caad7f5944f7798d2a625ad989183" hidden="1">#REF!</definedName>
    <definedName name="prolinks_2ce22f1b67544a8b99e88db841a1f1ec" hidden="1">#REF!</definedName>
    <definedName name="prolinks_2f1d7117ff404629bc717793b05a2956" hidden="1">#REF!</definedName>
    <definedName name="prolinks_302f9d26fad04e1bab3f36cdb2618eab" hidden="1">#REF!</definedName>
    <definedName name="prolinks_311d0528edd74c82b9d45d06c98a92cb" hidden="1">#REF!</definedName>
    <definedName name="prolinks_31415462c3fd417db9b0ec9e6d00abdc" hidden="1">#REF!</definedName>
    <definedName name="prolinks_3150f41485d1418491e3fbaa2d4f74cb" hidden="1">#REF!</definedName>
    <definedName name="prolinks_3822661531d4453c834d7ea10d816693" hidden="1">#REF!</definedName>
    <definedName name="prolinks_3913934609ab4afebbafc48782261e35" hidden="1">#REF!</definedName>
    <definedName name="prolinks_396d4479c5554944954a234f1f19a13a" hidden="1">#REF!</definedName>
    <definedName name="prolinks_398ce964af0b4cf6b43d8a3c029305a7" hidden="1">#REF!</definedName>
    <definedName name="prolinks_3cc09d21fe9e4072801fa9d96b3f00cc" hidden="1">#REF!</definedName>
    <definedName name="prolinks_3d28d008ebba40b5a64fd754838e4b8e" localSheetId="10" hidden="1">#REF!</definedName>
    <definedName name="prolinks_3d28d008ebba40b5a64fd754838e4b8e" localSheetId="8" hidden="1">#REF!</definedName>
    <definedName name="prolinks_3d28d008ebba40b5a64fd754838e4b8e" localSheetId="37" hidden="1">#REF!</definedName>
    <definedName name="prolinks_3d28d008ebba40b5a64fd754838e4b8e" localSheetId="75" hidden="1">#REF!</definedName>
    <definedName name="prolinks_3d28d008ebba40b5a64fd754838e4b8e" localSheetId="65" hidden="1">#REF!</definedName>
    <definedName name="prolinks_3d28d008ebba40b5a64fd754838e4b8e" localSheetId="78" hidden="1">#REF!</definedName>
    <definedName name="prolinks_3d28d008ebba40b5a64fd754838e4b8e" hidden="1">#REF!</definedName>
    <definedName name="prolinks_3e29fd8b9e3e4e2e8770f54e37e423dd" localSheetId="10" hidden="1">#REF!</definedName>
    <definedName name="prolinks_3e29fd8b9e3e4e2e8770f54e37e423dd" localSheetId="8" hidden="1">#REF!</definedName>
    <definedName name="prolinks_3e29fd8b9e3e4e2e8770f54e37e423dd" localSheetId="37" hidden="1">#REF!</definedName>
    <definedName name="prolinks_3e29fd8b9e3e4e2e8770f54e37e423dd" localSheetId="65" hidden="1">#REF!</definedName>
    <definedName name="prolinks_3e29fd8b9e3e4e2e8770f54e37e423dd" localSheetId="78" hidden="1">#REF!</definedName>
    <definedName name="prolinks_3e29fd8b9e3e4e2e8770f54e37e423dd" hidden="1">#REF!</definedName>
    <definedName name="prolinks_3efcb4254c274b7fb425f1162b75e951" localSheetId="10" hidden="1">#REF!</definedName>
    <definedName name="prolinks_3efcb4254c274b7fb425f1162b75e951" localSheetId="8" hidden="1">#REF!</definedName>
    <definedName name="prolinks_3efcb4254c274b7fb425f1162b75e951" localSheetId="37" hidden="1">#REF!</definedName>
    <definedName name="prolinks_3efcb4254c274b7fb425f1162b75e951" localSheetId="65" hidden="1">#REF!</definedName>
    <definedName name="prolinks_3efcb4254c274b7fb425f1162b75e951" localSheetId="78" hidden="1">#REF!</definedName>
    <definedName name="prolinks_3efcb4254c274b7fb425f1162b75e951" hidden="1">#REF!</definedName>
    <definedName name="prolinks_437bb4220c8e4ebeb6b3d9271afb1aab" hidden="1">#REF!</definedName>
    <definedName name="prolinks_442ddd5473734c6f96b29c85c157aab0" hidden="1">#REF!</definedName>
    <definedName name="prolinks_45dc3460c3f54620838861f7ff097bd7" hidden="1">#REF!</definedName>
    <definedName name="prolinks_47159d94af764027946a892d6281337a" hidden="1">#REF!</definedName>
    <definedName name="prolinks_499ddfb95f9c4e21983d5b4f16720ed8" hidden="1">#REF!</definedName>
    <definedName name="prolinks_4ac541fb65aa4cffa7845318f2487856" hidden="1">#REF!</definedName>
    <definedName name="prolinks_4b76ce19b1764f58a7de0c7badc1a4cc" hidden="1">#REF!</definedName>
    <definedName name="prolinks_4c4ab9c9295844449e6ef6a37eaf4d74" hidden="1">#REF!</definedName>
    <definedName name="prolinks_4f12b91b18f74a1dbe303ad750e877fd" hidden="1">#REF!</definedName>
    <definedName name="prolinks_53c7c8aaf9f04cffbaa87348d9df0245" hidden="1">#REF!</definedName>
    <definedName name="prolinks_57fc0241e78544168405d3c45c0e84d1" hidden="1">#REF!</definedName>
    <definedName name="prolinks_5a55b5157df94ea2b702089c4379a8bd" hidden="1">#REF!</definedName>
    <definedName name="prolinks_62db8ffd9b594b17859bc36f2fe3c672" hidden="1">#REF!</definedName>
    <definedName name="prolinks_63a9bdf02b6c452a9a4c91b0f583bba1" hidden="1">#REF!</definedName>
    <definedName name="prolinks_6536fc9dc9114ad2aab73e674b297019" hidden="1">#REF!</definedName>
    <definedName name="prolinks_6aef5f4cf91d4dbea7b10dfab4dd0b69" hidden="1">#REF!</definedName>
    <definedName name="prolinks_6c9f4dd2b1254dac81169534c956b14a" hidden="1">#REF!</definedName>
    <definedName name="prolinks_6ce43db491284e169954079042de7780" hidden="1">#REF!</definedName>
    <definedName name="prolinks_6e10ebbf83b94914b959794854db3bec" hidden="1">#REF!</definedName>
    <definedName name="prolinks_6e9fd860277a4bc699b9c43d2d7be378" hidden="1">#REF!</definedName>
    <definedName name="prolinks_6fd65cba148d4852a159055e43b7364d" hidden="1">#REF!</definedName>
    <definedName name="prolinks_71091622e8f842c496418537f6f8232b" hidden="1">#REF!</definedName>
    <definedName name="prolinks_729ba1e1244044298e893fa24d15ef5b" hidden="1">#REF!</definedName>
    <definedName name="prolinks_73bdf07f47594a918de2df613892ac5f" hidden="1">#REF!</definedName>
    <definedName name="prolinks_76701a5f97af43c3a899f97fbb841c7d" localSheetId="10" hidden="1">#REF!</definedName>
    <definedName name="prolinks_76701a5f97af43c3a899f97fbb841c7d" localSheetId="8" hidden="1">#REF!</definedName>
    <definedName name="prolinks_76701a5f97af43c3a899f97fbb841c7d" localSheetId="37" hidden="1">#REF!</definedName>
    <definedName name="prolinks_76701a5f97af43c3a899f97fbb841c7d" localSheetId="75" hidden="1">#REF!</definedName>
    <definedName name="prolinks_76701a5f97af43c3a899f97fbb841c7d" localSheetId="65" hidden="1">#REF!</definedName>
    <definedName name="prolinks_76701a5f97af43c3a899f97fbb841c7d" localSheetId="78" hidden="1">#REF!</definedName>
    <definedName name="prolinks_76701a5f97af43c3a899f97fbb841c7d" hidden="1">#REF!</definedName>
    <definedName name="prolinks_783281649d824e239f361bda3d777126" localSheetId="10" hidden="1">#REF!</definedName>
    <definedName name="prolinks_783281649d824e239f361bda3d777126" localSheetId="8" hidden="1">#REF!</definedName>
    <definedName name="prolinks_783281649d824e239f361bda3d777126" localSheetId="37" hidden="1">#REF!</definedName>
    <definedName name="prolinks_783281649d824e239f361bda3d777126" localSheetId="65" hidden="1">#REF!</definedName>
    <definedName name="prolinks_783281649d824e239f361bda3d777126" localSheetId="78" hidden="1">#REF!</definedName>
    <definedName name="prolinks_783281649d824e239f361bda3d777126" hidden="1">#REF!</definedName>
    <definedName name="prolinks_7854b8c2bb6e4275a477329e39458a84" localSheetId="10" hidden="1">#REF!</definedName>
    <definedName name="prolinks_7854b8c2bb6e4275a477329e39458a84" localSheetId="8" hidden="1">#REF!</definedName>
    <definedName name="prolinks_7854b8c2bb6e4275a477329e39458a84" localSheetId="37" hidden="1">#REF!</definedName>
    <definedName name="prolinks_7854b8c2bb6e4275a477329e39458a84" localSheetId="65" hidden="1">#REF!</definedName>
    <definedName name="prolinks_7854b8c2bb6e4275a477329e39458a84" localSheetId="78" hidden="1">#REF!</definedName>
    <definedName name="prolinks_7854b8c2bb6e4275a477329e39458a84" hidden="1">#REF!</definedName>
    <definedName name="prolinks_7ab99053e479431b82ff19df79fe72c8" hidden="1">#REF!</definedName>
    <definedName name="prolinks_7aff1d9dc2c244b8b8495d792eee85de" hidden="1">#REF!</definedName>
    <definedName name="prolinks_7bdcd4efcc1f4fb588dacf81c60bb005" hidden="1">#REF!</definedName>
    <definedName name="prolinks_7d02ebcac34d4e67951b8f51de0a0fe6" hidden="1">#REF!</definedName>
    <definedName name="prolinks_7f58e1b33f1f46cfb9c8bb1c52fe1be0" hidden="1">#REF!</definedName>
    <definedName name="prolinks_813adc2f79724bdda86d936689968484" hidden="1">#REF!</definedName>
    <definedName name="prolinks_81e6479f400441e4a47828e6bcebd1d6" hidden="1">#REF!</definedName>
    <definedName name="prolinks_838aa2644ebb4821875ecbaaa89b884d" hidden="1">#REF!</definedName>
    <definedName name="prolinks_8b07f12b2e8c4eff9e7641d70f4852c9" hidden="1">#REF!</definedName>
    <definedName name="prolinks_8b5ec9efcc3d4ade9099d1de311e88fd" hidden="1">#REF!</definedName>
    <definedName name="prolinks_8e2caed5fcc143818106df72e5202b72" hidden="1">#REF!</definedName>
    <definedName name="prolinks_8e7fffd3287a4277aded18e39b6364bc" hidden="1">#REF!</definedName>
    <definedName name="prolinks_8ed704e218f241be962cd235e57746a1" hidden="1">#REF!</definedName>
    <definedName name="prolinks_8edb616f62c448769e6639f38b6623c5" hidden="1">#REF!</definedName>
    <definedName name="prolinks_8fb6aa628096493aabd317fa95569d10" hidden="1">#REF!</definedName>
    <definedName name="prolinks_8ff61c0212a14f2ab5f3a95ad9c19813" hidden="1">#REF!</definedName>
    <definedName name="prolinks_93235e12b9674060bdd2757692f80852" hidden="1">#REF!</definedName>
    <definedName name="prolinks_94e19c79a940426783b5581f61e1fc8a" hidden="1">#REF!</definedName>
    <definedName name="prolinks_952645b3039845d2bba9e6243317b4c6" hidden="1">#REF!</definedName>
    <definedName name="prolinks_95468763cb394a05ab7bb2e9f10ff0c0" hidden="1">#REF!</definedName>
    <definedName name="prolinks_9927d4e49dd649d590d0169962d2c31b" hidden="1">#REF!</definedName>
    <definedName name="prolinks_9be1b1ff9810477f88a14f4e08ee760f" hidden="1">#REF!</definedName>
    <definedName name="prolinks_9e92dd59b4af44f5b619e1d76b560cef" hidden="1">#REF!</definedName>
    <definedName name="prolinks_9fa1969c91154da0bf75e3de018cf480" hidden="1">#REF!</definedName>
    <definedName name="prolinks_9fe2e41412f344698615a70872c9340c" hidden="1">#REF!</definedName>
    <definedName name="prolinks_a07d81485e6c41f8a48303a8a55020a1" hidden="1">#REF!</definedName>
    <definedName name="prolinks_a0cb65b6c50f4f40901be287c9b5ced5" hidden="1">#REF!</definedName>
    <definedName name="prolinks_a0d7e602572549bd95216e66df19e635" hidden="1">#REF!</definedName>
    <definedName name="prolinks_a5acd4bbba1d4f59b792722ad0897584" hidden="1">#REF!</definedName>
    <definedName name="prolinks_a67c6718e4024c6e907eb6573ff16d20" hidden="1">#REF!</definedName>
    <definedName name="prolinks_a890d3110cae4f1eba92cde4ee8cbc46" hidden="1">#REF!</definedName>
    <definedName name="prolinks_a8e0483ab7734ea4a53606e3c66ba69c" hidden="1">#REF!</definedName>
    <definedName name="prolinks_aa9b7b4e372945c3abb86628166704bf" hidden="1">#REF!</definedName>
    <definedName name="prolinks_ab00ba90adad435da536d9b7b2aaf1b5" hidden="1">#REF!</definedName>
    <definedName name="prolinks_abe8fc64082f417da5eb6a55edaaa7a7" hidden="1">#REF!</definedName>
    <definedName name="prolinks_adaa05af54964bbf9e438c75e7b19832" hidden="1">#REF!</definedName>
    <definedName name="prolinks_addc13bdf90544acacc3cf09f2049ca4" hidden="1">#REF!</definedName>
    <definedName name="prolinks_b13de5ea0d624a40936df80ffe256b44" hidden="1">#REF!</definedName>
    <definedName name="prolinks_b3aa849a2e6c48c48bc8ead0ea0fd810" hidden="1">#REF!</definedName>
    <definedName name="prolinks_b727e5aeabca4ef3abe343f5f98fd62b" hidden="1">#REF!</definedName>
    <definedName name="prolinks_b74fefe7a841427b8812ae235a114981" hidden="1">#REF!</definedName>
    <definedName name="prolinks_b7f1b6a836c44835a590f39240171991" hidden="1">#REF!</definedName>
    <definedName name="prolinks_b8b2f6fecae24f829baebfa74dcdbf9f" hidden="1">#REF!</definedName>
    <definedName name="prolinks_b98361ec1ed04934b23a5a2770c7f995" hidden="1">#REF!</definedName>
    <definedName name="prolinks_b9df031d4d0d4ab29962fd550a1fe868" hidden="1">#REF!</definedName>
    <definedName name="prolinks_ba188ca90a3c4d24bd1c540383fa706c" hidden="1">#REF!</definedName>
    <definedName name="prolinks_bada7301b0d44b99962d1ff009334a68" hidden="1">#REF!</definedName>
    <definedName name="prolinks_bb4f498021a9414eab3c25dedff7544c" hidden="1">#REF!</definedName>
    <definedName name="prolinks_bff2e1febd8541b9b9d69d0a07400b66" hidden="1">#REF!</definedName>
    <definedName name="prolinks_c015d9bc61214160bc4b5a2dbc3f6f45" hidden="1">#REF!</definedName>
    <definedName name="prolinks_c3eda7a1057741118d468193231e1360" hidden="1">#REF!</definedName>
    <definedName name="prolinks_c4d5e33cbbf245a79094e9b81891dd1f" hidden="1">#REF!</definedName>
    <definedName name="prolinks_c4ddd55390664dc0bc933f5d67c8074b" hidden="1">#REF!</definedName>
    <definedName name="prolinks_c6a26505b29b4489b91597649353821a" localSheetId="10" hidden="1">#REF!</definedName>
    <definedName name="prolinks_c6a26505b29b4489b91597649353821a" localSheetId="8" hidden="1">#REF!</definedName>
    <definedName name="prolinks_c6a26505b29b4489b91597649353821a" localSheetId="37" hidden="1">#REF!</definedName>
    <definedName name="prolinks_c6a26505b29b4489b91597649353821a" localSheetId="75" hidden="1">#REF!</definedName>
    <definedName name="prolinks_c6a26505b29b4489b91597649353821a" localSheetId="65" hidden="1">#REF!</definedName>
    <definedName name="prolinks_c6a26505b29b4489b91597649353821a" localSheetId="78" hidden="1">#REF!</definedName>
    <definedName name="prolinks_c6a26505b29b4489b91597649353821a" hidden="1">#REF!</definedName>
    <definedName name="prolinks_c755bd23d4484c1db18de2fe7dd2abc9" localSheetId="10" hidden="1">#REF!</definedName>
    <definedName name="prolinks_c755bd23d4484c1db18de2fe7dd2abc9" localSheetId="8" hidden="1">#REF!</definedName>
    <definedName name="prolinks_c755bd23d4484c1db18de2fe7dd2abc9" localSheetId="37" hidden="1">#REF!</definedName>
    <definedName name="prolinks_c755bd23d4484c1db18de2fe7dd2abc9" localSheetId="65" hidden="1">#REF!</definedName>
    <definedName name="prolinks_c755bd23d4484c1db18de2fe7dd2abc9" localSheetId="78" hidden="1">#REF!</definedName>
    <definedName name="prolinks_c755bd23d4484c1db18de2fe7dd2abc9" hidden="1">#REF!</definedName>
    <definedName name="prolinks_c844d24617204ed9a6dabdc891c08b9e" localSheetId="10" hidden="1">#REF!</definedName>
    <definedName name="prolinks_c844d24617204ed9a6dabdc891c08b9e" localSheetId="8" hidden="1">#REF!</definedName>
    <definedName name="prolinks_c844d24617204ed9a6dabdc891c08b9e" localSheetId="37" hidden="1">#REF!</definedName>
    <definedName name="prolinks_c844d24617204ed9a6dabdc891c08b9e" localSheetId="65" hidden="1">#REF!</definedName>
    <definedName name="prolinks_c844d24617204ed9a6dabdc891c08b9e" localSheetId="78" hidden="1">#REF!</definedName>
    <definedName name="prolinks_c844d24617204ed9a6dabdc891c08b9e" hidden="1">#REF!</definedName>
    <definedName name="prolinks_c9c5afd1fc704b7f9390c56c44a096c0" hidden="1">#REF!</definedName>
    <definedName name="prolinks_cad4a14647874b23af7128335a610f24" hidden="1">#REF!</definedName>
    <definedName name="prolinks_cd49ffc9bb7d414b8afe97beac6d90f3" hidden="1">#REF!</definedName>
    <definedName name="prolinks_cd89e02986ba4685aa15520996838f2e" hidden="1">#REF!</definedName>
    <definedName name="prolinks_cee058f8dfee4e839cb7b72760e497b4" hidden="1">#REF!</definedName>
    <definedName name="prolinks_d00d5ff52b3244949647792dd5b29ca2" hidden="1">#REF!</definedName>
    <definedName name="prolinks_d2e2c06e5d3d44269a0d0ea732be255f" hidden="1">#REF!</definedName>
    <definedName name="prolinks_d390b891c44b4ab0904a17accc0afdb2" hidden="1">#REF!</definedName>
    <definedName name="prolinks_db2c5223fe504007a340dffad7e9ed3b" hidden="1">#REF!</definedName>
    <definedName name="prolinks_db7147ba65744086bbd2a21e694e947a" localSheetId="10" hidden="1">#REF!</definedName>
    <definedName name="prolinks_db7147ba65744086bbd2a21e694e947a" localSheetId="8" hidden="1">#REF!</definedName>
    <definedName name="prolinks_db7147ba65744086bbd2a21e694e947a" localSheetId="37" hidden="1">#REF!</definedName>
    <definedName name="prolinks_db7147ba65744086bbd2a21e694e947a" localSheetId="75" hidden="1">#REF!</definedName>
    <definedName name="prolinks_db7147ba65744086bbd2a21e694e947a" localSheetId="65" hidden="1">#REF!</definedName>
    <definedName name="prolinks_db7147ba65744086bbd2a21e694e947a" localSheetId="78" hidden="1">#REF!</definedName>
    <definedName name="prolinks_db7147ba65744086bbd2a21e694e947a" hidden="1">#REF!</definedName>
    <definedName name="prolinks_dc2940f3a5bc46ed887a485ff901feec" localSheetId="10" hidden="1">#REF!</definedName>
    <definedName name="prolinks_dc2940f3a5bc46ed887a485ff901feec" localSheetId="8" hidden="1">#REF!</definedName>
    <definedName name="prolinks_dc2940f3a5bc46ed887a485ff901feec" localSheetId="37" hidden="1">#REF!</definedName>
    <definedName name="prolinks_dc2940f3a5bc46ed887a485ff901feec" localSheetId="65" hidden="1">#REF!</definedName>
    <definedName name="prolinks_dc2940f3a5bc46ed887a485ff901feec" localSheetId="78" hidden="1">#REF!</definedName>
    <definedName name="prolinks_dc2940f3a5bc46ed887a485ff901feec" hidden="1">#REF!</definedName>
    <definedName name="prolinks_e185529d7f034b55812ad248179a5881" localSheetId="10" hidden="1">#REF!</definedName>
    <definedName name="prolinks_e185529d7f034b55812ad248179a5881" localSheetId="8" hidden="1">#REF!</definedName>
    <definedName name="prolinks_e185529d7f034b55812ad248179a5881" localSheetId="37" hidden="1">#REF!</definedName>
    <definedName name="prolinks_e185529d7f034b55812ad248179a5881" localSheetId="65" hidden="1">#REF!</definedName>
    <definedName name="prolinks_e185529d7f034b55812ad248179a5881" localSheetId="78" hidden="1">#REF!</definedName>
    <definedName name="prolinks_e185529d7f034b55812ad248179a5881" hidden="1">#REF!</definedName>
    <definedName name="prolinks_e1ff643da2a849058518187a76d3a803" hidden="1">#REF!</definedName>
    <definedName name="prolinks_e764c635a7704212822e099ce2db4433" hidden="1">#REF!</definedName>
    <definedName name="prolinks_e8c20c59dfa246bdad0a7cb4f14076d8" hidden="1">#REF!</definedName>
    <definedName name="prolinks_e913e66ba78a4b3d9920a66b0675d870" hidden="1">#REF!</definedName>
    <definedName name="prolinks_eaffce5b7d644fc6b54758c18332c670" hidden="1">#REF!</definedName>
    <definedName name="prolinks_edb6bc70250c4ceeac251242e3382fac" hidden="1">#REF!</definedName>
    <definedName name="prolinks_f3044257c4514b20aea865c2c5f817c2" hidden="1">#REF!</definedName>
    <definedName name="prolinks_f6d3bd2ad3554b1d8db15db9dd703f4b" hidden="1">#REF!</definedName>
    <definedName name="prolinks_f70dfef8b9b34dc7addcd6d5473a0d08" hidden="1">#REF!</definedName>
    <definedName name="prolinks_f71062a11e7b40c4b957e58b4dd34d90" hidden="1">#REF!</definedName>
    <definedName name="prolinks_f8e19b003fb243f6988fce57fb584f95" hidden="1">#REF!</definedName>
    <definedName name="prolinks_f9cf7614e4114edab33672654fe96027" hidden="1">#REF!</definedName>
    <definedName name="prolinks_fae53b540a064601ba73d34ad6aac807" hidden="1">#REF!</definedName>
    <definedName name="prolinks_ff92d145439e490c83d6f0393fbd7f74" hidden="1">#REF!</definedName>
    <definedName name="prolinks_ffa0b2ad3c6f448690ca8f789618251f" hidden="1">#REF!</definedName>
    <definedName name="PRSISCEMPremiums">#REF!</definedName>
    <definedName name="RangeC8">#REF!</definedName>
    <definedName name="REGION">#REF!</definedName>
    <definedName name="Requirement">#N/A</definedName>
    <definedName name="Requirement_start">#REF!</definedName>
    <definedName name="ResidentEngineer">#REF!</definedName>
    <definedName name="RevCust" localSheetId="39">'C-11'!#REF!</definedName>
    <definedName name="RevCust" localSheetId="1">#REF!</definedName>
    <definedName name="RevCust">[6]Allocators!$E$98:$P$98</definedName>
    <definedName name="RevCustDemand" localSheetId="39">'C-11'!#REF!</definedName>
    <definedName name="RevCustDemand" localSheetId="1">#REF!</definedName>
    <definedName name="RevCustDemand">[6]Allocators!$E$97:$P$97</definedName>
    <definedName name="RevDemand" localSheetId="39">'C-11'!#REF!</definedName>
    <definedName name="RevDemand" localSheetId="1">#REF!</definedName>
    <definedName name="RevDemand">[6]Allocators!$E$96:$P$96</definedName>
    <definedName name="RevEnergy" localSheetId="39">'C-11'!#REF!</definedName>
    <definedName name="RevEnergy" localSheetId="1">#REF!</definedName>
    <definedName name="RevEnergy">[6]Allocators!$E$95:$P$95</definedName>
    <definedName name="RevTotal" localSheetId="39">'C-11'!#REF!</definedName>
    <definedName name="RevTotal" localSheetId="1">#REF!</definedName>
    <definedName name="RevTotal">[6]Allocators!$E$99:$P$99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6</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r" localSheetId="75" hidden="1">#REF!</definedName>
    <definedName name="rr" hidden="1">#REF!</definedName>
    <definedName name="rrrrrrrrrrrr" localSheetId="75" hidden="1">#REF!</definedName>
    <definedName name="rrrrrrrrrrrr" hidden="1">#REF!</definedName>
    <definedName name="S" localSheetId="10" hidden="1">#REF!</definedName>
    <definedName name="S" localSheetId="8" hidden="1">#REF!</definedName>
    <definedName name="S" localSheetId="37" hidden="1">#REF!</definedName>
    <definedName name="S" localSheetId="75" hidden="1">#REF!</definedName>
    <definedName name="S" localSheetId="65" hidden="1">#REF!</definedName>
    <definedName name="S" hidden="1">#REF!</definedName>
    <definedName name="Scale">#REF!</definedName>
    <definedName name="Scrolling_Increment">#REF!</definedName>
    <definedName name="SFR">#REF!</definedName>
    <definedName name="SheetConfig">#REF!</definedName>
    <definedName name="SheetType" hidden="1">#REF!</definedName>
    <definedName name="Site_Inspectors">#REF!</definedName>
    <definedName name="solver_adj" hidden="1">#REF!</definedName>
    <definedName name="solver_lin" hidden="1">0</definedName>
    <definedName name="solver_ntri" hidden="1">1000</definedName>
    <definedName name="solver_num" hidden="1">0</definedName>
    <definedName name="solver_opt" hidden="1">#REF!</definedName>
    <definedName name="solver_rsmp" hidden="1">1</definedName>
    <definedName name="solver_seed" hidden="1">0</definedName>
    <definedName name="solver_typ" hidden="1">2</definedName>
    <definedName name="solver_val" hidden="1">0</definedName>
    <definedName name="SSApproach" localSheetId="39">'C-11'!#REF!</definedName>
    <definedName name="SSApproach" localSheetId="1">#REF!</definedName>
    <definedName name="SSApproach">[15]!Table12[SSApproach List]</definedName>
    <definedName name="StaffOMcoverage" localSheetId="39">'C-11'!#REF!</definedName>
    <definedName name="StaffOMcoverage" localSheetId="1">#REF!</definedName>
    <definedName name="StaffOMcoverage">[19]Income!$G$84</definedName>
    <definedName name="STL_Switch">0</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EMPREFERENCE" localSheetId="75" hidden="1">#REF!</definedName>
    <definedName name="TEMPREFERENCE" hidden="1">#REF!</definedName>
    <definedName name="TempReference2" localSheetId="75" hidden="1">#REF!</definedName>
    <definedName name="TempReference2" hidden="1">#REF!</definedName>
    <definedName name="Tempreference3" localSheetId="75" hidden="1">#REF!</definedName>
    <definedName name="Tempreference3" hidden="1">#REF!</definedName>
    <definedName name="TempReference4" hidden="1">#REF!</definedName>
    <definedName name="TempReference5" hidden="1">#REF!</definedName>
    <definedName name="TempReference6" hidden="1">#REF!</definedName>
    <definedName name="TempReference7" hidden="1">#REF!</definedName>
    <definedName name="TempReference8" hidden="1">#REF!</definedName>
    <definedName name="testyear">#REF!</definedName>
    <definedName name="three" localSheetId="10" hidden="1">{"midlpg1",#N/A,FALSE,"MIDEAST LPG";"midlpg2",#N/A,FALSE,"MIDEAST LPG"}</definedName>
    <definedName name="three" localSheetId="8" hidden="1">{"midlpg1",#N/A,FALSE,"MIDEAST LPG";"midlpg2",#N/A,FALSE,"MIDEAST LPG"}</definedName>
    <definedName name="three" localSheetId="39" hidden="1">{"midlpg1",#N/A,FALSE,"MIDEAST LPG";"midlpg2",#N/A,FALSE,"MIDEAST LPG"}</definedName>
    <definedName name="three" localSheetId="37" hidden="1">{"midlpg1",#N/A,FALSE,"MIDEAST LPG";"midlpg2",#N/A,FALSE,"MIDEAST LPG"}</definedName>
    <definedName name="three" localSheetId="75" hidden="1">{"midlpg1",#N/A,FALSE,"MIDEAST LPG";"midlpg2",#N/A,FALSE,"MIDEAST LPG"}</definedName>
    <definedName name="three" localSheetId="65" hidden="1">{"midlpg1",#N/A,FALSE,"MIDEAST LPG";"midlpg2",#N/A,FALSE,"MIDEAST LPG"}</definedName>
    <definedName name="three" localSheetId="27" hidden="1">{"midlpg1",#N/A,FALSE,"MIDEAST LPG";"midlpg2",#N/A,FALSE,"MIDEAST LPG"}</definedName>
    <definedName name="three" localSheetId="2" hidden="1">{"midlpg1",#N/A,FALSE,"MIDEAST LPG";"midlpg2",#N/A,FALSE,"MIDEAST LPG"}</definedName>
    <definedName name="three" localSheetId="29" hidden="1">{"midlpg1",#N/A,FALSE,"MIDEAST LPG";"midlpg2",#N/A,FALSE,"MIDEAST LPG"}</definedName>
    <definedName name="three" localSheetId="78" hidden="1">{"midlpg1",#N/A,FALSE,"MIDEAST LPG";"midlpg2",#N/A,FALSE,"MIDEAST LPG"}</definedName>
    <definedName name="three" localSheetId="3" hidden="1">{"midlpg1",#N/A,FALSE,"MIDEAST LPG";"midlpg2",#N/A,FALSE,"MIDEAST LPG"}</definedName>
    <definedName name="three" localSheetId="1" hidden="1">{"midlpg1",#N/A,FALSE,"MIDEAST LPG";"midlpg2",#N/A,FALSE,"MIDEAST LPG"}</definedName>
    <definedName name="three" hidden="1">{"midlpg1",#N/A,FALSE,"MIDEAST LPG";"midlpg2",#N/A,FALSE,"MIDEAST LPG"}</definedName>
    <definedName name="thththt" hidden="1">#REF!</definedName>
    <definedName name="time" localSheetId="10" hidden="1">{"japcurrent1",#N/A,FALSE,"JAPAN PRODUCTS";"japcurrent2",#N/A,FALSE,"JAPAN PRODUCTS"}</definedName>
    <definedName name="time" localSheetId="8" hidden="1">{"japcurrent1",#N/A,FALSE,"JAPAN PRODUCTS";"japcurrent2",#N/A,FALSE,"JAPAN PRODUCTS"}</definedName>
    <definedName name="time" localSheetId="39" hidden="1">{"japcurrent1",#N/A,FALSE,"JAPAN PRODUCTS";"japcurrent2",#N/A,FALSE,"JAPAN PRODUCTS"}</definedName>
    <definedName name="time" localSheetId="37" hidden="1">{"japcurrent1",#N/A,FALSE,"JAPAN PRODUCTS";"japcurrent2",#N/A,FALSE,"JAPAN PRODUCTS"}</definedName>
    <definedName name="time" localSheetId="75" hidden="1">{"japcurrent1",#N/A,FALSE,"JAPAN PRODUCTS";"japcurrent2",#N/A,FALSE,"JAPAN PRODUCTS"}</definedName>
    <definedName name="time" localSheetId="65" hidden="1">{"japcurrent1",#N/A,FALSE,"JAPAN PRODUCTS";"japcurrent2",#N/A,FALSE,"JAPAN PRODUCTS"}</definedName>
    <definedName name="time" localSheetId="27" hidden="1">{"japcurrent1",#N/A,FALSE,"JAPAN PRODUCTS";"japcurrent2",#N/A,FALSE,"JAPAN PRODUCTS"}</definedName>
    <definedName name="time" localSheetId="2" hidden="1">{"japcurrent1",#N/A,FALSE,"JAPAN PRODUCTS";"japcurrent2",#N/A,FALSE,"JAPAN PRODUCTS"}</definedName>
    <definedName name="time" localSheetId="29" hidden="1">{"japcurrent1",#N/A,FALSE,"JAPAN PRODUCTS";"japcurrent2",#N/A,FALSE,"JAPAN PRODUCTS"}</definedName>
    <definedName name="time" localSheetId="78" hidden="1">{"japcurrent1",#N/A,FALSE,"JAPAN PRODUCTS";"japcurrent2",#N/A,FALSE,"JAPAN PRODUCTS"}</definedName>
    <definedName name="time" localSheetId="3" hidden="1">{"japcurrent1",#N/A,FALSE,"JAPAN PRODUCTS";"japcurrent2",#N/A,FALSE,"JAPAN PRODUCTS"}</definedName>
    <definedName name="time" localSheetId="1" hidden="1">{"japcurrent1",#N/A,FALSE,"JAPAN PRODUCTS";"japcurrent2",#N/A,FALSE,"JAPAN PRODUCTS"}</definedName>
    <definedName name="time" hidden="1">{"japcurrent1",#N/A,FALSE,"JAPAN PRODUCTS";"japcurrent2",#N/A,FALSE,"JAPAN PRODUCTS"}</definedName>
    <definedName name="titles">#REF!,#REF!,#REF!,#REF!,#REF!,#REF!</definedName>
    <definedName name="titles_2">#REF!,#REF!,#REF!,#REF!,#REF!,#REF!</definedName>
    <definedName name="titles_3">#REF!,#REF!,#REF!,#REF!,#REF!,#REF!</definedName>
    <definedName name="trans" hidden="1">#REF!</definedName>
    <definedName name="TRef10" localSheetId="10" hidden="1">#REF!</definedName>
    <definedName name="TRef10" localSheetId="8" hidden="1">#REF!</definedName>
    <definedName name="TRef10" localSheetId="37" hidden="1">#REF!</definedName>
    <definedName name="TRef10" localSheetId="75" hidden="1">#REF!</definedName>
    <definedName name="TRef10" localSheetId="65" hidden="1">#REF!</definedName>
    <definedName name="TRef10" localSheetId="78" hidden="1">#REF!</definedName>
    <definedName name="TRef10" hidden="1">#REF!</definedName>
    <definedName name="Tref11" localSheetId="10" hidden="1">#REF!</definedName>
    <definedName name="Tref11" localSheetId="8" hidden="1">#REF!</definedName>
    <definedName name="Tref11" localSheetId="37" hidden="1">#REF!</definedName>
    <definedName name="Tref11" localSheetId="65" hidden="1">#REF!</definedName>
    <definedName name="Tref11" localSheetId="78" hidden="1">#REF!</definedName>
    <definedName name="Tref11" hidden="1">#REF!</definedName>
    <definedName name="TRef12" localSheetId="10" hidden="1">#REF!</definedName>
    <definedName name="TRef12" localSheetId="8" hidden="1">#REF!</definedName>
    <definedName name="TRef12" localSheetId="37" hidden="1">#REF!</definedName>
    <definedName name="TRef12" localSheetId="65" hidden="1">#REF!</definedName>
    <definedName name="TRef12" localSheetId="78" hidden="1">#REF!</definedName>
    <definedName name="TRef12" hidden="1">#REF!</definedName>
    <definedName name="Tref13" hidden="1">#REF!</definedName>
    <definedName name="TRef14" hidden="1">#REF!</definedName>
    <definedName name="TREF15" hidden="1">#REF!</definedName>
    <definedName name="TREF16" hidden="1">#REF!</definedName>
    <definedName name="TREF17" hidden="1">#REF!</definedName>
    <definedName name="TREF18" localSheetId="10" hidden="1">#REF!</definedName>
    <definedName name="TREF18" localSheetId="8" hidden="1">#REF!</definedName>
    <definedName name="TREF18" localSheetId="37" hidden="1">#REF!</definedName>
    <definedName name="TREF18" localSheetId="75" hidden="1">#REF!</definedName>
    <definedName name="TREF18" localSheetId="65" hidden="1">#REF!</definedName>
    <definedName name="TREF18" hidden="1">#REF!</definedName>
    <definedName name="Tref9" localSheetId="10" hidden="1">#REF!</definedName>
    <definedName name="Tref9" localSheetId="8" hidden="1">#REF!</definedName>
    <definedName name="Tref9" localSheetId="37" hidden="1">#REF!</definedName>
    <definedName name="Tref9" localSheetId="65" hidden="1">#REF!</definedName>
    <definedName name="Tref9" hidden="1">#REF!</definedName>
    <definedName name="tt" localSheetId="10" hidden="1">#REF!</definedName>
    <definedName name="tt" localSheetId="8" hidden="1">#REF!</definedName>
    <definedName name="tt" localSheetId="37" hidden="1">#REF!</definedName>
    <definedName name="tt" localSheetId="65" hidden="1">#REF!</definedName>
    <definedName name="tt" hidden="1">#REF!</definedName>
    <definedName name="tttttr" localSheetId="10" hidden="1">#REF!</definedName>
    <definedName name="tttttr" localSheetId="8" hidden="1">#REF!</definedName>
    <definedName name="tttttr" localSheetId="37" hidden="1">#REF!</definedName>
    <definedName name="tttttr" localSheetId="65" hidden="1">#REF!</definedName>
    <definedName name="tttttr" hidden="1">#REF!</definedName>
    <definedName name="TTTTTTTTTT" localSheetId="10" hidden="1">#REF!</definedName>
    <definedName name="TTTTTTTTTT" localSheetId="8" hidden="1">#REF!</definedName>
    <definedName name="TTTTTTTTTT" localSheetId="37" hidden="1">#REF!</definedName>
    <definedName name="TTTTTTTTTT" localSheetId="75" hidden="1">#REF!</definedName>
    <definedName name="TTTTTTTTTT" localSheetId="65" hidden="1">#REF!</definedName>
    <definedName name="TTTTTTTTTT" localSheetId="78" hidden="1">#REF!</definedName>
    <definedName name="TTTTTTTTTT" hidden="1">#REF!</definedName>
    <definedName name="ttttttttttt" localSheetId="10" hidden="1">#REF!</definedName>
    <definedName name="ttttttttttt" localSheetId="8" hidden="1">#REF!</definedName>
    <definedName name="ttttttttttt" localSheetId="37" hidden="1">#REF!</definedName>
    <definedName name="ttttttttttt" localSheetId="75" hidden="1">#REF!</definedName>
    <definedName name="ttttttttttt" localSheetId="65" hidden="1">#REF!</definedName>
    <definedName name="ttttttttttt" hidden="1">#REF!</definedName>
    <definedName name="two" localSheetId="10" hidden="1">{"japlpg1",#N/A,FALSE,"JAPAN LPG ";"japllpg2",#N/A,FALSE,"JAPAN LPG "}</definedName>
    <definedName name="two" localSheetId="8" hidden="1">{"japlpg1",#N/A,FALSE,"JAPAN LPG ";"japllpg2",#N/A,FALSE,"JAPAN LPG "}</definedName>
    <definedName name="two" localSheetId="39" hidden="1">{"japlpg1",#N/A,FALSE,"JAPAN LPG ";"japllpg2",#N/A,FALSE,"JAPAN LPG "}</definedName>
    <definedName name="two" localSheetId="37" hidden="1">{"japlpg1",#N/A,FALSE,"JAPAN LPG ";"japllpg2",#N/A,FALSE,"JAPAN LPG "}</definedName>
    <definedName name="two" localSheetId="75" hidden="1">{"japlpg1",#N/A,FALSE,"JAPAN LPG ";"japllpg2",#N/A,FALSE,"JAPAN LPG "}</definedName>
    <definedName name="two" localSheetId="65" hidden="1">{"japlpg1",#N/A,FALSE,"JAPAN LPG ";"japllpg2",#N/A,FALSE,"JAPAN LPG "}</definedName>
    <definedName name="two" localSheetId="27" hidden="1">{"japlpg1",#N/A,FALSE,"JAPAN LPG ";"japllpg2",#N/A,FALSE,"JAPAN LPG "}</definedName>
    <definedName name="two" localSheetId="2" hidden="1">{"japlpg1",#N/A,FALSE,"JAPAN LPG ";"japllpg2",#N/A,FALSE,"JAPAN LPG "}</definedName>
    <definedName name="two" localSheetId="29" hidden="1">{"japlpg1",#N/A,FALSE,"JAPAN LPG ";"japllpg2",#N/A,FALSE,"JAPAN LPG "}</definedName>
    <definedName name="two" localSheetId="78" hidden="1">{"japlpg1",#N/A,FALSE,"JAPAN LPG ";"japllpg2",#N/A,FALSE,"JAPAN LPG "}</definedName>
    <definedName name="two" localSheetId="3" hidden="1">{"japlpg1",#N/A,FALSE,"JAPAN LPG ";"japllpg2",#N/A,FALSE,"JAPAN LPG "}</definedName>
    <definedName name="two" localSheetId="1" hidden="1">{"japlpg1",#N/A,FALSE,"JAPAN LPG ";"japllpg2",#N/A,FALSE,"JAPAN LPG "}</definedName>
    <definedName name="two" hidden="1">{"japlpg1",#N/A,FALSE,"JAPAN LPG ";"japllpg2",#N/A,FALSE,"JAPAN LPG "}</definedName>
    <definedName name="typeofwork1">#REF!</definedName>
    <definedName name="typeofwork2">#REF!</definedName>
    <definedName name="typeofwork3">#REF!</definedName>
    <definedName name="typeofwork4">#REF!</definedName>
    <definedName name="typeofwork5">#REF!</definedName>
    <definedName name="typework1">#REF!</definedName>
    <definedName name="typwork1">#REF!</definedName>
    <definedName name="typwork2">#REF!</definedName>
    <definedName name="typwork3">#REF!</definedName>
    <definedName name="typwork4">#REF!</definedName>
    <definedName name="typwork5">#REF!</definedName>
    <definedName name="U" localSheetId="75" hidden="1">#REF!</definedName>
    <definedName name="U" hidden="1">#REF!</definedName>
    <definedName name="ukuku" localSheetId="75" hidden="1">#REF!</definedName>
    <definedName name="ukuku" hidden="1">#REF!</definedName>
    <definedName name="uncompletednonpermanent">#REF!</definedName>
    <definedName name="uncompletedpermanent">#REF!</definedName>
    <definedName name="uncompletenonpermanent">#REF!</definedName>
    <definedName name="uncompletepermanent">#REF!</definedName>
    <definedName name="utilityname">#REF!</definedName>
    <definedName name="UtilityType_Vector" hidden="1">#REF!</definedName>
    <definedName name="uu" localSheetId="75" hidden="1">#REF!</definedName>
    <definedName name="uu" hidden="1">#REF!</definedName>
    <definedName name="v" localSheetId="75" hidden="1">#REF!</definedName>
    <definedName name="v" hidden="1">#REF!</definedName>
    <definedName name="Validation_List">OFFSET(#REF!,,,COUNTIF(#REF!,"?*"))</definedName>
    <definedName name="ValidationErrors">#REF!</definedName>
    <definedName name="ValidationErrors_2">#REF!</definedName>
    <definedName name="ValidationErrors_CW">#REF!</definedName>
    <definedName name="Volume">#REF!</definedName>
    <definedName name="VVVVVVVV" localSheetId="10" hidden="1">#REF!</definedName>
    <definedName name="VVVVVVVV" localSheetId="8" hidden="1">#REF!</definedName>
    <definedName name="VVVVVVVV" localSheetId="37" hidden="1">#REF!</definedName>
    <definedName name="VVVVVVVV" localSheetId="75" hidden="1">#REF!</definedName>
    <definedName name="VVVVVVVV" localSheetId="65" hidden="1">#REF!</definedName>
    <definedName name="VVVVVVVV" localSheetId="78" hidden="1">#REF!</definedName>
    <definedName name="VVVVVVVV" hidden="1">#REF!</definedName>
    <definedName name="w" hidden="1">#REF!</definedName>
    <definedName name="wed" localSheetId="10" hidden="1">#REF!</definedName>
    <definedName name="wed" localSheetId="8" hidden="1">#REF!</definedName>
    <definedName name="wed" localSheetId="37" hidden="1">#REF!</definedName>
    <definedName name="wed" localSheetId="75" hidden="1">#REF!</definedName>
    <definedName name="wed" localSheetId="65" hidden="1">#REF!</definedName>
    <definedName name="wed" hidden="1">#REF!</definedName>
    <definedName name="WithdrawPost93" localSheetId="39">'C-11'!#REF!</definedName>
    <definedName name="WithdrawPost93" localSheetId="1">#REF!</definedName>
    <definedName name="WithdrawPost93">[16]Dashboard!$D$4</definedName>
    <definedName name="WithdrawPre93" localSheetId="39">'C-11'!#REF!</definedName>
    <definedName name="WithdrawPre93" localSheetId="1">#REF!</definedName>
    <definedName name="WithdrawPre93">[16]Dashboard!$D$3</definedName>
    <definedName name="Work_Order_Request_Id">#REF!</definedName>
    <definedName name="wrn.Bill._.Comparisons." localSheetId="39" hidden="1">{"General BC (Rg1 &amp; Cg1)",#N/A,FALSE,"Rg1 &amp; Cg1";"BC (Cp1)",#N/A,FALSE,"Cp-1";"Specific BC (Rg1 &amp; Cg1)",#N/A,FALSE,"Rg1 &amp; Cg1"}</definedName>
    <definedName name="wrn.Bill._.Comparisons." localSheetId="75" hidden="1">{"General BC (Rg1 &amp; Cg1)",#N/A,FALSE,"Rg1 &amp; Cg1";"BC (Cp1)",#N/A,FALSE,"Cp-1";"Specific BC (Rg1 &amp; Cg1)",#N/A,FALSE,"Rg1 &amp; Cg1"}</definedName>
    <definedName name="wrn.Bill._.Comparisons." localSheetId="27" hidden="1">{"General BC (Rg1 &amp; Cg1)",#N/A,FALSE,"Rg1 &amp; Cg1";"BC (Cp1)",#N/A,FALSE,"Cp-1";"Specific BC (Rg1 &amp; Cg1)",#N/A,FALSE,"Rg1 &amp; Cg1"}</definedName>
    <definedName name="wrn.Bill._.Comparisons." localSheetId="1" hidden="1">{"General BC (Rg1 &amp; Cg1)",#N/A,FALSE,"Rg1 &amp; Cg1";"BC (Cp1)",#N/A,FALSE,"Cp-1";"Specific BC (Rg1 &amp; Cg1)",#N/A,FALSE,"Rg1 &amp; Cg1"}</definedName>
    <definedName name="wrn.Bill._.Comparisons." hidden="1">{"General BC (Rg1 &amp; Cg1)",#N/A,FALSE,"Rg1 &amp; Cg1";"BC (Cp1)",#N/A,FALSE,"Cp-1";"Specific BC (Rg1 &amp; Cg1)",#N/A,FALSE,"Rg1 &amp; Cg1"}</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CPONEREP." localSheetId="39" hidden="1">{"CPONE",#N/A,FALSE,"Sheet1"}</definedName>
    <definedName name="wrn.CPONEREP." localSheetId="75" hidden="1">{"CPONE",#N/A,FALSE,"Sheet1"}</definedName>
    <definedName name="wrn.CPONEREP." localSheetId="27" hidden="1">{"CPONE",#N/A,FALSE,"Sheet1"}</definedName>
    <definedName name="wrn.CPONEREP." localSheetId="1" hidden="1">{"CPONE",#N/A,FALSE,"Sheet1"}</definedName>
    <definedName name="wrn.CPONEREP." hidden="1">{"CPONE",#N/A,FALSE,"Sheet1"}</definedName>
    <definedName name="wrn.CPTWOREP." localSheetId="39" hidden="1">{#N/A,#N/A,FALSE,"Sheet1";#N/A,#N/A,FALSE,"Sheet1";"CPTWO",#N/A,FALSE,"Sheet1"}</definedName>
    <definedName name="wrn.CPTWOREP." localSheetId="75" hidden="1">{#N/A,#N/A,FALSE,"Sheet1";#N/A,#N/A,FALSE,"Sheet1";"CPTWO",#N/A,FALSE,"Sheet1"}</definedName>
    <definedName name="wrn.CPTWOREP." localSheetId="27" hidden="1">{#N/A,#N/A,FALSE,"Sheet1";#N/A,#N/A,FALSE,"Sheet1";"CPTWO",#N/A,FALSE,"Sheet1"}</definedName>
    <definedName name="wrn.CPTWOREP." localSheetId="1" hidden="1">{#N/A,#N/A,FALSE,"Sheet1";#N/A,#N/A,FALSE,"Sheet1";"CPTWO",#N/A,FALSE,"Sheet1"}</definedName>
    <definedName name="wrn.CPTWOREP." hidden="1">{#N/A,#N/A,FALSE,"Sheet1";#N/A,#N/A,FALSE,"Sheet1";"CPTWO",#N/A,FALSE,"Sheet1"}</definedName>
    <definedName name="wrn.crude." localSheetId="10" hidden="1">{"current1",#N/A,FALSE,"CRUDE";"current2",#N/A,FALSE,"CRUDE";"CONSTANT",#N/A,FALSE,"CRUDE"}</definedName>
    <definedName name="wrn.crude." localSheetId="8" hidden="1">{"current1",#N/A,FALSE,"CRUDE";"current2",#N/A,FALSE,"CRUDE";"CONSTANT",#N/A,FALSE,"CRUDE"}</definedName>
    <definedName name="wrn.crude." localSheetId="39" hidden="1">{"current1",#N/A,FALSE,"CRUDE";"current2",#N/A,FALSE,"CRUDE";"CONSTANT",#N/A,FALSE,"CRUDE"}</definedName>
    <definedName name="wrn.crude." localSheetId="37" hidden="1">{"current1",#N/A,FALSE,"CRUDE";"current2",#N/A,FALSE,"CRUDE";"CONSTANT",#N/A,FALSE,"CRUDE"}</definedName>
    <definedName name="wrn.crude." localSheetId="75" hidden="1">{"current1",#N/A,FALSE,"CRUDE";"current2",#N/A,FALSE,"CRUDE";"CONSTANT",#N/A,FALSE,"CRUDE"}</definedName>
    <definedName name="wrn.crude." localSheetId="65" hidden="1">{"current1",#N/A,FALSE,"CRUDE";"current2",#N/A,FALSE,"CRUDE";"CONSTANT",#N/A,FALSE,"CRUDE"}</definedName>
    <definedName name="wrn.crude." localSheetId="27" hidden="1">{"current1",#N/A,FALSE,"CRUDE";"current2",#N/A,FALSE,"CRUDE";"CONSTANT",#N/A,FALSE,"CRUDE"}</definedName>
    <definedName name="wrn.crude." localSheetId="2" hidden="1">{"current1",#N/A,FALSE,"CRUDE";"current2",#N/A,FALSE,"CRUDE";"CONSTANT",#N/A,FALSE,"CRUDE"}</definedName>
    <definedName name="wrn.crude." localSheetId="29" hidden="1">{"current1",#N/A,FALSE,"CRUDE";"current2",#N/A,FALSE,"CRUDE";"CONSTANT",#N/A,FALSE,"CRUDE"}</definedName>
    <definedName name="wrn.crude." localSheetId="78" hidden="1">{"current1",#N/A,FALSE,"CRUDE";"current2",#N/A,FALSE,"CRUDE";"CONSTANT",#N/A,FALSE,"CRUDE"}</definedName>
    <definedName name="wrn.crude." localSheetId="3" hidden="1">{"current1",#N/A,FALSE,"CRUDE";"current2",#N/A,FALSE,"CRUDE";"CONSTANT",#N/A,FALSE,"CRUDE"}</definedName>
    <definedName name="wrn.crude." localSheetId="1" hidden="1">{"current1",#N/A,FALSE,"CRUDE";"current2",#N/A,FALSE,"CRUDE";"CONSTANT",#N/A,FALSE,"CRUDE"}</definedName>
    <definedName name="wrn.crude." hidden="1">{"current1",#N/A,FALSE,"CRUDE";"current2",#N/A,FALSE,"CRUDE";"CONSTANT",#N/A,FALSE,"CRUDE"}</definedName>
    <definedName name="wrn.CRUDE1." localSheetId="10"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8"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39"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37"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75"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65"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7"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9"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78"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3"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natgastab." localSheetId="10" hidden="1">{"natgas1",#N/A,FALSE,"u.s. Natural Gas";"natgas2",#N/A,FALSE,"u.s. Natural Gas"}</definedName>
    <definedName name="wrn.natgastab." localSheetId="8" hidden="1">{"natgas1",#N/A,FALSE,"u.s. Natural Gas";"natgas2",#N/A,FALSE,"u.s. Natural Gas"}</definedName>
    <definedName name="wrn.natgastab." localSheetId="39" hidden="1">{"natgas1",#N/A,FALSE,"u.s. Natural Gas";"natgas2",#N/A,FALSE,"u.s. Natural Gas"}</definedName>
    <definedName name="wrn.natgastab." localSheetId="37" hidden="1">{"natgas1",#N/A,FALSE,"u.s. Natural Gas";"natgas2",#N/A,FALSE,"u.s. Natural Gas"}</definedName>
    <definedName name="wrn.natgastab." localSheetId="75" hidden="1">{"natgas1",#N/A,FALSE,"u.s. Natural Gas";"natgas2",#N/A,FALSE,"u.s. Natural Gas"}</definedName>
    <definedName name="wrn.natgastab." localSheetId="65" hidden="1">{"natgas1",#N/A,FALSE,"u.s. Natural Gas";"natgas2",#N/A,FALSE,"u.s. Natural Gas"}</definedName>
    <definedName name="wrn.natgastab." localSheetId="27" hidden="1">{"natgas1",#N/A,FALSE,"u.s. Natural Gas";"natgas2",#N/A,FALSE,"u.s. Natural Gas"}</definedName>
    <definedName name="wrn.natgastab." localSheetId="2" hidden="1">{"natgas1",#N/A,FALSE,"u.s. Natural Gas";"natgas2",#N/A,FALSE,"u.s. Natural Gas"}</definedName>
    <definedName name="wrn.natgastab." localSheetId="29" hidden="1">{"natgas1",#N/A,FALSE,"u.s. Natural Gas";"natgas2",#N/A,FALSE,"u.s. Natural Gas"}</definedName>
    <definedName name="wrn.natgastab." localSheetId="78" hidden="1">{"natgas1",#N/A,FALSE,"u.s. Natural Gas";"natgas2",#N/A,FALSE,"u.s. Natural Gas"}</definedName>
    <definedName name="wrn.natgastab." localSheetId="3" hidden="1">{"natgas1",#N/A,FALSE,"u.s. Natural Gas";"natgas2",#N/A,FALSE,"u.s. Natural Gas"}</definedName>
    <definedName name="wrn.natgastab." localSheetId="1" hidden="1">{"natgas1",#N/A,FALSE,"u.s. Natural Gas";"natgas2",#N/A,FALSE,"u.s. Natural Gas"}</definedName>
    <definedName name="wrn.natgastab." hidden="1">{"natgas1",#N/A,FALSE,"u.s. Natural Gas";"natgas2",#N/A,FALSE,"u.s. Natural Gas"}</definedName>
    <definedName name="wrn.PrintAll." localSheetId="10" hidden="1">{#N/A,#N/A,FALSE,"Notes";#N/A,#N/A,FALSE,"SAVINGS";#N/A,#N/A,FALSE,"BASE Input";#N/A,#N/A,FALSE,"BASE Analysis";#N/A,#N/A,FALSE,"BASE Calibration";#N/A,#N/A,FALSE,"POST Input";#N/A,#N/A,FALSE,"POST Analysis";#N/A,#N/A,FALSE,"POST Calibration"}</definedName>
    <definedName name="wrn.PrintAll." localSheetId="8" hidden="1">{#N/A,#N/A,FALSE,"Notes";#N/A,#N/A,FALSE,"SAVINGS";#N/A,#N/A,FALSE,"BASE Input";#N/A,#N/A,FALSE,"BASE Analysis";#N/A,#N/A,FALSE,"BASE Calibration";#N/A,#N/A,FALSE,"POST Input";#N/A,#N/A,FALSE,"POST Analysis";#N/A,#N/A,FALSE,"POST Calibration"}</definedName>
    <definedName name="wrn.PrintAll." localSheetId="39" hidden="1">{#N/A,#N/A,FALSE,"Notes";#N/A,#N/A,FALSE,"SAVINGS";#N/A,#N/A,FALSE,"BASE Input";#N/A,#N/A,FALSE,"BASE Analysis";#N/A,#N/A,FALSE,"BASE Calibration";#N/A,#N/A,FALSE,"POST Input";#N/A,#N/A,FALSE,"POST Analysis";#N/A,#N/A,FALSE,"POST Calibration"}</definedName>
    <definedName name="wrn.PrintAll." localSheetId="37" hidden="1">{#N/A,#N/A,FALSE,"Notes";#N/A,#N/A,FALSE,"SAVINGS";#N/A,#N/A,FALSE,"BASE Input";#N/A,#N/A,FALSE,"BASE Analysis";#N/A,#N/A,FALSE,"BASE Calibration";#N/A,#N/A,FALSE,"POST Input";#N/A,#N/A,FALSE,"POST Analysis";#N/A,#N/A,FALSE,"POST Calibration"}</definedName>
    <definedName name="wrn.PrintAll." localSheetId="75" hidden="1">{#N/A,#N/A,FALSE,"Notes";#N/A,#N/A,FALSE,"SAVINGS";#N/A,#N/A,FALSE,"BASE Input";#N/A,#N/A,FALSE,"BASE Analysis";#N/A,#N/A,FALSE,"BASE Calibration";#N/A,#N/A,FALSE,"POST Input";#N/A,#N/A,FALSE,"POST Analysis";#N/A,#N/A,FALSE,"POST Calibration"}</definedName>
    <definedName name="wrn.PrintAll." localSheetId="65" hidden="1">{#N/A,#N/A,FALSE,"Notes";#N/A,#N/A,FALSE,"SAVINGS";#N/A,#N/A,FALSE,"BASE Input";#N/A,#N/A,FALSE,"BASE Analysis";#N/A,#N/A,FALSE,"BASE Calibration";#N/A,#N/A,FALSE,"POST Input";#N/A,#N/A,FALSE,"POST Analysis";#N/A,#N/A,FALSE,"POST Calibration"}</definedName>
    <definedName name="wrn.PrintAll." localSheetId="27" hidden="1">{#N/A,#N/A,FALSE,"Notes";#N/A,#N/A,FALSE,"SAVINGS";#N/A,#N/A,FALSE,"BASE Input";#N/A,#N/A,FALSE,"BASE Analysis";#N/A,#N/A,FALSE,"BASE Calibration";#N/A,#N/A,FALSE,"POST Input";#N/A,#N/A,FALSE,"POST Analysis";#N/A,#N/A,FALSE,"POST Calibration"}</definedName>
    <definedName name="wrn.PrintAll." localSheetId="2" hidden="1">{#N/A,#N/A,FALSE,"Notes";#N/A,#N/A,FALSE,"SAVINGS";#N/A,#N/A,FALSE,"BASE Input";#N/A,#N/A,FALSE,"BASE Analysis";#N/A,#N/A,FALSE,"BASE Calibration";#N/A,#N/A,FALSE,"POST Input";#N/A,#N/A,FALSE,"POST Analysis";#N/A,#N/A,FALSE,"POST Calibration"}</definedName>
    <definedName name="wrn.PrintAll." localSheetId="29" hidden="1">{#N/A,#N/A,FALSE,"Notes";#N/A,#N/A,FALSE,"SAVINGS";#N/A,#N/A,FALSE,"BASE Input";#N/A,#N/A,FALSE,"BASE Analysis";#N/A,#N/A,FALSE,"BASE Calibration";#N/A,#N/A,FALSE,"POST Input";#N/A,#N/A,FALSE,"POST Analysis";#N/A,#N/A,FALSE,"POST Calibration"}</definedName>
    <definedName name="wrn.PrintAll." localSheetId="78" hidden="1">{#N/A,#N/A,FALSE,"Notes";#N/A,#N/A,FALSE,"SAVINGS";#N/A,#N/A,FALSE,"BASE Input";#N/A,#N/A,FALSE,"BASE Analysis";#N/A,#N/A,FALSE,"BASE Calibration";#N/A,#N/A,FALSE,"POST Input";#N/A,#N/A,FALSE,"POST Analysis";#N/A,#N/A,FALSE,"POST Calibration"}</definedName>
    <definedName name="wrn.PrintAll." localSheetId="3" hidden="1">{#N/A,#N/A,FALSE,"Notes";#N/A,#N/A,FALSE,"SAVINGS";#N/A,#N/A,FALSE,"BASE Input";#N/A,#N/A,FALSE,"BASE Analysis";#N/A,#N/A,FALSE,"BASE Calibration";#N/A,#N/A,FALSE,"POST Input";#N/A,#N/A,FALSE,"POST Analysis";#N/A,#N/A,FALSE,"POST Calibration"}</definedName>
    <definedName name="wrn.PrintAll." localSheetId="1" hidden="1">{#N/A,#N/A,FALSE,"Notes";#N/A,#N/A,FALSE,"SAVINGS";#N/A,#N/A,FALSE,"BASE Input";#N/A,#N/A,FALSE,"BASE Analysis";#N/A,#N/A,FALSE,"BASE Calibration";#N/A,#N/A,FALSE,"POST Input";#N/A,#N/A,FALSE,"POST Analysis";#N/A,#N/A,FALSE,"POST Calibration"}</definedName>
    <definedName name="wrn.PrintAll." hidden="1">{#N/A,#N/A,FALSE,"Notes";#N/A,#N/A,FALSE,"SAVINGS";#N/A,#N/A,FALSE,"BASE Input";#N/A,#N/A,FALSE,"BASE Analysis";#N/A,#N/A,FALSE,"BASE Calibration";#N/A,#N/A,FALSE,"POST Input";#N/A,#N/A,FALSE,"POST Analysis";#N/A,#N/A,FALSE,"POST Calibration"}</definedName>
    <definedName name="wrn.Rate._.and._.Revenue._.Comparsion." localSheetId="39" hidden="1">{"Consumer Analysis",#N/A,FALSE,"Consumer Analysis";"Comparison to NSP",#N/A,FALSE,"Consumer Analysis"}</definedName>
    <definedName name="wrn.Rate._.and._.Revenue._.Comparsion." localSheetId="75" hidden="1">{"Consumer Analysis",#N/A,FALSE,"Consumer Analysis";"Comparison to NSP",#N/A,FALSE,"Consumer Analysis"}</definedName>
    <definedName name="wrn.Rate._.and._.Revenue._.Comparsion." localSheetId="27" hidden="1">{"Consumer Analysis",#N/A,FALSE,"Consumer Analysis";"Comparison to NSP",#N/A,FALSE,"Consumer Analysis"}</definedName>
    <definedName name="wrn.Rate._.and._.Revenue._.Comparsion." localSheetId="1" hidden="1">{"Consumer Analysis",#N/A,FALSE,"Consumer Analysis";"Comparison to NSP",#N/A,FALSE,"Consumer Analysis"}</definedName>
    <definedName name="wrn.Rate._.and._.Revenue._.Comparsion." hidden="1">{"Consumer Analysis",#N/A,FALSE,"Consumer Analysis";"Comparison to NSP",#N/A,FALSE,"Consumer Analysis"}</definedName>
    <definedName name="wrn.savings." localSheetId="10" hidden="1">{#N/A,#N/A,FALSE,"FY97P1";#N/A,#N/A,FALSE,"FY97Z312";#N/A,#N/A,FALSE,"FY97LRBC";#N/A,#N/A,FALSE,"FY97O";#N/A,#N/A,FALSE,"FY97DAM"}</definedName>
    <definedName name="wrn.savings." localSheetId="8" hidden="1">{#N/A,#N/A,FALSE,"FY97P1";#N/A,#N/A,FALSE,"FY97Z312";#N/A,#N/A,FALSE,"FY97LRBC";#N/A,#N/A,FALSE,"FY97O";#N/A,#N/A,FALSE,"FY97DAM"}</definedName>
    <definedName name="wrn.savings." localSheetId="39" hidden="1">{#N/A,#N/A,FALSE,"FY97P1";#N/A,#N/A,FALSE,"FY97Z312";#N/A,#N/A,FALSE,"FY97LRBC";#N/A,#N/A,FALSE,"FY97O";#N/A,#N/A,FALSE,"FY97DAM"}</definedName>
    <definedName name="wrn.savings." localSheetId="37" hidden="1">{#N/A,#N/A,FALSE,"FY97P1";#N/A,#N/A,FALSE,"FY97Z312";#N/A,#N/A,FALSE,"FY97LRBC";#N/A,#N/A,FALSE,"FY97O";#N/A,#N/A,FALSE,"FY97DAM"}</definedName>
    <definedName name="wrn.savings." localSheetId="75" hidden="1">{#N/A,#N/A,FALSE,"FY97P1";#N/A,#N/A,FALSE,"FY97Z312";#N/A,#N/A,FALSE,"FY97LRBC";#N/A,#N/A,FALSE,"FY97O";#N/A,#N/A,FALSE,"FY97DAM"}</definedName>
    <definedName name="wrn.savings." localSheetId="65" hidden="1">{#N/A,#N/A,FALSE,"FY97P1";#N/A,#N/A,FALSE,"FY97Z312";#N/A,#N/A,FALSE,"FY97LRBC";#N/A,#N/A,FALSE,"FY97O";#N/A,#N/A,FALSE,"FY97DAM"}</definedName>
    <definedName name="wrn.savings." localSheetId="27" hidden="1">{#N/A,#N/A,FALSE,"FY97P1";#N/A,#N/A,FALSE,"FY97Z312";#N/A,#N/A,FALSE,"FY97LRBC";#N/A,#N/A,FALSE,"FY97O";#N/A,#N/A,FALSE,"FY97DAM"}</definedName>
    <definedName name="wrn.savings." localSheetId="2" hidden="1">{#N/A,#N/A,FALSE,"FY97P1";#N/A,#N/A,FALSE,"FY97Z312";#N/A,#N/A,FALSE,"FY97LRBC";#N/A,#N/A,FALSE,"FY97O";#N/A,#N/A,FALSE,"FY97DAM"}</definedName>
    <definedName name="wrn.savings." localSheetId="29" hidden="1">{#N/A,#N/A,FALSE,"FY97P1";#N/A,#N/A,FALSE,"FY97Z312";#N/A,#N/A,FALSE,"FY97LRBC";#N/A,#N/A,FALSE,"FY97O";#N/A,#N/A,FALSE,"FY97DAM"}</definedName>
    <definedName name="wrn.savings." localSheetId="78" hidden="1">{#N/A,#N/A,FALSE,"FY97P1";#N/A,#N/A,FALSE,"FY97Z312";#N/A,#N/A,FALSE,"FY97LRBC";#N/A,#N/A,FALSE,"FY97O";#N/A,#N/A,FALSE,"FY97DAM"}</definedName>
    <definedName name="wrn.savings." localSheetId="3" hidden="1">{#N/A,#N/A,FALSE,"FY97P1";#N/A,#N/A,FALSE,"FY97Z312";#N/A,#N/A,FALSE,"FY97LRBC";#N/A,#N/A,FALSE,"FY97O";#N/A,#N/A,FALSE,"FY97DAM"}</definedName>
    <definedName name="wrn.savings." localSheetId="1" hidden="1">{#N/A,#N/A,FALSE,"FY97P1";#N/A,#N/A,FALSE,"FY97Z312";#N/A,#N/A,FALSE,"FY97LRBC";#N/A,#N/A,FALSE,"FY97O";#N/A,#N/A,FALSE,"FY97DAM"}</definedName>
    <definedName name="wrn.savings." hidden="1">{#N/A,#N/A,FALSE,"FY97P1";#N/A,#N/A,FALSE,"FY97Z312";#N/A,#N/A,FALSE,"FY97LRBC";#N/A,#N/A,FALSE,"FY97O";#N/A,#N/A,FALSE,"FY97DAM"}</definedName>
    <definedName name="wrn.sb._.rpt." localSheetId="10" hidden="1">{#N/A,#N/A,FALSE,"Bldg 75 lean-to T setback";#N/A,#N/A,FALSE,"Bldg 75 hangar T setback";#N/A,#N/A,FALSE,"Bldg 79 lean-to T setback";#N/A,#N/A,FALSE,"Bldg 79 hangar T setback"}</definedName>
    <definedName name="wrn.sb._.rpt." localSheetId="8" hidden="1">{#N/A,#N/A,FALSE,"Bldg 75 lean-to T setback";#N/A,#N/A,FALSE,"Bldg 75 hangar T setback";#N/A,#N/A,FALSE,"Bldg 79 lean-to T setback";#N/A,#N/A,FALSE,"Bldg 79 hangar T setback"}</definedName>
    <definedName name="wrn.sb._.rpt." localSheetId="39" hidden="1">{#N/A,#N/A,FALSE,"Bldg 75 lean-to T setback";#N/A,#N/A,FALSE,"Bldg 75 hangar T setback";#N/A,#N/A,FALSE,"Bldg 79 lean-to T setback";#N/A,#N/A,FALSE,"Bldg 79 hangar T setback"}</definedName>
    <definedName name="wrn.sb._.rpt." localSheetId="37" hidden="1">{#N/A,#N/A,FALSE,"Bldg 75 lean-to T setback";#N/A,#N/A,FALSE,"Bldg 75 hangar T setback";#N/A,#N/A,FALSE,"Bldg 79 lean-to T setback";#N/A,#N/A,FALSE,"Bldg 79 hangar T setback"}</definedName>
    <definedName name="wrn.sb._.rpt." localSheetId="75" hidden="1">{#N/A,#N/A,FALSE,"Bldg 75 lean-to T setback";#N/A,#N/A,FALSE,"Bldg 75 hangar T setback";#N/A,#N/A,FALSE,"Bldg 79 lean-to T setback";#N/A,#N/A,FALSE,"Bldg 79 hangar T setback"}</definedName>
    <definedName name="wrn.sb._.rpt." localSheetId="65" hidden="1">{#N/A,#N/A,FALSE,"Bldg 75 lean-to T setback";#N/A,#N/A,FALSE,"Bldg 75 hangar T setback";#N/A,#N/A,FALSE,"Bldg 79 lean-to T setback";#N/A,#N/A,FALSE,"Bldg 79 hangar T setback"}</definedName>
    <definedName name="wrn.sb._.rpt." localSheetId="27" hidden="1">{#N/A,#N/A,FALSE,"Bldg 75 lean-to T setback";#N/A,#N/A,FALSE,"Bldg 75 hangar T setback";#N/A,#N/A,FALSE,"Bldg 79 lean-to T setback";#N/A,#N/A,FALSE,"Bldg 79 hangar T setback"}</definedName>
    <definedName name="wrn.sb._.rpt." localSheetId="2" hidden="1">{#N/A,#N/A,FALSE,"Bldg 75 lean-to T setback";#N/A,#N/A,FALSE,"Bldg 75 hangar T setback";#N/A,#N/A,FALSE,"Bldg 79 lean-to T setback";#N/A,#N/A,FALSE,"Bldg 79 hangar T setback"}</definedName>
    <definedName name="wrn.sb._.rpt." localSheetId="29" hidden="1">{#N/A,#N/A,FALSE,"Bldg 75 lean-to T setback";#N/A,#N/A,FALSE,"Bldg 75 hangar T setback";#N/A,#N/A,FALSE,"Bldg 79 lean-to T setback";#N/A,#N/A,FALSE,"Bldg 79 hangar T setback"}</definedName>
    <definedName name="wrn.sb._.rpt." localSheetId="78" hidden="1">{#N/A,#N/A,FALSE,"Bldg 75 lean-to T setback";#N/A,#N/A,FALSE,"Bldg 75 hangar T setback";#N/A,#N/A,FALSE,"Bldg 79 lean-to T setback";#N/A,#N/A,FALSE,"Bldg 79 hangar T setback"}</definedName>
    <definedName name="wrn.sb._.rpt." localSheetId="3" hidden="1">{#N/A,#N/A,FALSE,"Bldg 75 lean-to T setback";#N/A,#N/A,FALSE,"Bldg 75 hangar T setback";#N/A,#N/A,FALSE,"Bldg 79 lean-to T setback";#N/A,#N/A,FALSE,"Bldg 79 hangar T setback"}</definedName>
    <definedName name="wrn.sb._.rpt." localSheetId="1" hidden="1">{#N/A,#N/A,FALSE,"Bldg 75 lean-to T setback";#N/A,#N/A,FALSE,"Bldg 75 hangar T setback";#N/A,#N/A,FALSE,"Bldg 79 lean-to T setback";#N/A,#N/A,FALSE,"Bldg 79 hangar T setback"}</definedName>
    <definedName name="wrn.sb._.rpt." hidden="1">{#N/A,#N/A,FALSE,"Bldg 75 lean-to T setback";#N/A,#N/A,FALSE,"Bldg 75 hangar T setback";#N/A,#N/A,FALSE,"Bldg 79 lean-to T setback";#N/A,#N/A,FALSE,"Bldg 79 hangar T setback"}</definedName>
    <definedName name="wrn.SINGPROD." localSheetId="10" hidden="1">{"singcurrent1",#N/A,FALSE,"SING MARG";"SINGCURRENT2",#N/A,FALSE,"SING MARG";"SINGCONSTANT",#N/A,FALSE,"SING MARG"}</definedName>
    <definedName name="wrn.SINGPROD." localSheetId="8" hidden="1">{"singcurrent1",#N/A,FALSE,"SING MARG";"SINGCURRENT2",#N/A,FALSE,"SING MARG";"SINGCONSTANT",#N/A,FALSE,"SING MARG"}</definedName>
    <definedName name="wrn.SINGPROD." localSheetId="39" hidden="1">{"singcurrent1",#N/A,FALSE,"SING MARG";"SINGCURRENT2",#N/A,FALSE,"SING MARG";"SINGCONSTANT",#N/A,FALSE,"SING MARG"}</definedName>
    <definedName name="wrn.SINGPROD." localSheetId="37" hidden="1">{"singcurrent1",#N/A,FALSE,"SING MARG";"SINGCURRENT2",#N/A,FALSE,"SING MARG";"SINGCONSTANT",#N/A,FALSE,"SING MARG"}</definedName>
    <definedName name="wrn.SINGPROD." localSheetId="75" hidden="1">{"singcurrent1",#N/A,FALSE,"SING MARG";"SINGCURRENT2",#N/A,FALSE,"SING MARG";"SINGCONSTANT",#N/A,FALSE,"SING MARG"}</definedName>
    <definedName name="wrn.SINGPROD." localSheetId="65" hidden="1">{"singcurrent1",#N/A,FALSE,"SING MARG";"SINGCURRENT2",#N/A,FALSE,"SING MARG";"SINGCONSTANT",#N/A,FALSE,"SING MARG"}</definedName>
    <definedName name="wrn.SINGPROD." localSheetId="27" hidden="1">{"singcurrent1",#N/A,FALSE,"SING MARG";"SINGCURRENT2",#N/A,FALSE,"SING MARG";"SINGCONSTANT",#N/A,FALSE,"SING MARG"}</definedName>
    <definedName name="wrn.SINGPROD." localSheetId="2" hidden="1">{"singcurrent1",#N/A,FALSE,"SING MARG";"SINGCURRENT2",#N/A,FALSE,"SING MARG";"SINGCONSTANT",#N/A,FALSE,"SING MARG"}</definedName>
    <definedName name="wrn.SINGPROD." localSheetId="29" hidden="1">{"singcurrent1",#N/A,FALSE,"SING MARG";"SINGCURRENT2",#N/A,FALSE,"SING MARG";"SINGCONSTANT",#N/A,FALSE,"SING MARG"}</definedName>
    <definedName name="wrn.SINGPROD." localSheetId="78" hidden="1">{"singcurrent1",#N/A,FALSE,"SING MARG";"SINGCURRENT2",#N/A,FALSE,"SING MARG";"SINGCONSTANT",#N/A,FALSE,"SING MARG"}</definedName>
    <definedName name="wrn.SINGPROD." localSheetId="3" hidden="1">{"singcurrent1",#N/A,FALSE,"SING MARG";"SINGCURRENT2",#N/A,FALSE,"SING MARG";"SINGCONSTANT",#N/A,FALSE,"SING MARG"}</definedName>
    <definedName name="wrn.SINGPROD." localSheetId="1" hidden="1">{"singcurrent1",#N/A,FALSE,"SING MARG";"SINGCURRENT2",#N/A,FALSE,"SING MARG";"SINGCONSTANT",#N/A,FALSE,"SING MARG"}</definedName>
    <definedName name="wrn.SINGPROD." hidden="1">{"singcurrent1",#N/A,FALSE,"SING MARG";"SINGCURRENT2",#N/A,FALSE,"SING MARG";"SINGCONSTANT",#N/A,FALSE,"SING MARG"}</definedName>
    <definedName name="wrn.Stmlks." localSheetId="10" hidden="1">{#N/A,#N/A,TRUE,"Sheet1";#N/A,#N/A,TRUE,"Sheet2 (2)"}</definedName>
    <definedName name="wrn.Stmlks." localSheetId="8" hidden="1">{#N/A,#N/A,TRUE,"Sheet1";#N/A,#N/A,TRUE,"Sheet2 (2)"}</definedName>
    <definedName name="wrn.Stmlks." localSheetId="39" hidden="1">{#N/A,#N/A,TRUE,"Sheet1";#N/A,#N/A,TRUE,"Sheet2 (2)"}</definedName>
    <definedName name="wrn.Stmlks." localSheetId="37" hidden="1">{#N/A,#N/A,TRUE,"Sheet1";#N/A,#N/A,TRUE,"Sheet2 (2)"}</definedName>
    <definedName name="wrn.Stmlks." localSheetId="75" hidden="1">{#N/A,#N/A,TRUE,"Sheet1";#N/A,#N/A,TRUE,"Sheet2 (2)"}</definedName>
    <definedName name="wrn.Stmlks." localSheetId="65" hidden="1">{#N/A,#N/A,TRUE,"Sheet1";#N/A,#N/A,TRUE,"Sheet2 (2)"}</definedName>
    <definedName name="wrn.Stmlks." localSheetId="27" hidden="1">{#N/A,#N/A,TRUE,"Sheet1";#N/A,#N/A,TRUE,"Sheet2 (2)"}</definedName>
    <definedName name="wrn.Stmlks." localSheetId="2" hidden="1">{#N/A,#N/A,TRUE,"Sheet1";#N/A,#N/A,TRUE,"Sheet2 (2)"}</definedName>
    <definedName name="wrn.Stmlks." localSheetId="29" hidden="1">{#N/A,#N/A,TRUE,"Sheet1";#N/A,#N/A,TRUE,"Sheet2 (2)"}</definedName>
    <definedName name="wrn.Stmlks." localSheetId="78" hidden="1">{#N/A,#N/A,TRUE,"Sheet1";#N/A,#N/A,TRUE,"Sheet2 (2)"}</definedName>
    <definedName name="wrn.Stmlks." localSheetId="3" hidden="1">{#N/A,#N/A,TRUE,"Sheet1";#N/A,#N/A,TRUE,"Sheet2 (2)"}</definedName>
    <definedName name="wrn.Stmlks." localSheetId="1" hidden="1">{#N/A,#N/A,TRUE,"Sheet1";#N/A,#N/A,TRUE,"Sheet2 (2)"}</definedName>
    <definedName name="wrn.Stmlks." hidden="1">{#N/A,#N/A,TRUE,"Sheet1";#N/A,#N/A,TRUE,"Sheet2 (2)"}</definedName>
    <definedName name="wrn.tableeurlpg." localSheetId="10" hidden="1">{"eurlpg1",#N/A,FALSE,"europe LPG";"eurlpg2",#N/A,FALSE,"europe LPG"}</definedName>
    <definedName name="wrn.tableeurlpg." localSheetId="8" hidden="1">{"eurlpg1",#N/A,FALSE,"europe LPG";"eurlpg2",#N/A,FALSE,"europe LPG"}</definedName>
    <definedName name="wrn.tableeurlpg." localSheetId="39" hidden="1">{"eurlpg1",#N/A,FALSE,"europe LPG";"eurlpg2",#N/A,FALSE,"europe LPG"}</definedName>
    <definedName name="wrn.tableeurlpg." localSheetId="37" hidden="1">{"eurlpg1",#N/A,FALSE,"europe LPG";"eurlpg2",#N/A,FALSE,"europe LPG"}</definedName>
    <definedName name="wrn.tableeurlpg." localSheetId="75" hidden="1">{"eurlpg1",#N/A,FALSE,"europe LPG";"eurlpg2",#N/A,FALSE,"europe LPG"}</definedName>
    <definedName name="wrn.tableeurlpg." localSheetId="65" hidden="1">{"eurlpg1",#N/A,FALSE,"europe LPG";"eurlpg2",#N/A,FALSE,"europe LPG"}</definedName>
    <definedName name="wrn.tableeurlpg." localSheetId="27" hidden="1">{"eurlpg1",#N/A,FALSE,"europe LPG";"eurlpg2",#N/A,FALSE,"europe LPG"}</definedName>
    <definedName name="wrn.tableeurlpg." localSheetId="2" hidden="1">{"eurlpg1",#N/A,FALSE,"europe LPG";"eurlpg2",#N/A,FALSE,"europe LPG"}</definedName>
    <definedName name="wrn.tableeurlpg." localSheetId="29" hidden="1">{"eurlpg1",#N/A,FALSE,"europe LPG";"eurlpg2",#N/A,FALSE,"europe LPG"}</definedName>
    <definedName name="wrn.tableeurlpg." localSheetId="78" hidden="1">{"eurlpg1",#N/A,FALSE,"europe LPG";"eurlpg2",#N/A,FALSE,"europe LPG"}</definedName>
    <definedName name="wrn.tableeurlpg." localSheetId="3" hidden="1">{"eurlpg1",#N/A,FALSE,"europe LPG";"eurlpg2",#N/A,FALSE,"europe LPG"}</definedName>
    <definedName name="wrn.tableeurlpg." localSheetId="1" hidden="1">{"eurlpg1",#N/A,FALSE,"europe LPG";"eurlpg2",#N/A,FALSE,"europe LPG"}</definedName>
    <definedName name="wrn.tableeurlpg." hidden="1">{"eurlpg1",#N/A,FALSE,"europe LPG";"eurlpg2",#N/A,FALSE,"europe LPG"}</definedName>
    <definedName name="wrn.tablejap." localSheetId="10" hidden="1">{"japcurrent1",#N/A,FALSE,"JAPAN PRODUCTS";"japcurrent2",#N/A,FALSE,"JAPAN PRODUCTS"}</definedName>
    <definedName name="wrn.tablejap." localSheetId="8" hidden="1">{"japcurrent1",#N/A,FALSE,"JAPAN PRODUCTS";"japcurrent2",#N/A,FALSE,"JAPAN PRODUCTS"}</definedName>
    <definedName name="wrn.tablejap." localSheetId="39" hidden="1">{"japcurrent1",#N/A,FALSE,"JAPAN PRODUCTS";"japcurrent2",#N/A,FALSE,"JAPAN PRODUCTS"}</definedName>
    <definedName name="wrn.tablejap." localSheetId="37" hidden="1">{"japcurrent1",#N/A,FALSE,"JAPAN PRODUCTS";"japcurrent2",#N/A,FALSE,"JAPAN PRODUCTS"}</definedName>
    <definedName name="wrn.tablejap." localSheetId="75" hidden="1">{"japcurrent1",#N/A,FALSE,"JAPAN PRODUCTS";"japcurrent2",#N/A,FALSE,"JAPAN PRODUCTS"}</definedName>
    <definedName name="wrn.tablejap." localSheetId="65" hidden="1">{"japcurrent1",#N/A,FALSE,"JAPAN PRODUCTS";"japcurrent2",#N/A,FALSE,"JAPAN PRODUCTS"}</definedName>
    <definedName name="wrn.tablejap." localSheetId="27" hidden="1">{"japcurrent1",#N/A,FALSE,"JAPAN PRODUCTS";"japcurrent2",#N/A,FALSE,"JAPAN PRODUCTS"}</definedName>
    <definedName name="wrn.tablejap." localSheetId="2" hidden="1">{"japcurrent1",#N/A,FALSE,"JAPAN PRODUCTS";"japcurrent2",#N/A,FALSE,"JAPAN PRODUCTS"}</definedName>
    <definedName name="wrn.tablejap." localSheetId="29" hidden="1">{"japcurrent1",#N/A,FALSE,"JAPAN PRODUCTS";"japcurrent2",#N/A,FALSE,"JAPAN PRODUCTS"}</definedName>
    <definedName name="wrn.tablejap." localSheetId="78" hidden="1">{"japcurrent1",#N/A,FALSE,"JAPAN PRODUCTS";"japcurrent2",#N/A,FALSE,"JAPAN PRODUCTS"}</definedName>
    <definedName name="wrn.tablejap." localSheetId="3" hidden="1">{"japcurrent1",#N/A,FALSE,"JAPAN PRODUCTS";"japcurrent2",#N/A,FALSE,"JAPAN PRODUCTS"}</definedName>
    <definedName name="wrn.tablejap." localSheetId="1" hidden="1">{"japcurrent1",#N/A,FALSE,"JAPAN PRODUCTS";"japcurrent2",#N/A,FALSE,"JAPAN PRODUCTS"}</definedName>
    <definedName name="wrn.tablejap." hidden="1">{"japcurrent1",#N/A,FALSE,"JAPAN PRODUCTS";"japcurrent2",#N/A,FALSE,"JAPAN PRODUCTS"}</definedName>
    <definedName name="wrn.tablejaplpg." localSheetId="10" hidden="1">{"japlpg1",#N/A,FALSE,"JAPAN LPG ";"japllpg2",#N/A,FALSE,"JAPAN LPG "}</definedName>
    <definedName name="wrn.tablejaplpg." localSheetId="8" hidden="1">{"japlpg1",#N/A,FALSE,"JAPAN LPG ";"japllpg2",#N/A,FALSE,"JAPAN LPG "}</definedName>
    <definedName name="wrn.tablejaplpg." localSheetId="39" hidden="1">{"japlpg1",#N/A,FALSE,"JAPAN LPG ";"japllpg2",#N/A,FALSE,"JAPAN LPG "}</definedName>
    <definedName name="wrn.tablejaplpg." localSheetId="37" hidden="1">{"japlpg1",#N/A,FALSE,"JAPAN LPG ";"japllpg2",#N/A,FALSE,"JAPAN LPG "}</definedName>
    <definedName name="wrn.tablejaplpg." localSheetId="75" hidden="1">{"japlpg1",#N/A,FALSE,"JAPAN LPG ";"japllpg2",#N/A,FALSE,"JAPAN LPG "}</definedName>
    <definedName name="wrn.tablejaplpg." localSheetId="65" hidden="1">{"japlpg1",#N/A,FALSE,"JAPAN LPG ";"japllpg2",#N/A,FALSE,"JAPAN LPG "}</definedName>
    <definedName name="wrn.tablejaplpg." localSheetId="27" hidden="1">{"japlpg1",#N/A,FALSE,"JAPAN LPG ";"japllpg2",#N/A,FALSE,"JAPAN LPG "}</definedName>
    <definedName name="wrn.tablejaplpg." localSheetId="2" hidden="1">{"japlpg1",#N/A,FALSE,"JAPAN LPG ";"japllpg2",#N/A,FALSE,"JAPAN LPG "}</definedName>
    <definedName name="wrn.tablejaplpg." localSheetId="29" hidden="1">{"japlpg1",#N/A,FALSE,"JAPAN LPG ";"japllpg2",#N/A,FALSE,"JAPAN LPG "}</definedName>
    <definedName name="wrn.tablejaplpg." localSheetId="78" hidden="1">{"japlpg1",#N/A,FALSE,"JAPAN LPG ";"japllpg2",#N/A,FALSE,"JAPAN LPG "}</definedName>
    <definedName name="wrn.tablejaplpg." localSheetId="3" hidden="1">{"japlpg1",#N/A,FALSE,"JAPAN LPG ";"japllpg2",#N/A,FALSE,"JAPAN LPG "}</definedName>
    <definedName name="wrn.tablejaplpg." localSheetId="1" hidden="1">{"japlpg1",#N/A,FALSE,"JAPAN LPG ";"japllpg2",#N/A,FALSE,"JAPAN LPG "}</definedName>
    <definedName name="wrn.tablejaplpg." hidden="1">{"japlpg1",#N/A,FALSE,"JAPAN LPG ";"japllpg2",#N/A,FALSE,"JAPAN LPG "}</definedName>
    <definedName name="wrn.tablemeastlpg." localSheetId="10" hidden="1">{"midlpg1",#N/A,FALSE,"MIDEAST LPG";"midlpg2",#N/A,FALSE,"MIDEAST LPG"}</definedName>
    <definedName name="wrn.tablemeastlpg." localSheetId="8" hidden="1">{"midlpg1",#N/A,FALSE,"MIDEAST LPG";"midlpg2",#N/A,FALSE,"MIDEAST LPG"}</definedName>
    <definedName name="wrn.tablemeastlpg." localSheetId="39" hidden="1">{"midlpg1",#N/A,FALSE,"MIDEAST LPG";"midlpg2",#N/A,FALSE,"MIDEAST LPG"}</definedName>
    <definedName name="wrn.tablemeastlpg." localSheetId="37" hidden="1">{"midlpg1",#N/A,FALSE,"MIDEAST LPG";"midlpg2",#N/A,FALSE,"MIDEAST LPG"}</definedName>
    <definedName name="wrn.tablemeastlpg." localSheetId="75" hidden="1">{"midlpg1",#N/A,FALSE,"MIDEAST LPG";"midlpg2",#N/A,FALSE,"MIDEAST LPG"}</definedName>
    <definedName name="wrn.tablemeastlpg." localSheetId="65" hidden="1">{"midlpg1",#N/A,FALSE,"MIDEAST LPG";"midlpg2",#N/A,FALSE,"MIDEAST LPG"}</definedName>
    <definedName name="wrn.tablemeastlpg." localSheetId="27" hidden="1">{"midlpg1",#N/A,FALSE,"MIDEAST LPG";"midlpg2",#N/A,FALSE,"MIDEAST LPG"}</definedName>
    <definedName name="wrn.tablemeastlpg." localSheetId="2" hidden="1">{"midlpg1",#N/A,FALSE,"MIDEAST LPG";"midlpg2",#N/A,FALSE,"MIDEAST LPG"}</definedName>
    <definedName name="wrn.tablemeastlpg." localSheetId="29" hidden="1">{"midlpg1",#N/A,FALSE,"MIDEAST LPG";"midlpg2",#N/A,FALSE,"MIDEAST LPG"}</definedName>
    <definedName name="wrn.tablemeastlpg." localSheetId="78" hidden="1">{"midlpg1",#N/A,FALSE,"MIDEAST LPG";"midlpg2",#N/A,FALSE,"MIDEAST LPG"}</definedName>
    <definedName name="wrn.tablemeastlpg." localSheetId="3" hidden="1">{"midlpg1",#N/A,FALSE,"MIDEAST LPG";"midlpg2",#N/A,FALSE,"MIDEAST LPG"}</definedName>
    <definedName name="wrn.tablemeastlpg." localSheetId="1" hidden="1">{"midlpg1",#N/A,FALSE,"MIDEAST LPG";"midlpg2",#N/A,FALSE,"MIDEAST LPG"}</definedName>
    <definedName name="wrn.tablemeastlpg." hidden="1">{"midlpg1",#N/A,FALSE,"MIDEAST LPG";"midlpg2",#N/A,FALSE,"MIDEAST LPG"}</definedName>
    <definedName name="wrn.TABLEMED." localSheetId="10" hidden="1">{"medcurrent1",#N/A,FALSE,"MED MARGINS";"medcurrent2",#N/A,FALSE,"MED MARGINS";"medconstant",#N/A,FALSE,"MED MARGINS"}</definedName>
    <definedName name="wrn.TABLEMED." localSheetId="8" hidden="1">{"medcurrent1",#N/A,FALSE,"MED MARGINS";"medcurrent2",#N/A,FALSE,"MED MARGINS";"medconstant",#N/A,FALSE,"MED MARGINS"}</definedName>
    <definedName name="wrn.TABLEMED." localSheetId="39" hidden="1">{"medcurrent1",#N/A,FALSE,"MED MARGINS";"medcurrent2",#N/A,FALSE,"MED MARGINS";"medconstant",#N/A,FALSE,"MED MARGINS"}</definedName>
    <definedName name="wrn.TABLEMED." localSheetId="37" hidden="1">{"medcurrent1",#N/A,FALSE,"MED MARGINS";"medcurrent2",#N/A,FALSE,"MED MARGINS";"medconstant",#N/A,FALSE,"MED MARGINS"}</definedName>
    <definedName name="wrn.TABLEMED." localSheetId="75" hidden="1">{"medcurrent1",#N/A,FALSE,"MED MARGINS";"medcurrent2",#N/A,FALSE,"MED MARGINS";"medconstant",#N/A,FALSE,"MED MARGINS"}</definedName>
    <definedName name="wrn.TABLEMED." localSheetId="65" hidden="1">{"medcurrent1",#N/A,FALSE,"MED MARGINS";"medcurrent2",#N/A,FALSE,"MED MARGINS";"medconstant",#N/A,FALSE,"MED MARGINS"}</definedName>
    <definedName name="wrn.TABLEMED." localSheetId="27" hidden="1">{"medcurrent1",#N/A,FALSE,"MED MARGINS";"medcurrent2",#N/A,FALSE,"MED MARGINS";"medconstant",#N/A,FALSE,"MED MARGINS"}</definedName>
    <definedName name="wrn.TABLEMED." localSheetId="2" hidden="1">{"medcurrent1",#N/A,FALSE,"MED MARGINS";"medcurrent2",#N/A,FALSE,"MED MARGINS";"medconstant",#N/A,FALSE,"MED MARGINS"}</definedName>
    <definedName name="wrn.TABLEMED." localSheetId="29" hidden="1">{"medcurrent1",#N/A,FALSE,"MED MARGINS";"medcurrent2",#N/A,FALSE,"MED MARGINS";"medconstant",#N/A,FALSE,"MED MARGINS"}</definedName>
    <definedName name="wrn.TABLEMED." localSheetId="78" hidden="1">{"medcurrent1",#N/A,FALSE,"MED MARGINS";"medcurrent2",#N/A,FALSE,"MED MARGINS";"medconstant",#N/A,FALSE,"MED MARGINS"}</definedName>
    <definedName name="wrn.TABLEMED." localSheetId="3" hidden="1">{"medcurrent1",#N/A,FALSE,"MED MARGINS";"medcurrent2",#N/A,FALSE,"MED MARGINS";"medconstant",#N/A,FALSE,"MED MARGINS"}</definedName>
    <definedName name="wrn.TABLEMED." localSheetId="1" hidden="1">{"medcurrent1",#N/A,FALSE,"MED MARGINS";"medcurrent2",#N/A,FALSE,"MED MARGINS";"medconstant",#N/A,FALSE,"MED MARGINS"}</definedName>
    <definedName name="wrn.TABLEMED." hidden="1">{"medcurrent1",#N/A,FALSE,"MED MARGINS";"medcurrent2",#N/A,FALSE,"MED MARGINS";"medconstant",#N/A,FALSE,"MED MARGINS"}</definedName>
    <definedName name="wrn.tablemideast." localSheetId="10" hidden="1">{"midcurrent1",#N/A,FALSE,"ARAB GULF PRODUCTS";"midcurrent2",#N/A,FALSE,"ARAB GULF PRODUCTS"}</definedName>
    <definedName name="wrn.tablemideast." localSheetId="8" hidden="1">{"midcurrent1",#N/A,FALSE,"ARAB GULF PRODUCTS";"midcurrent2",#N/A,FALSE,"ARAB GULF PRODUCTS"}</definedName>
    <definedName name="wrn.tablemideast." localSheetId="39" hidden="1">{"midcurrent1",#N/A,FALSE,"ARAB GULF PRODUCTS";"midcurrent2",#N/A,FALSE,"ARAB GULF PRODUCTS"}</definedName>
    <definedName name="wrn.tablemideast." localSheetId="37" hidden="1">{"midcurrent1",#N/A,FALSE,"ARAB GULF PRODUCTS";"midcurrent2",#N/A,FALSE,"ARAB GULF PRODUCTS"}</definedName>
    <definedName name="wrn.tablemideast." localSheetId="75" hidden="1">{"midcurrent1",#N/A,FALSE,"ARAB GULF PRODUCTS";"midcurrent2",#N/A,FALSE,"ARAB GULF PRODUCTS"}</definedName>
    <definedName name="wrn.tablemideast." localSheetId="65" hidden="1">{"midcurrent1",#N/A,FALSE,"ARAB GULF PRODUCTS";"midcurrent2",#N/A,FALSE,"ARAB GULF PRODUCTS"}</definedName>
    <definedName name="wrn.tablemideast." localSheetId="27" hidden="1">{"midcurrent1",#N/A,FALSE,"ARAB GULF PRODUCTS";"midcurrent2",#N/A,FALSE,"ARAB GULF PRODUCTS"}</definedName>
    <definedName name="wrn.tablemideast." localSheetId="2" hidden="1">{"midcurrent1",#N/A,FALSE,"ARAB GULF PRODUCTS";"midcurrent2",#N/A,FALSE,"ARAB GULF PRODUCTS"}</definedName>
    <definedName name="wrn.tablemideast." localSheetId="29" hidden="1">{"midcurrent1",#N/A,FALSE,"ARAB GULF PRODUCTS";"midcurrent2",#N/A,FALSE,"ARAB GULF PRODUCTS"}</definedName>
    <definedName name="wrn.tablemideast." localSheetId="78" hidden="1">{"midcurrent1",#N/A,FALSE,"ARAB GULF PRODUCTS";"midcurrent2",#N/A,FALSE,"ARAB GULF PRODUCTS"}</definedName>
    <definedName name="wrn.tablemideast." localSheetId="3" hidden="1">{"midcurrent1",#N/A,FALSE,"ARAB GULF PRODUCTS";"midcurrent2",#N/A,FALSE,"ARAB GULF PRODUCTS"}</definedName>
    <definedName name="wrn.tablemideast." localSheetId="1" hidden="1">{"midcurrent1",#N/A,FALSE,"ARAB GULF PRODUCTS";"midcurrent2",#N/A,FALSE,"ARAB GULF PRODUCTS"}</definedName>
    <definedName name="wrn.tablemideast." hidden="1">{"midcurrent1",#N/A,FALSE,"ARAB GULF PRODUCTS";"midcurrent2",#N/A,FALSE,"ARAB GULF PRODUCTS"}</definedName>
    <definedName name="wrn.tablengl." localSheetId="10" hidden="1">{"ngl1",#N/A,FALSE,"u.s. NGL";"ngl2",#N/A,FALSE,"u.s. NGL"}</definedName>
    <definedName name="wrn.tablengl." localSheetId="8" hidden="1">{"ngl1",#N/A,FALSE,"u.s. NGL";"ngl2",#N/A,FALSE,"u.s. NGL"}</definedName>
    <definedName name="wrn.tablengl." localSheetId="39" hidden="1">{"ngl1",#N/A,FALSE,"u.s. NGL";"ngl2",#N/A,FALSE,"u.s. NGL"}</definedName>
    <definedName name="wrn.tablengl." localSheetId="37" hidden="1">{"ngl1",#N/A,FALSE,"u.s. NGL";"ngl2",#N/A,FALSE,"u.s. NGL"}</definedName>
    <definedName name="wrn.tablengl." localSheetId="75" hidden="1">{"ngl1",#N/A,FALSE,"u.s. NGL";"ngl2",#N/A,FALSE,"u.s. NGL"}</definedName>
    <definedName name="wrn.tablengl." localSheetId="65" hidden="1">{"ngl1",#N/A,FALSE,"u.s. NGL";"ngl2",#N/A,FALSE,"u.s. NGL"}</definedName>
    <definedName name="wrn.tablengl." localSheetId="27" hidden="1">{"ngl1",#N/A,FALSE,"u.s. NGL";"ngl2",#N/A,FALSE,"u.s. NGL"}</definedName>
    <definedName name="wrn.tablengl." localSheetId="2" hidden="1">{"ngl1",#N/A,FALSE,"u.s. NGL";"ngl2",#N/A,FALSE,"u.s. NGL"}</definedName>
    <definedName name="wrn.tablengl." localSheetId="29" hidden="1">{"ngl1",#N/A,FALSE,"u.s. NGL";"ngl2",#N/A,FALSE,"u.s. NGL"}</definedName>
    <definedName name="wrn.tablengl." localSheetId="78" hidden="1">{"ngl1",#N/A,FALSE,"u.s. NGL";"ngl2",#N/A,FALSE,"u.s. NGL"}</definedName>
    <definedName name="wrn.tablengl." localSheetId="3" hidden="1">{"ngl1",#N/A,FALSE,"u.s. NGL";"ngl2",#N/A,FALSE,"u.s. NGL"}</definedName>
    <definedName name="wrn.tablengl." localSheetId="1" hidden="1">{"ngl1",#N/A,FALSE,"u.s. NGL";"ngl2",#N/A,FALSE,"u.s. NGL"}</definedName>
    <definedName name="wrn.tablengl." hidden="1">{"ngl1",#N/A,FALSE,"u.s. NGL";"ngl2",#N/A,FALSE,"u.s. NGL"}</definedName>
    <definedName name="wrn.TABLENWE." localSheetId="10" hidden="1">{"nwecurrent1",#N/A,FALSE,"NWE MARGINS";"nwecurrent2",#N/A,FALSE,"NWE MARGINS";"nweconstant",#N/A,FALSE,"NWE MARGINS"}</definedName>
    <definedName name="wrn.TABLENWE." localSheetId="8" hidden="1">{"nwecurrent1",#N/A,FALSE,"NWE MARGINS";"nwecurrent2",#N/A,FALSE,"NWE MARGINS";"nweconstant",#N/A,FALSE,"NWE MARGINS"}</definedName>
    <definedName name="wrn.TABLENWE." localSheetId="39" hidden="1">{"nwecurrent1",#N/A,FALSE,"NWE MARGINS";"nwecurrent2",#N/A,FALSE,"NWE MARGINS";"nweconstant",#N/A,FALSE,"NWE MARGINS"}</definedName>
    <definedName name="wrn.TABLENWE." localSheetId="37" hidden="1">{"nwecurrent1",#N/A,FALSE,"NWE MARGINS";"nwecurrent2",#N/A,FALSE,"NWE MARGINS";"nweconstant",#N/A,FALSE,"NWE MARGINS"}</definedName>
    <definedName name="wrn.TABLENWE." localSheetId="75" hidden="1">{"nwecurrent1",#N/A,FALSE,"NWE MARGINS";"nwecurrent2",#N/A,FALSE,"NWE MARGINS";"nweconstant",#N/A,FALSE,"NWE MARGINS"}</definedName>
    <definedName name="wrn.TABLENWE." localSheetId="65" hidden="1">{"nwecurrent1",#N/A,FALSE,"NWE MARGINS";"nwecurrent2",#N/A,FALSE,"NWE MARGINS";"nweconstant",#N/A,FALSE,"NWE MARGINS"}</definedName>
    <definedName name="wrn.TABLENWE." localSheetId="27" hidden="1">{"nwecurrent1",#N/A,FALSE,"NWE MARGINS";"nwecurrent2",#N/A,FALSE,"NWE MARGINS";"nweconstant",#N/A,FALSE,"NWE MARGINS"}</definedName>
    <definedName name="wrn.TABLENWE." localSheetId="2" hidden="1">{"nwecurrent1",#N/A,FALSE,"NWE MARGINS";"nwecurrent2",#N/A,FALSE,"NWE MARGINS";"nweconstant",#N/A,FALSE,"NWE MARGINS"}</definedName>
    <definedName name="wrn.TABLENWE." localSheetId="29" hidden="1">{"nwecurrent1",#N/A,FALSE,"NWE MARGINS";"nwecurrent2",#N/A,FALSE,"NWE MARGINS";"nweconstant",#N/A,FALSE,"NWE MARGINS"}</definedName>
    <definedName name="wrn.TABLENWE." localSheetId="78" hidden="1">{"nwecurrent1",#N/A,FALSE,"NWE MARGINS";"nwecurrent2",#N/A,FALSE,"NWE MARGINS";"nweconstant",#N/A,FALSE,"NWE MARGINS"}</definedName>
    <definedName name="wrn.TABLENWE." localSheetId="3" hidden="1">{"nwecurrent1",#N/A,FALSE,"NWE MARGINS";"nwecurrent2",#N/A,FALSE,"NWE MARGINS";"nweconstant",#N/A,FALSE,"NWE MARGINS"}</definedName>
    <definedName name="wrn.TABLENWE." localSheetId="1" hidden="1">{"nwecurrent1",#N/A,FALSE,"NWE MARGINS";"nwecurrent2",#N/A,FALSE,"NWE MARGINS";"nweconstant",#N/A,FALSE,"NWE MARGINS"}</definedName>
    <definedName name="wrn.TABLENWE." hidden="1">{"nwecurrent1",#N/A,FALSE,"NWE MARGINS";"nwecurrent2",#N/A,FALSE,"NWE MARGINS";"nweconstant",#N/A,FALSE,"NWE MARGINS"}</definedName>
    <definedName name="wrn.tableprod." localSheetId="10" hidden="1">{"current1",#N/A,FALSE,"US PRODUCTS";"current2",#N/A,FALSE,"US PRODUCTS";"constant",#N/A,FALSE,"US PRODUCTS"}</definedName>
    <definedName name="wrn.tableprod." localSheetId="8" hidden="1">{"current1",#N/A,FALSE,"US PRODUCTS";"current2",#N/A,FALSE,"US PRODUCTS";"constant",#N/A,FALSE,"US PRODUCTS"}</definedName>
    <definedName name="wrn.tableprod." localSheetId="39" hidden="1">{"current1",#N/A,FALSE,"US PRODUCTS";"current2",#N/A,FALSE,"US PRODUCTS";"constant",#N/A,FALSE,"US PRODUCTS"}</definedName>
    <definedName name="wrn.tableprod." localSheetId="37" hidden="1">{"current1",#N/A,FALSE,"US PRODUCTS";"current2",#N/A,FALSE,"US PRODUCTS";"constant",#N/A,FALSE,"US PRODUCTS"}</definedName>
    <definedName name="wrn.tableprod." localSheetId="75" hidden="1">{"current1",#N/A,FALSE,"US PRODUCTS";"current2",#N/A,FALSE,"US PRODUCTS";"constant",#N/A,FALSE,"US PRODUCTS"}</definedName>
    <definedName name="wrn.tableprod." localSheetId="65" hidden="1">{"current1",#N/A,FALSE,"US PRODUCTS";"current2",#N/A,FALSE,"US PRODUCTS";"constant",#N/A,FALSE,"US PRODUCTS"}</definedName>
    <definedName name="wrn.tableprod." localSheetId="27" hidden="1">{"current1",#N/A,FALSE,"US PRODUCTS";"current2",#N/A,FALSE,"US PRODUCTS";"constant",#N/A,FALSE,"US PRODUCTS"}</definedName>
    <definedName name="wrn.tableprod." localSheetId="2" hidden="1">{"current1",#N/A,FALSE,"US PRODUCTS";"current2",#N/A,FALSE,"US PRODUCTS";"constant",#N/A,FALSE,"US PRODUCTS"}</definedName>
    <definedName name="wrn.tableprod." localSheetId="29" hidden="1">{"current1",#N/A,FALSE,"US PRODUCTS";"current2",#N/A,FALSE,"US PRODUCTS";"constant",#N/A,FALSE,"US PRODUCTS"}</definedName>
    <definedName name="wrn.tableprod." localSheetId="78" hidden="1">{"current1",#N/A,FALSE,"US PRODUCTS";"current2",#N/A,FALSE,"US PRODUCTS";"constant",#N/A,FALSE,"US PRODUCTS"}</definedName>
    <definedName name="wrn.tableprod." localSheetId="3" hidden="1">{"current1",#N/A,FALSE,"US PRODUCTS";"current2",#N/A,FALSE,"US PRODUCTS";"constant",#N/A,FALSE,"US PRODUCTS"}</definedName>
    <definedName name="wrn.tableprod." localSheetId="1" hidden="1">{"current1",#N/A,FALSE,"US PRODUCTS";"current2",#N/A,FALSE,"US PRODUCTS";"constant",#N/A,FALSE,"US PRODUCTS"}</definedName>
    <definedName name="wrn.tableprod." hidden="1">{"current1",#N/A,FALSE,"US PRODUCTS";"current2",#N/A,FALSE,"US PRODUCTS";"constant",#N/A,FALSE,"US PRODUCTS"}</definedName>
    <definedName name="wrn.total." localSheetId="10" hidden="1">{#N/A,#N/A,FALSE,"Summary";#N/A,#N/A,FALSE,"Berkeley";#N/A,#N/A,FALSE,"HS";#N/A,#N/A,FALSE,"Brookside";#N/A,#N/A,FALSE,"George";#N/A,#N/A,FALSE,"Ketler";#N/A,#N/A,FALSE,"Washington"}</definedName>
    <definedName name="wrn.total." localSheetId="8" hidden="1">{#N/A,#N/A,FALSE,"Summary";#N/A,#N/A,FALSE,"Berkeley";#N/A,#N/A,FALSE,"HS";#N/A,#N/A,FALSE,"Brookside";#N/A,#N/A,FALSE,"George";#N/A,#N/A,FALSE,"Ketler";#N/A,#N/A,FALSE,"Washington"}</definedName>
    <definedName name="wrn.total." localSheetId="39" hidden="1">{#N/A,#N/A,FALSE,"Summary";#N/A,#N/A,FALSE,"Berkeley";#N/A,#N/A,FALSE,"HS";#N/A,#N/A,FALSE,"Brookside";#N/A,#N/A,FALSE,"George";#N/A,#N/A,FALSE,"Ketler";#N/A,#N/A,FALSE,"Washington"}</definedName>
    <definedName name="wrn.total." localSheetId="37" hidden="1">{#N/A,#N/A,FALSE,"Summary";#N/A,#N/A,FALSE,"Berkeley";#N/A,#N/A,FALSE,"HS";#N/A,#N/A,FALSE,"Brookside";#N/A,#N/A,FALSE,"George";#N/A,#N/A,FALSE,"Ketler";#N/A,#N/A,FALSE,"Washington"}</definedName>
    <definedName name="wrn.total." localSheetId="75" hidden="1">{#N/A,#N/A,FALSE,"Summary";#N/A,#N/A,FALSE,"Berkeley";#N/A,#N/A,FALSE,"HS";#N/A,#N/A,FALSE,"Brookside";#N/A,#N/A,FALSE,"George";#N/A,#N/A,FALSE,"Ketler";#N/A,#N/A,FALSE,"Washington"}</definedName>
    <definedName name="wrn.total." localSheetId="65" hidden="1">{#N/A,#N/A,FALSE,"Summary";#N/A,#N/A,FALSE,"Berkeley";#N/A,#N/A,FALSE,"HS";#N/A,#N/A,FALSE,"Brookside";#N/A,#N/A,FALSE,"George";#N/A,#N/A,FALSE,"Ketler";#N/A,#N/A,FALSE,"Washington"}</definedName>
    <definedName name="wrn.total." localSheetId="27" hidden="1">{#N/A,#N/A,FALSE,"Summary";#N/A,#N/A,FALSE,"Berkeley";#N/A,#N/A,FALSE,"HS";#N/A,#N/A,FALSE,"Brookside";#N/A,#N/A,FALSE,"George";#N/A,#N/A,FALSE,"Ketler";#N/A,#N/A,FALSE,"Washington"}</definedName>
    <definedName name="wrn.total." localSheetId="2" hidden="1">{#N/A,#N/A,FALSE,"Summary";#N/A,#N/A,FALSE,"Berkeley";#N/A,#N/A,FALSE,"HS";#N/A,#N/A,FALSE,"Brookside";#N/A,#N/A,FALSE,"George";#N/A,#N/A,FALSE,"Ketler";#N/A,#N/A,FALSE,"Washington"}</definedName>
    <definedName name="wrn.total." localSheetId="29" hidden="1">{#N/A,#N/A,FALSE,"Summary";#N/A,#N/A,FALSE,"Berkeley";#N/A,#N/A,FALSE,"HS";#N/A,#N/A,FALSE,"Brookside";#N/A,#N/A,FALSE,"George";#N/A,#N/A,FALSE,"Ketler";#N/A,#N/A,FALSE,"Washington"}</definedName>
    <definedName name="wrn.total." localSheetId="78" hidden="1">{#N/A,#N/A,FALSE,"Summary";#N/A,#N/A,FALSE,"Berkeley";#N/A,#N/A,FALSE,"HS";#N/A,#N/A,FALSE,"Brookside";#N/A,#N/A,FALSE,"George";#N/A,#N/A,FALSE,"Ketler";#N/A,#N/A,FALSE,"Washington"}</definedName>
    <definedName name="wrn.total." localSheetId="3" hidden="1">{#N/A,#N/A,FALSE,"Summary";#N/A,#N/A,FALSE,"Berkeley";#N/A,#N/A,FALSE,"HS";#N/A,#N/A,FALSE,"Brookside";#N/A,#N/A,FALSE,"George";#N/A,#N/A,FALSE,"Ketler";#N/A,#N/A,FALSE,"Washington"}</definedName>
    <definedName name="wrn.total." localSheetId="1" hidden="1">{#N/A,#N/A,FALSE,"Summary";#N/A,#N/A,FALSE,"Berkeley";#N/A,#N/A,FALSE,"HS";#N/A,#N/A,FALSE,"Brookside";#N/A,#N/A,FALSE,"George";#N/A,#N/A,FALSE,"Ketler";#N/A,#N/A,FALSE,"Washington"}</definedName>
    <definedName name="wrn.total." hidden="1">{#N/A,#N/A,FALSE,"Summary";#N/A,#N/A,FALSE,"Berkeley";#N/A,#N/A,FALSE,"HS";#N/A,#N/A,FALSE,"Brookside";#N/A,#N/A,FALSE,"George";#N/A,#N/A,FALSE,"Ketler";#N/A,#N/A,FALSE,"Washington"}</definedName>
    <definedName name="wrn.ttl" localSheetId="10" hidden="1">{#N/A,#N/A,FALSE,"Summary";#N/A,#N/A,FALSE,"Berkeley";#N/A,#N/A,FALSE,"HS";#N/A,#N/A,FALSE,"Brookside";#N/A,#N/A,FALSE,"George";#N/A,#N/A,FALSE,"Ketler";#N/A,#N/A,FALSE,"Washington"}</definedName>
    <definedName name="wrn.ttl" localSheetId="8" hidden="1">{#N/A,#N/A,FALSE,"Summary";#N/A,#N/A,FALSE,"Berkeley";#N/A,#N/A,FALSE,"HS";#N/A,#N/A,FALSE,"Brookside";#N/A,#N/A,FALSE,"George";#N/A,#N/A,FALSE,"Ketler";#N/A,#N/A,FALSE,"Washington"}</definedName>
    <definedName name="wrn.ttl" localSheetId="39" hidden="1">{#N/A,#N/A,FALSE,"Summary";#N/A,#N/A,FALSE,"Berkeley";#N/A,#N/A,FALSE,"HS";#N/A,#N/A,FALSE,"Brookside";#N/A,#N/A,FALSE,"George";#N/A,#N/A,FALSE,"Ketler";#N/A,#N/A,FALSE,"Washington"}</definedName>
    <definedName name="wrn.ttl" localSheetId="37" hidden="1">{#N/A,#N/A,FALSE,"Summary";#N/A,#N/A,FALSE,"Berkeley";#N/A,#N/A,FALSE,"HS";#N/A,#N/A,FALSE,"Brookside";#N/A,#N/A,FALSE,"George";#N/A,#N/A,FALSE,"Ketler";#N/A,#N/A,FALSE,"Washington"}</definedName>
    <definedName name="wrn.ttl" localSheetId="75" hidden="1">{#N/A,#N/A,FALSE,"Summary";#N/A,#N/A,FALSE,"Berkeley";#N/A,#N/A,FALSE,"HS";#N/A,#N/A,FALSE,"Brookside";#N/A,#N/A,FALSE,"George";#N/A,#N/A,FALSE,"Ketler";#N/A,#N/A,FALSE,"Washington"}</definedName>
    <definedName name="wrn.ttl" localSheetId="65" hidden="1">{#N/A,#N/A,FALSE,"Summary";#N/A,#N/A,FALSE,"Berkeley";#N/A,#N/A,FALSE,"HS";#N/A,#N/A,FALSE,"Brookside";#N/A,#N/A,FALSE,"George";#N/A,#N/A,FALSE,"Ketler";#N/A,#N/A,FALSE,"Washington"}</definedName>
    <definedName name="wrn.ttl" localSheetId="27" hidden="1">{#N/A,#N/A,FALSE,"Summary";#N/A,#N/A,FALSE,"Berkeley";#N/A,#N/A,FALSE,"HS";#N/A,#N/A,FALSE,"Brookside";#N/A,#N/A,FALSE,"George";#N/A,#N/A,FALSE,"Ketler";#N/A,#N/A,FALSE,"Washington"}</definedName>
    <definedName name="wrn.ttl" localSheetId="2" hidden="1">{#N/A,#N/A,FALSE,"Summary";#N/A,#N/A,FALSE,"Berkeley";#N/A,#N/A,FALSE,"HS";#N/A,#N/A,FALSE,"Brookside";#N/A,#N/A,FALSE,"George";#N/A,#N/A,FALSE,"Ketler";#N/A,#N/A,FALSE,"Washington"}</definedName>
    <definedName name="wrn.ttl" localSheetId="29" hidden="1">{#N/A,#N/A,FALSE,"Summary";#N/A,#N/A,FALSE,"Berkeley";#N/A,#N/A,FALSE,"HS";#N/A,#N/A,FALSE,"Brookside";#N/A,#N/A,FALSE,"George";#N/A,#N/A,FALSE,"Ketler";#N/A,#N/A,FALSE,"Washington"}</definedName>
    <definedName name="wrn.ttl" localSheetId="78" hidden="1">{#N/A,#N/A,FALSE,"Summary";#N/A,#N/A,FALSE,"Berkeley";#N/A,#N/A,FALSE,"HS";#N/A,#N/A,FALSE,"Brookside";#N/A,#N/A,FALSE,"George";#N/A,#N/A,FALSE,"Ketler";#N/A,#N/A,FALSE,"Washington"}</definedName>
    <definedName name="wrn.ttl" localSheetId="3" hidden="1">{#N/A,#N/A,FALSE,"Summary";#N/A,#N/A,FALSE,"Berkeley";#N/A,#N/A,FALSE,"HS";#N/A,#N/A,FALSE,"Brookside";#N/A,#N/A,FALSE,"George";#N/A,#N/A,FALSE,"Ketler";#N/A,#N/A,FALSE,"Washington"}</definedName>
    <definedName name="wrn.ttl" localSheetId="1" hidden="1">{#N/A,#N/A,FALSE,"Summary";#N/A,#N/A,FALSE,"Berkeley";#N/A,#N/A,FALSE,"HS";#N/A,#N/A,FALSE,"Brookside";#N/A,#N/A,FALSE,"George";#N/A,#N/A,FALSE,"Ketler";#N/A,#N/A,FALSE,"Washington"}</definedName>
    <definedName name="wrn.ttl" hidden="1">{#N/A,#N/A,FALSE,"Summary";#N/A,#N/A,FALSE,"Berkeley";#N/A,#N/A,FALSE,"HS";#N/A,#N/A,FALSE,"Brookside";#N/A,#N/A,FALSE,"George";#N/A,#N/A,FALSE,"Ketler";#N/A,#N/A,FALSE,"Washington"}</definedName>
    <definedName name="wwwwwwwwwww" hidden="1">#REF!</definedName>
    <definedName name="XReCopy8" hidden="1">#REF!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py1" localSheetId="6" hidden="1">TextRefCopy1</definedName>
    <definedName name="XRefCopy1" localSheetId="10" hidden="1">TextRefCopy1</definedName>
    <definedName name="XRefCopy1" localSheetId="8" hidden="1">TextRefCopy1</definedName>
    <definedName name="XRefCopy1" localSheetId="14" hidden="1">TextRefCopy1</definedName>
    <definedName name="XRefCopy1" localSheetId="15" hidden="1">TextRefCopy1</definedName>
    <definedName name="XRefCopy1" localSheetId="16" hidden="1">TextRefCopy1</definedName>
    <definedName name="XRefCopy1" localSheetId="20" hidden="1">TextRefCopy1</definedName>
    <definedName name="XRefCopy1" localSheetId="39" hidden="1">TextRefCopy1</definedName>
    <definedName name="XRefCopy1" localSheetId="22" hidden="1">TextRefCopy1</definedName>
    <definedName name="XRefCopy1" localSheetId="26" hidden="1">TextRefCopy1</definedName>
    <definedName name="XRefCopy1" localSheetId="25" hidden="1">TextRefCopy1</definedName>
    <definedName name="XRefCopy1" localSheetId="30" hidden="1">TextRefCopy1</definedName>
    <definedName name="XRefCopy1" localSheetId="31" hidden="1">TextRefCopy1</definedName>
    <definedName name="XRefCopy1" localSheetId="32" hidden="1">TextRefCopy1</definedName>
    <definedName name="XRefCopy1" localSheetId="34" hidden="1">TextRefCopy1</definedName>
    <definedName name="XRefCopy1" localSheetId="35" hidden="1">TextRefCopy1</definedName>
    <definedName name="XRefCopy1" localSheetId="37" hidden="1">TextRefCopy1</definedName>
    <definedName name="XRefCopy1" localSheetId="75" hidden="1">TextRefCopy1</definedName>
    <definedName name="XRefCopy1" localSheetId="0" hidden="1">TextRefCopy1</definedName>
    <definedName name="XRefCopy1" localSheetId="45" hidden="1">TextRefCopy1</definedName>
    <definedName name="XRefCopy1" localSheetId="41" hidden="1">TextRefCopy1</definedName>
    <definedName name="XRefCopy1" localSheetId="48" hidden="1">TextRefCopy1</definedName>
    <definedName name="XRefCopy1" localSheetId="44" hidden="1">TextRefCopy1</definedName>
    <definedName name="XRefCopy1" localSheetId="52" hidden="1">TextRefCopy1</definedName>
    <definedName name="XRefCopy1" localSheetId="53" hidden="1">TextRefCopy1</definedName>
    <definedName name="XRefCopy1" localSheetId="55" hidden="1">TextRefCopy1</definedName>
    <definedName name="XRefCopy1" localSheetId="56" hidden="1">TextRefCopy1</definedName>
    <definedName name="XRefCopy1" localSheetId="57" hidden="1">TextRefCopy1</definedName>
    <definedName name="XRefCopy1" localSheetId="58" hidden="1">TextRefCopy1</definedName>
    <definedName name="XRefCopy1" localSheetId="59" hidden="1">TextRefCopy1</definedName>
    <definedName name="XRefCopy1" localSheetId="62" hidden="1">TextRefCopy1</definedName>
    <definedName name="XRefCopy1" localSheetId="64" hidden="1">TextRefCopy1</definedName>
    <definedName name="XRefCopy1" localSheetId="65" hidden="1">TextRefCopy1</definedName>
    <definedName name="XRefCopy1" localSheetId="27" hidden="1">TextRefCopy1</definedName>
    <definedName name="XRefCopy1" localSheetId="2" hidden="1">TextRefCopy1</definedName>
    <definedName name="XRefCopy1" localSheetId="29" hidden="1">TextRefCopy1</definedName>
    <definedName name="XRefCopy1" localSheetId="78" hidden="1">TextRefCopy1</definedName>
    <definedName name="XRefCopy1" localSheetId="3" hidden="1">TextRefCopy1</definedName>
    <definedName name="XRefCopy1" localSheetId="70" hidden="1">TextRefCopy1</definedName>
    <definedName name="XRefCopy1" localSheetId="71" hidden="1">TextRefCopy1</definedName>
    <definedName name="XRefCopy1" localSheetId="72" hidden="1">TextRefCopy1</definedName>
    <definedName name="XRefCopy1" localSheetId="73" hidden="1">TextRefCopy1</definedName>
    <definedName name="XRefCopy1" localSheetId="7" hidden="1">TextRefCopy1</definedName>
    <definedName name="XRefCopy1" localSheetId="1" hidden="1">TextRefCopy1</definedName>
    <definedName name="XRefCopy1" hidden="1">TextRefCopy1</definedName>
    <definedName name="XRefCopy10" localSheetId="10" hidden="1">#REF!</definedName>
    <definedName name="XRefCopy10" localSheetId="8" hidden="1">#REF!</definedName>
    <definedName name="XRefCopy10" localSheetId="37" hidden="1">#REF!</definedName>
    <definedName name="XRefCopy10" localSheetId="75" hidden="1">#REF!</definedName>
    <definedName name="XRefCopy10" localSheetId="65" hidden="1">#REF!</definedName>
    <definedName name="XRefCopy10" localSheetId="2" hidden="1">#REF!</definedName>
    <definedName name="XRefCopy10" localSheetId="78" hidden="1">#REF!</definedName>
    <definedName name="XRefCopy10" localSheetId="3" hidden="1">#REF!</definedName>
    <definedName name="XRefCopy10" hidden="1">#REF!</definedName>
    <definedName name="XRefCopy10Row" localSheetId="10" hidden="1">#REF!</definedName>
    <definedName name="XRefCopy10Row" localSheetId="8" hidden="1">#REF!</definedName>
    <definedName name="XRefCopy10Row" localSheetId="37" hidden="1">#REF!</definedName>
    <definedName name="XRefCopy10Row" localSheetId="65" hidden="1">#REF!</definedName>
    <definedName name="XRefCopy10Row" localSheetId="2" hidden="1">#REF!</definedName>
    <definedName name="XRefCopy10Row" localSheetId="78" hidden="1">#REF!</definedName>
    <definedName name="XRefCopy10Row" localSheetId="3" hidden="1">#REF!</definedName>
    <definedName name="XRefCopy10Row" hidden="1">#REF!</definedName>
    <definedName name="XRefCopy11" localSheetId="10" hidden="1">#REF!</definedName>
    <definedName name="XRefCopy11" localSheetId="8" hidden="1">#REF!</definedName>
    <definedName name="XRefCopy11" localSheetId="37" hidden="1">#REF!</definedName>
    <definedName name="XRefCopy11" localSheetId="65" hidden="1">#REF!</definedName>
    <definedName name="XRefCopy11" localSheetId="2" hidden="1">#REF!</definedName>
    <definedName name="XRefCopy11" localSheetId="78" hidden="1">#REF!</definedName>
    <definedName name="XRefCopy11" localSheetId="3"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7" hidden="1">#REF!</definedName>
    <definedName name="XRefCopy17Row" hidden="1">#REF!</definedName>
    <definedName name="XRefCopy18" hidden="1">#REF!</definedName>
    <definedName name="XRefCopy19" hidden="1">#REF!</definedName>
    <definedName name="XRefCopy19Row"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8" hidden="1">#REF!</definedName>
    <definedName name="XRefCopy29" hidden="1">#REF!</definedName>
    <definedName name="XRefCopy29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Row" hidden="1">#REF!</definedName>
    <definedName name="XRefCopy5" hidden="1">#REF!</definedName>
    <definedName name="XRefCopy5Row" hidden="1">#REF!</definedName>
    <definedName name="XRefCopy6" hidden="1">#REF!</definedName>
    <definedName name="XRefCopy64"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Paste1"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4" hidden="1">#REF!</definedName>
    <definedName name="XRefPaste41Row"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Row" hidden="1">#REF!</definedName>
    <definedName name="XRefPaste8Row" hidden="1">#REF!</definedName>
    <definedName name="XRefPaste9Row" hidden="1">#REF!</definedName>
    <definedName name="Y" hidden="1">#REF!</definedName>
    <definedName name="yesno" localSheetId="39">'C-11'!#REF!</definedName>
    <definedName name="yesno" localSheetId="1">#REF!</definedName>
    <definedName name="yesno">[20]Sheet1!$A$3:$A$4</definedName>
    <definedName name="yjyjy" localSheetId="75" hidden="1">#REF!</definedName>
    <definedName name="yjyjy" hidden="1">#REF!</definedName>
    <definedName name="yy" localSheetId="75" hidden="1">#REF!</definedName>
    <definedName name="yy" hidden="1">#REF!</definedName>
    <definedName name="YYYYYYYY" localSheetId="75" hidden="1">#REF!</definedName>
    <definedName name="YYYYYYYY"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 i="269" l="1"/>
  <c r="I3" i="269"/>
  <c r="H19" i="269"/>
  <c r="H3" i="269"/>
  <c r="F3" i="269"/>
  <c r="F19" i="269"/>
  <c r="E19" i="269"/>
  <c r="E3" i="269"/>
  <c r="I11" i="269"/>
  <c r="H11" i="269"/>
  <c r="F11" i="269"/>
  <c r="C19" i="269"/>
  <c r="C3" i="269"/>
  <c r="E11" i="269"/>
  <c r="C11" i="269"/>
  <c r="E7" i="269"/>
  <c r="F7" i="269" s="1"/>
  <c r="I7" i="269"/>
  <c r="C7" i="269"/>
  <c r="B7" i="269"/>
  <c r="B11" i="269"/>
  <c r="B19" i="269"/>
  <c r="B3" i="269"/>
  <c r="H10" i="269"/>
  <c r="E10" i="269"/>
  <c r="I10" i="269"/>
  <c r="F10" i="269"/>
  <c r="C10" i="269"/>
  <c r="L87" i="258"/>
  <c r="B10" i="269"/>
  <c r="I9" i="269"/>
  <c r="F9" i="269"/>
  <c r="C9" i="269"/>
  <c r="B8" i="269" l="1"/>
  <c r="AZ46" i="259"/>
  <c r="AI46" i="259"/>
  <c r="R46" i="259"/>
  <c r="AZ46" i="258"/>
  <c r="AI46" i="258"/>
  <c r="R46" i="258"/>
  <c r="AZ41" i="259"/>
  <c r="AI41" i="259"/>
  <c r="AZ76" i="259"/>
  <c r="AI76" i="259"/>
  <c r="AW77" i="259"/>
  <c r="AW85" i="259"/>
  <c r="AF85" i="259"/>
  <c r="AF77" i="259"/>
  <c r="O85" i="259"/>
  <c r="O77" i="259"/>
  <c r="AW77" i="258"/>
  <c r="AF77" i="258"/>
  <c r="O77" i="258"/>
  <c r="AW85" i="258"/>
  <c r="O85" i="258"/>
  <c r="AF85" i="258"/>
  <c r="J40" i="271"/>
  <c r="I40" i="271"/>
  <c r="H40" i="271"/>
  <c r="G40" i="271"/>
  <c r="F40" i="271"/>
  <c r="E40" i="271"/>
  <c r="J20" i="271"/>
  <c r="I20" i="271"/>
  <c r="H20" i="271"/>
  <c r="G20" i="271"/>
  <c r="F20" i="271"/>
  <c r="E20" i="271"/>
  <c r="AP87" i="259" l="1"/>
  <c r="AP61" i="259"/>
  <c r="AY72" i="259"/>
  <c r="AX72" i="259"/>
  <c r="AY71" i="259"/>
  <c r="AX71" i="259"/>
  <c r="AY70" i="259"/>
  <c r="AX70" i="259"/>
  <c r="AY69" i="259"/>
  <c r="AX69" i="259"/>
  <c r="AX68" i="259"/>
  <c r="AY67" i="259"/>
  <c r="AX67" i="259"/>
  <c r="AY66" i="259"/>
  <c r="AX66" i="259"/>
  <c r="AY65" i="259"/>
  <c r="AX65" i="259"/>
  <c r="AY64" i="259"/>
  <c r="AX64" i="259"/>
  <c r="AY63" i="259"/>
  <c r="AX63" i="259"/>
  <c r="AY55" i="259"/>
  <c r="AX55" i="259"/>
  <c r="AY54" i="259"/>
  <c r="AX54" i="259"/>
  <c r="AY53" i="259"/>
  <c r="AX53" i="259"/>
  <c r="AY52" i="259"/>
  <c r="AX52" i="259"/>
  <c r="AY51" i="259"/>
  <c r="AX51" i="259"/>
  <c r="AY50" i="259"/>
  <c r="AX50" i="259"/>
  <c r="AY49" i="259"/>
  <c r="AX49" i="259"/>
  <c r="AY48" i="259"/>
  <c r="AX48" i="259"/>
  <c r="AY47" i="259"/>
  <c r="AX47" i="259"/>
  <c r="AY46" i="259"/>
  <c r="AX46" i="259"/>
  <c r="AY45" i="259"/>
  <c r="AX45" i="259"/>
  <c r="AY44" i="259"/>
  <c r="AX44" i="259"/>
  <c r="AY43" i="259"/>
  <c r="AX43" i="259"/>
  <c r="AY42" i="259"/>
  <c r="AX42" i="259"/>
  <c r="AY41" i="259"/>
  <c r="AX41" i="259"/>
  <c r="AY40" i="259"/>
  <c r="AX40" i="259"/>
  <c r="AY39" i="259"/>
  <c r="AX39" i="259"/>
  <c r="AY38" i="259"/>
  <c r="AX38" i="259"/>
  <c r="AY37" i="259"/>
  <c r="AX37" i="259"/>
  <c r="AY36" i="259"/>
  <c r="AX36" i="259"/>
  <c r="AY23" i="259"/>
  <c r="AX23" i="259"/>
  <c r="AY22" i="259"/>
  <c r="AX22" i="259"/>
  <c r="AY21" i="259"/>
  <c r="AX21" i="259"/>
  <c r="AY12" i="259"/>
  <c r="AX12" i="259"/>
  <c r="AY9" i="259"/>
  <c r="AX9" i="259"/>
  <c r="AY8" i="259"/>
  <c r="AX8" i="259"/>
  <c r="AY7" i="259"/>
  <c r="AX7" i="259"/>
  <c r="AX30" i="259"/>
  <c r="AY30" i="259"/>
  <c r="AX31" i="259"/>
  <c r="AY31" i="259"/>
  <c r="AX32" i="259"/>
  <c r="AY32" i="259"/>
  <c r="L61" i="259"/>
  <c r="L58" i="259"/>
  <c r="L56" i="259"/>
  <c r="L33" i="259"/>
  <c r="L24" i="259"/>
  <c r="L16" i="259"/>
  <c r="L13" i="259"/>
  <c r="L7" i="259"/>
  <c r="I14" i="269"/>
  <c r="I13" i="269"/>
  <c r="I4" i="269"/>
  <c r="H4" i="269"/>
  <c r="F14" i="269"/>
  <c r="F13" i="269"/>
  <c r="F4" i="269"/>
  <c r="E4" i="269"/>
  <c r="E8" i="269"/>
  <c r="F8" i="269" s="1"/>
  <c r="H8" i="269" s="1"/>
  <c r="I8" i="269" s="1"/>
  <c r="BB41" i="259" l="1"/>
  <c r="P66" i="259"/>
  <c r="C14" i="269"/>
  <c r="C13" i="269"/>
  <c r="C4" i="269"/>
  <c r="B4" i="269"/>
  <c r="CD33" i="266"/>
  <c r="AC68" i="259" l="1"/>
  <c r="P68" i="259"/>
  <c r="AC70" i="258"/>
  <c r="AC68" i="258"/>
  <c r="T7" i="258"/>
  <c r="G56" i="258"/>
  <c r="J56" i="258"/>
  <c r="M56" i="258"/>
  <c r="N56" i="258"/>
  <c r="O56" i="258"/>
  <c r="R56" i="258"/>
  <c r="W56" i="258"/>
  <c r="X56" i="258"/>
  <c r="AA56" i="258"/>
  <c r="AE56" i="258"/>
  <c r="AF56" i="258"/>
  <c r="AI56" i="258"/>
  <c r="AN56" i="258"/>
  <c r="AO56" i="258"/>
  <c r="AR56" i="258"/>
  <c r="AV56" i="258"/>
  <c r="AW56" i="258"/>
  <c r="AZ56" i="258"/>
  <c r="F56" i="258"/>
  <c r="G33" i="258"/>
  <c r="J33" i="258"/>
  <c r="M33" i="258"/>
  <c r="N33" i="258"/>
  <c r="O33" i="258"/>
  <c r="R33" i="258"/>
  <c r="W33" i="258"/>
  <c r="X33" i="258"/>
  <c r="AA33" i="258"/>
  <c r="AE33" i="258"/>
  <c r="AF33" i="258"/>
  <c r="AI33" i="258"/>
  <c r="AN33" i="258"/>
  <c r="AO33" i="258"/>
  <c r="AR33" i="258"/>
  <c r="AV33" i="258"/>
  <c r="AW33" i="258"/>
  <c r="AZ33" i="258"/>
  <c r="F33" i="258"/>
  <c r="G24" i="258"/>
  <c r="H24" i="258"/>
  <c r="I24" i="258"/>
  <c r="J24" i="258"/>
  <c r="J58" i="258" s="1"/>
  <c r="J61" i="258" s="1"/>
  <c r="M24" i="258"/>
  <c r="M58" i="258" s="1"/>
  <c r="M61" i="258" s="1"/>
  <c r="O24" i="258"/>
  <c r="P24" i="258"/>
  <c r="Q24" i="258"/>
  <c r="R24" i="258"/>
  <c r="X24" i="258"/>
  <c r="Y24" i="258"/>
  <c r="Z24" i="258"/>
  <c r="AA24" i="258"/>
  <c r="AA58" i="258" s="1"/>
  <c r="AA61" i="258" s="1"/>
  <c r="AF24" i="258"/>
  <c r="AG24" i="258"/>
  <c r="AH24" i="258"/>
  <c r="AI24" i="258"/>
  <c r="AO24" i="258"/>
  <c r="AP24" i="258"/>
  <c r="AQ24" i="258"/>
  <c r="AR24" i="258"/>
  <c r="AR58" i="258" s="1"/>
  <c r="AR61" i="258" s="1"/>
  <c r="AW24" i="258"/>
  <c r="AX24" i="258"/>
  <c r="AY24" i="258"/>
  <c r="AZ24" i="258"/>
  <c r="AA13" i="258"/>
  <c r="AA16" i="258" s="1"/>
  <c r="M10" i="258"/>
  <c r="M13" i="258" s="1"/>
  <c r="M16" i="258" s="1"/>
  <c r="N10" i="258"/>
  <c r="N13" i="258" s="1"/>
  <c r="N16" i="258" s="1"/>
  <c r="O10" i="258"/>
  <c r="O13" i="258" s="1"/>
  <c r="O16" i="258" s="1"/>
  <c r="P10" i="258"/>
  <c r="P13" i="258" s="1"/>
  <c r="P16" i="258" s="1"/>
  <c r="Q10" i="258"/>
  <c r="Q13" i="258" s="1"/>
  <c r="Q16" i="258" s="1"/>
  <c r="R10" i="258"/>
  <c r="R13" i="258" s="1"/>
  <c r="R16" i="258" s="1"/>
  <c r="X10" i="258"/>
  <c r="X13" i="258" s="1"/>
  <c r="X16" i="258" s="1"/>
  <c r="Y10" i="258"/>
  <c r="Y13" i="258" s="1"/>
  <c r="Y16" i="258" s="1"/>
  <c r="Z10" i="258"/>
  <c r="Z13" i="258" s="1"/>
  <c r="Z16" i="258" s="1"/>
  <c r="AA10" i="258"/>
  <c r="AE10" i="258"/>
  <c r="AF10" i="258"/>
  <c r="AF13" i="258" s="1"/>
  <c r="AF16" i="258" s="1"/>
  <c r="AG10" i="258"/>
  <c r="AG13" i="258" s="1"/>
  <c r="AG16" i="258" s="1"/>
  <c r="AH10" i="258"/>
  <c r="AH13" i="258" s="1"/>
  <c r="AH16" i="258" s="1"/>
  <c r="AI10" i="258"/>
  <c r="AI13" i="258" s="1"/>
  <c r="AI16" i="258" s="1"/>
  <c r="AO10" i="258"/>
  <c r="AO13" i="258" s="1"/>
  <c r="AO16" i="258" s="1"/>
  <c r="AP10" i="258"/>
  <c r="AP13" i="258" s="1"/>
  <c r="AP16" i="258" s="1"/>
  <c r="AQ10" i="258"/>
  <c r="AQ13" i="258" s="1"/>
  <c r="AQ16" i="258" s="1"/>
  <c r="AR10" i="258"/>
  <c r="AR13" i="258" s="1"/>
  <c r="AR16" i="258" s="1"/>
  <c r="AV10" i="258"/>
  <c r="AW10" i="258"/>
  <c r="AW13" i="258" s="1"/>
  <c r="AW16" i="258" s="1"/>
  <c r="AX10" i="258"/>
  <c r="AX13" i="258" s="1"/>
  <c r="AX16" i="258" s="1"/>
  <c r="AY10" i="258"/>
  <c r="AY13" i="258" s="1"/>
  <c r="AY16" i="258" s="1"/>
  <c r="AZ10" i="258"/>
  <c r="AZ13" i="258" s="1"/>
  <c r="AZ16" i="258" s="1"/>
  <c r="T12" i="258"/>
  <c r="T8" i="258"/>
  <c r="T9" i="258"/>
  <c r="T14" i="258"/>
  <c r="T18" i="258"/>
  <c r="T20" i="258"/>
  <c r="T22" i="258"/>
  <c r="T26" i="258"/>
  <c r="T28" i="258"/>
  <c r="T35" i="258"/>
  <c r="U35" i="258" s="1"/>
  <c r="T57" i="258"/>
  <c r="T59" i="258"/>
  <c r="T62" i="258"/>
  <c r="T75" i="258"/>
  <c r="U75" i="258" s="1"/>
  <c r="T76" i="258"/>
  <c r="T77" i="258"/>
  <c r="T80" i="258"/>
  <c r="T81" i="258"/>
  <c r="T82" i="258"/>
  <c r="L36" i="258"/>
  <c r="T88" i="258"/>
  <c r="U57" i="258"/>
  <c r="L30" i="258"/>
  <c r="L31" i="258"/>
  <c r="L32" i="258"/>
  <c r="P68" i="258"/>
  <c r="R58" i="258" l="1"/>
  <c r="R61" i="258" s="1"/>
  <c r="AO58" i="258"/>
  <c r="AO61" i="258" s="1"/>
  <c r="AZ58" i="258"/>
  <c r="AZ61" i="258" s="1"/>
  <c r="X58" i="258"/>
  <c r="X61" i="258" s="1"/>
  <c r="T10" i="258"/>
  <c r="T13" i="258" s="1"/>
  <c r="T16" i="258" s="1"/>
  <c r="AI58" i="258"/>
  <c r="AI61" i="258" s="1"/>
  <c r="AF58" i="258"/>
  <c r="AF61" i="258" s="1"/>
  <c r="O58" i="258"/>
  <c r="O61" i="258" s="1"/>
  <c r="AW58" i="258"/>
  <c r="AW61" i="258" s="1"/>
  <c r="G58" i="258"/>
  <c r="G61" i="258" s="1"/>
  <c r="U59" i="258"/>
  <c r="U62" i="258" l="1"/>
  <c r="F8" i="259" l="1"/>
  <c r="F9" i="259"/>
  <c r="F14" i="259" s="1"/>
  <c r="F12" i="259"/>
  <c r="F21" i="259"/>
  <c r="F22" i="259"/>
  <c r="F23" i="259"/>
  <c r="A89" i="259"/>
  <c r="A6" i="259"/>
  <c r="AA76" i="258"/>
  <c r="A7" i="259" l="1"/>
  <c r="A8" i="259" s="1"/>
  <c r="A9" i="259" l="1"/>
  <c r="A10" i="259" s="1"/>
  <c r="A12" i="259" s="1"/>
  <c r="A13" i="259" l="1"/>
  <c r="A14" i="259" s="1"/>
  <c r="A16" i="259" s="1"/>
  <c r="A18" i="259" s="1"/>
  <c r="A20" i="259" l="1"/>
  <c r="A21" i="259" l="1"/>
  <c r="A22" i="259" l="1"/>
  <c r="A23" i="259" s="1"/>
  <c r="A24" i="259" l="1"/>
  <c r="A26" i="259" s="1"/>
  <c r="A28" i="259" l="1"/>
  <c r="A29" i="259"/>
  <c r="A30" i="259" s="1"/>
  <c r="A31" i="259" l="1"/>
  <c r="A32" i="259" s="1"/>
  <c r="A33" i="259" s="1"/>
  <c r="A35" i="259" l="1"/>
  <c r="A36" i="259" l="1"/>
  <c r="A37" i="259" l="1"/>
  <c r="A38" i="259" s="1"/>
  <c r="A39" i="259" l="1"/>
  <c r="A40" i="259" s="1"/>
  <c r="BG12" i="259"/>
  <c r="BF12" i="259"/>
  <c r="AN12" i="259"/>
  <c r="AT12" i="259" s="1"/>
  <c r="W12" i="259"/>
  <c r="AC12" i="259" s="1"/>
  <c r="T12" i="259"/>
  <c r="L12" i="259"/>
  <c r="AY24" i="259"/>
  <c r="AX24" i="259"/>
  <c r="AY10" i="259"/>
  <c r="AY13" i="259" s="1"/>
  <c r="AY16" i="259" s="1"/>
  <c r="AX10" i="259"/>
  <c r="AX13" i="259" s="1"/>
  <c r="AX16" i="259" s="1"/>
  <c r="AH72" i="259"/>
  <c r="AG72" i="259"/>
  <c r="AH71" i="259"/>
  <c r="AG71" i="259"/>
  <c r="AH70" i="259"/>
  <c r="AG70" i="259"/>
  <c r="AH69" i="259"/>
  <c r="AG69" i="259"/>
  <c r="AH67" i="259"/>
  <c r="AG67" i="259"/>
  <c r="AH66" i="259"/>
  <c r="AG66" i="259"/>
  <c r="AH65" i="259"/>
  <c r="AG65" i="259"/>
  <c r="AH64" i="259"/>
  <c r="AG64" i="259"/>
  <c r="AH63" i="259"/>
  <c r="AG63" i="259"/>
  <c r="AH54" i="259"/>
  <c r="AG54" i="259"/>
  <c r="AH53" i="259"/>
  <c r="AG53" i="259"/>
  <c r="AH52" i="259"/>
  <c r="AG52" i="259"/>
  <c r="AH51" i="259"/>
  <c r="AG51" i="259"/>
  <c r="AH50" i="259"/>
  <c r="AG50" i="259"/>
  <c r="AH49" i="259"/>
  <c r="AG49" i="259"/>
  <c r="AH48" i="259"/>
  <c r="AG48" i="259"/>
  <c r="AH47" i="259"/>
  <c r="AG47" i="259"/>
  <c r="AH46" i="259"/>
  <c r="AG46" i="259"/>
  <c r="AH45" i="259"/>
  <c r="AG45" i="259"/>
  <c r="AH44" i="259"/>
  <c r="AG44" i="259"/>
  <c r="AH43" i="259"/>
  <c r="AG43" i="259"/>
  <c r="AH42" i="259"/>
  <c r="AG42" i="259"/>
  <c r="AH41" i="259"/>
  <c r="AG41" i="259"/>
  <c r="AH40" i="259"/>
  <c r="AG40" i="259"/>
  <c r="AH39" i="259"/>
  <c r="AG39" i="259"/>
  <c r="AH38" i="259"/>
  <c r="AG38" i="259"/>
  <c r="AH37" i="259"/>
  <c r="AG37" i="259"/>
  <c r="AH36" i="259"/>
  <c r="AG36" i="259"/>
  <c r="AH32" i="259"/>
  <c r="AG32" i="259"/>
  <c r="AH31" i="259"/>
  <c r="AG31" i="259"/>
  <c r="AH30" i="259"/>
  <c r="AG30" i="259"/>
  <c r="AH24" i="259"/>
  <c r="AG24" i="259"/>
  <c r="AH10" i="259"/>
  <c r="AH13" i="259" s="1"/>
  <c r="AH16" i="259" s="1"/>
  <c r="AG10" i="259"/>
  <c r="AG13" i="259" s="1"/>
  <c r="AG16" i="259" s="1"/>
  <c r="Q85" i="259"/>
  <c r="P85" i="259"/>
  <c r="AT67" i="259"/>
  <c r="AC67" i="259"/>
  <c r="AL67" i="259" s="1"/>
  <c r="Q67" i="259"/>
  <c r="P67" i="259"/>
  <c r="L67" i="259"/>
  <c r="AT66" i="259"/>
  <c r="AC66" i="259"/>
  <c r="AL66" i="259" s="1"/>
  <c r="Q66" i="259"/>
  <c r="L66" i="259"/>
  <c r="Q55" i="259"/>
  <c r="P55" i="259"/>
  <c r="Q54" i="259"/>
  <c r="P54" i="259"/>
  <c r="Q53" i="259"/>
  <c r="P53" i="259"/>
  <c r="Q52" i="259"/>
  <c r="P52" i="259"/>
  <c r="Q51" i="259"/>
  <c r="P51" i="259"/>
  <c r="Q50" i="259"/>
  <c r="P50" i="259"/>
  <c r="Q49" i="259"/>
  <c r="P49" i="259"/>
  <c r="Q48" i="259"/>
  <c r="P48" i="259"/>
  <c r="Q47" i="259"/>
  <c r="P47" i="259"/>
  <c r="Q46" i="259"/>
  <c r="P46" i="259"/>
  <c r="Q45" i="259"/>
  <c r="P45" i="259"/>
  <c r="Q44" i="259"/>
  <c r="P44" i="259"/>
  <c r="Q43" i="259"/>
  <c r="P43" i="259"/>
  <c r="Q42" i="259"/>
  <c r="P42" i="259"/>
  <c r="Q41" i="259"/>
  <c r="P41" i="259"/>
  <c r="Q40" i="259"/>
  <c r="P40" i="259"/>
  <c r="Q39" i="259"/>
  <c r="P39" i="259"/>
  <c r="Q38" i="259"/>
  <c r="P38" i="259"/>
  <c r="Q37" i="259"/>
  <c r="P37" i="259"/>
  <c r="Q36" i="259"/>
  <c r="P36" i="259"/>
  <c r="P30" i="259"/>
  <c r="Q30" i="259"/>
  <c r="P31" i="259"/>
  <c r="Q31" i="259"/>
  <c r="P32" i="259"/>
  <c r="Q32" i="259"/>
  <c r="Q29" i="259"/>
  <c r="P29" i="259"/>
  <c r="T46" i="259" l="1"/>
  <c r="A41" i="259"/>
  <c r="A42" i="259" s="1"/>
  <c r="A43" i="259" s="1"/>
  <c r="BB66" i="259"/>
  <c r="BC66" i="259" s="1"/>
  <c r="BH12" i="259"/>
  <c r="T66" i="259"/>
  <c r="U66" i="259" s="1"/>
  <c r="BB67" i="259"/>
  <c r="BC67" i="259" s="1"/>
  <c r="AX73" i="259"/>
  <c r="U12" i="259"/>
  <c r="AE12" i="259" s="1"/>
  <c r="AK12" i="259" s="1"/>
  <c r="AL12" i="259" s="1"/>
  <c r="AV12" i="259" s="1"/>
  <c r="BB12" i="259" s="1"/>
  <c r="BD12" i="259" s="1"/>
  <c r="T67" i="259"/>
  <c r="U67" i="259" s="1"/>
  <c r="A44" i="259" l="1"/>
  <c r="A45" i="259" s="1"/>
  <c r="A46" i="259" l="1"/>
  <c r="A47" i="259" l="1"/>
  <c r="A48" i="259" s="1"/>
  <c r="A49" i="259" l="1"/>
  <c r="A50" i="259" l="1"/>
  <c r="A51" i="259" s="1"/>
  <c r="A52" i="259" l="1"/>
  <c r="A53" i="259" s="1"/>
  <c r="A54" i="259" l="1"/>
  <c r="A55" i="259" l="1"/>
  <c r="A56" i="259"/>
  <c r="A58" i="259" l="1"/>
  <c r="A60" i="259" s="1"/>
  <c r="A61" i="259" l="1"/>
  <c r="A63" i="259" s="1"/>
  <c r="A64" i="259" l="1"/>
  <c r="A65" i="259" s="1"/>
  <c r="A66" i="259" l="1"/>
  <c r="A67" i="259" l="1"/>
  <c r="A69" i="259" l="1"/>
  <c r="A70" i="259" s="1"/>
  <c r="A71" i="259" l="1"/>
  <c r="A72" i="259" s="1"/>
  <c r="A73" i="259" l="1"/>
  <c r="A75" i="259" s="1"/>
  <c r="A76" i="259" l="1"/>
  <c r="A77" i="259" s="1"/>
  <c r="A78" i="259" s="1"/>
  <c r="A79" i="259" l="1"/>
  <c r="A80" i="259" s="1"/>
  <c r="A81" i="259" s="1"/>
  <c r="A82" i="259" l="1"/>
  <c r="A83" i="259" l="1"/>
  <c r="A85" i="259" l="1"/>
  <c r="A86" i="259" l="1"/>
  <c r="A87" i="259" s="1"/>
  <c r="AT66" i="258" l="1"/>
  <c r="AT67" i="258"/>
  <c r="AT69" i="258"/>
  <c r="AT70" i="258"/>
  <c r="AT71" i="258"/>
  <c r="AY72" i="258"/>
  <c r="AX72" i="258"/>
  <c r="AY71" i="258"/>
  <c r="AX71" i="258"/>
  <c r="AY70" i="258"/>
  <c r="AX70" i="258"/>
  <c r="AY69" i="258"/>
  <c r="AX69" i="258"/>
  <c r="AX67" i="258"/>
  <c r="AX66" i="258"/>
  <c r="AY65" i="258"/>
  <c r="AX65" i="258"/>
  <c r="AY64" i="258"/>
  <c r="AX64" i="258"/>
  <c r="AY63" i="258"/>
  <c r="AX63" i="258"/>
  <c r="AY54" i="258"/>
  <c r="AX54" i="258"/>
  <c r="AY53" i="258"/>
  <c r="AX53" i="258"/>
  <c r="AY52" i="258"/>
  <c r="AX52" i="258"/>
  <c r="AY50" i="258"/>
  <c r="AX50" i="258"/>
  <c r="AX49" i="258"/>
  <c r="AY47" i="258"/>
  <c r="AX47" i="258"/>
  <c r="AY45" i="258"/>
  <c r="AX45" i="258"/>
  <c r="AX44" i="258"/>
  <c r="AY42" i="258"/>
  <c r="AX42" i="258"/>
  <c r="AX39" i="258"/>
  <c r="AY38" i="258"/>
  <c r="AX38" i="258"/>
  <c r="AG67" i="258"/>
  <c r="AG66" i="258"/>
  <c r="AH72" i="258"/>
  <c r="AG72" i="258"/>
  <c r="AH71" i="258"/>
  <c r="AG71" i="258"/>
  <c r="AH70" i="258"/>
  <c r="AG70" i="258"/>
  <c r="AH69" i="258"/>
  <c r="AG69" i="258"/>
  <c r="AH65" i="258"/>
  <c r="AG65" i="258"/>
  <c r="AH64" i="258"/>
  <c r="AG64" i="258"/>
  <c r="AH63" i="258"/>
  <c r="AG63" i="258"/>
  <c r="Q72" i="258"/>
  <c r="P72" i="258"/>
  <c r="Q71" i="258"/>
  <c r="P71" i="258"/>
  <c r="Q70" i="258"/>
  <c r="P70" i="258"/>
  <c r="Q69" i="258"/>
  <c r="P69" i="258"/>
  <c r="T69" i="258" s="1"/>
  <c r="P67" i="258"/>
  <c r="P66" i="258"/>
  <c r="Q65" i="258"/>
  <c r="P65" i="258"/>
  <c r="Q64" i="258"/>
  <c r="P64" i="258"/>
  <c r="Q63" i="258"/>
  <c r="P63" i="258"/>
  <c r="T63" i="258" s="1"/>
  <c r="AH54" i="258"/>
  <c r="AG54" i="258"/>
  <c r="AH53" i="258"/>
  <c r="AG53" i="258"/>
  <c r="AH52" i="258"/>
  <c r="AG52" i="258"/>
  <c r="AH50" i="258"/>
  <c r="AG50" i="258"/>
  <c r="AG49" i="258"/>
  <c r="AH47" i="258"/>
  <c r="AG47" i="258"/>
  <c r="AH45" i="258"/>
  <c r="AG45" i="258"/>
  <c r="AG44" i="258"/>
  <c r="AH42" i="258"/>
  <c r="AG42" i="258"/>
  <c r="AG39" i="258"/>
  <c r="AH38" i="258"/>
  <c r="AG38" i="258"/>
  <c r="Q86" i="258"/>
  <c r="P86" i="258"/>
  <c r="Q54" i="258"/>
  <c r="P54" i="258"/>
  <c r="Q53" i="258"/>
  <c r="P53" i="258"/>
  <c r="Q52" i="258"/>
  <c r="P52" i="258"/>
  <c r="T52" i="258" s="1"/>
  <c r="Q50" i="258"/>
  <c r="P50" i="258"/>
  <c r="P49" i="258"/>
  <c r="Q47" i="258"/>
  <c r="P47" i="258"/>
  <c r="Q45" i="258"/>
  <c r="P45" i="258"/>
  <c r="P44" i="258"/>
  <c r="Q42" i="258"/>
  <c r="P42" i="258"/>
  <c r="P41" i="258"/>
  <c r="P39" i="258"/>
  <c r="Q38" i="258"/>
  <c r="P38" i="258"/>
  <c r="T54" i="258" l="1"/>
  <c r="T47" i="258"/>
  <c r="T71" i="258"/>
  <c r="T45" i="258"/>
  <c r="T64" i="258"/>
  <c r="T70" i="258"/>
  <c r="T42" i="258"/>
  <c r="T50" i="258"/>
  <c r="T86" i="258"/>
  <c r="T65" i="258"/>
  <c r="T72" i="258"/>
  <c r="T38" i="258"/>
  <c r="T53" i="258"/>
  <c r="G69" i="266"/>
  <c r="EI68" i="266"/>
  <c r="EG68" i="266"/>
  <c r="DY68" i="266"/>
  <c r="DW68" i="266"/>
  <c r="EE67" i="266"/>
  <c r="EK67" i="266" s="1"/>
  <c r="DU67" i="266"/>
  <c r="DL67" i="266"/>
  <c r="CD67" i="266"/>
  <c r="BT67" i="266"/>
  <c r="EE66" i="266"/>
  <c r="DU66" i="266"/>
  <c r="EA66" i="266" s="1"/>
  <c r="DL66" i="266"/>
  <c r="DL68" i="266" s="1"/>
  <c r="CD66" i="266"/>
  <c r="BT66" i="266"/>
  <c r="G64" i="266"/>
  <c r="EI63" i="266"/>
  <c r="EE63" i="266"/>
  <c r="DY63" i="266"/>
  <c r="DU63" i="266"/>
  <c r="DL63" i="266"/>
  <c r="BT63" i="266"/>
  <c r="EG62" i="266"/>
  <c r="DW62" i="266"/>
  <c r="CD62" i="266"/>
  <c r="G57" i="266"/>
  <c r="DI53" i="266"/>
  <c r="DG53" i="266"/>
  <c r="DE53" i="266"/>
  <c r="DC53" i="266"/>
  <c r="DA53" i="266"/>
  <c r="CY53" i="266"/>
  <c r="CW53" i="266"/>
  <c r="CU53" i="266"/>
  <c r="CS53" i="266"/>
  <c r="CQ53" i="266"/>
  <c r="CO53" i="266"/>
  <c r="CM53" i="266"/>
  <c r="CK53" i="266"/>
  <c r="CI53" i="266"/>
  <c r="CG53" i="266"/>
  <c r="CA53" i="266"/>
  <c r="BY53" i="266"/>
  <c r="BW53" i="266"/>
  <c r="BQ53" i="266"/>
  <c r="BO53" i="266"/>
  <c r="BM53" i="266"/>
  <c r="BI53" i="266"/>
  <c r="BG53" i="266"/>
  <c r="BE53" i="266"/>
  <c r="BC53" i="266"/>
  <c r="AY53" i="266"/>
  <c r="AW53" i="266"/>
  <c r="AU53" i="266"/>
  <c r="AS53" i="266"/>
  <c r="AQ53" i="266"/>
  <c r="AO53" i="266"/>
  <c r="AM53" i="266"/>
  <c r="AK53" i="266"/>
  <c r="AI53" i="266"/>
  <c r="AG53" i="266"/>
  <c r="AE53" i="266"/>
  <c r="AC53" i="266"/>
  <c r="AA53" i="266"/>
  <c r="Y53" i="266"/>
  <c r="W53" i="266"/>
  <c r="U53" i="266"/>
  <c r="S53" i="266"/>
  <c r="Q53" i="266"/>
  <c r="O53" i="266"/>
  <c r="M53" i="266"/>
  <c r="K53" i="266"/>
  <c r="G52" i="266"/>
  <c r="FE51" i="266"/>
  <c r="EG51" i="266"/>
  <c r="DW51" i="266"/>
  <c r="EI51" i="266"/>
  <c r="DY51" i="266"/>
  <c r="G48" i="266"/>
  <c r="EI47" i="266"/>
  <c r="EG47" i="266"/>
  <c r="DY47" i="266"/>
  <c r="DW47" i="266"/>
  <c r="BK46" i="266"/>
  <c r="DL47" i="266"/>
  <c r="EX47" i="266" s="1"/>
  <c r="BK45" i="266"/>
  <c r="G43" i="266"/>
  <c r="EI42" i="266"/>
  <c r="EG42" i="266"/>
  <c r="EG53" i="266" s="1"/>
  <c r="DY42" i="266"/>
  <c r="DW42" i="266"/>
  <c r="AH67" i="258"/>
  <c r="BA41" i="266"/>
  <c r="Q67" i="258" s="1"/>
  <c r="T67" i="258" s="1"/>
  <c r="AY66" i="258"/>
  <c r="BA40" i="266"/>
  <c r="G38" i="266"/>
  <c r="G36" i="266"/>
  <c r="EI34" i="266"/>
  <c r="AX60" i="259" s="1"/>
  <c r="EE34" i="266"/>
  <c r="AY60" i="259" s="1"/>
  <c r="DY34" i="266"/>
  <c r="DU34" i="266"/>
  <c r="DE34" i="266"/>
  <c r="DL34" i="266" s="1"/>
  <c r="P60" i="259" s="1"/>
  <c r="CA34" i="266"/>
  <c r="CD34" i="266" s="1"/>
  <c r="BQ34" i="266"/>
  <c r="BM34" i="266"/>
  <c r="EI33" i="266"/>
  <c r="AX78" i="259" s="1"/>
  <c r="EE33" i="266"/>
  <c r="DY33" i="266"/>
  <c r="DU33" i="266"/>
  <c r="DC33" i="266"/>
  <c r="CU33" i="266"/>
  <c r="CS33" i="266"/>
  <c r="BE33" i="266"/>
  <c r="AW33" i="266"/>
  <c r="AO33" i="266"/>
  <c r="AM33" i="266"/>
  <c r="AK33" i="266"/>
  <c r="W33" i="266"/>
  <c r="M33" i="266"/>
  <c r="EU32" i="266"/>
  <c r="G32" i="266"/>
  <c r="DI31" i="266"/>
  <c r="DG31" i="266"/>
  <c r="DE31" i="266"/>
  <c r="DC31" i="266"/>
  <c r="CU31" i="266"/>
  <c r="CA31" i="266"/>
  <c r="BQ31" i="266"/>
  <c r="BO31" i="266"/>
  <c r="BM31" i="266"/>
  <c r="BM35" i="266" s="1"/>
  <c r="BM56" i="266" s="1"/>
  <c r="BK31" i="266"/>
  <c r="BK35" i="266" s="1"/>
  <c r="AY29" i="266"/>
  <c r="AX48" i="258"/>
  <c r="AG48" i="258"/>
  <c r="AH48" i="258"/>
  <c r="BE28" i="266"/>
  <c r="BE31" i="266" s="1"/>
  <c r="AX41" i="258"/>
  <c r="AY41" i="258"/>
  <c r="AG41" i="258"/>
  <c r="EW27" i="266"/>
  <c r="BI27" i="266"/>
  <c r="BI31" i="266" s="1"/>
  <c r="BI35" i="266" s="1"/>
  <c r="BI56" i="266" s="1"/>
  <c r="BA25" i="266"/>
  <c r="AY43" i="258"/>
  <c r="AG43" i="258"/>
  <c r="AH43" i="258"/>
  <c r="BG24" i="266"/>
  <c r="BG31" i="266" s="1"/>
  <c r="BG35" i="266" s="1"/>
  <c r="BG56" i="266" s="1"/>
  <c r="AX40" i="258"/>
  <c r="AY40" i="258"/>
  <c r="AG40" i="258"/>
  <c r="CW31" i="266"/>
  <c r="CW35" i="266" s="1"/>
  <c r="CW56" i="266" s="1"/>
  <c r="Q40" i="258"/>
  <c r="BC23" i="266"/>
  <c r="BC31" i="266" s="1"/>
  <c r="BC35" i="266" s="1"/>
  <c r="BC56" i="266" s="1"/>
  <c r="ET22" i="266"/>
  <c r="AX32" i="258"/>
  <c r="AG32" i="258"/>
  <c r="AH32" i="258"/>
  <c r="BQ17" i="266"/>
  <c r="BO17" i="266"/>
  <c r="AW17" i="266"/>
  <c r="AU17" i="266"/>
  <c r="AS17" i="266"/>
  <c r="AQ17" i="266"/>
  <c r="AO17" i="266"/>
  <c r="AM17" i="266"/>
  <c r="AK17" i="266"/>
  <c r="AI17" i="266"/>
  <c r="AG17" i="266"/>
  <c r="AE17" i="266"/>
  <c r="AC17" i="266"/>
  <c r="AA17" i="266"/>
  <c r="Y17" i="266"/>
  <c r="W17" i="266"/>
  <c r="U17" i="266"/>
  <c r="S17" i="266"/>
  <c r="Q17" i="266"/>
  <c r="O17" i="266"/>
  <c r="M17" i="266"/>
  <c r="K17" i="266"/>
  <c r="AX31" i="258"/>
  <c r="AY31" i="258"/>
  <c r="AG31" i="258"/>
  <c r="AH31" i="258"/>
  <c r="BQ16" i="266"/>
  <c r="BO16" i="266"/>
  <c r="AW16" i="266"/>
  <c r="AU16" i="266"/>
  <c r="AS16" i="266"/>
  <c r="AQ16" i="266"/>
  <c r="AO16" i="266"/>
  <c r="AM16" i="266"/>
  <c r="AK16" i="266"/>
  <c r="AI16" i="266"/>
  <c r="AG16" i="266"/>
  <c r="AE16" i="266"/>
  <c r="AC16" i="266"/>
  <c r="AA16" i="266"/>
  <c r="Y16" i="266"/>
  <c r="W16" i="266"/>
  <c r="U16" i="266"/>
  <c r="S16" i="266"/>
  <c r="Q16" i="266"/>
  <c r="O16" i="266"/>
  <c r="M16" i="266"/>
  <c r="K16" i="266"/>
  <c r="AX30" i="258"/>
  <c r="AG30" i="258"/>
  <c r="AH30" i="258"/>
  <c r="BQ15" i="266"/>
  <c r="BO15" i="266"/>
  <c r="AW15" i="266"/>
  <c r="AU15" i="266"/>
  <c r="AS15" i="266"/>
  <c r="AQ15" i="266"/>
  <c r="AO15" i="266"/>
  <c r="AM15" i="266"/>
  <c r="AK15" i="266"/>
  <c r="AI15" i="266"/>
  <c r="AG15" i="266"/>
  <c r="AE15" i="266"/>
  <c r="AC15" i="266"/>
  <c r="AA15" i="266"/>
  <c r="Y15" i="266"/>
  <c r="W15" i="266"/>
  <c r="U15" i="266"/>
  <c r="S15" i="266"/>
  <c r="Q15" i="266"/>
  <c r="O15" i="266"/>
  <c r="M15" i="266"/>
  <c r="K15" i="266"/>
  <c r="BQ14" i="266"/>
  <c r="BO14" i="266"/>
  <c r="AW14" i="266"/>
  <c r="AU14" i="266"/>
  <c r="AS14" i="266"/>
  <c r="AQ14" i="266"/>
  <c r="AO14" i="266"/>
  <c r="AM14" i="266"/>
  <c r="AK14" i="266"/>
  <c r="AI14" i="266"/>
  <c r="AG14" i="266"/>
  <c r="AE14" i="266"/>
  <c r="AC14" i="266"/>
  <c r="AA14" i="266"/>
  <c r="Y14" i="266"/>
  <c r="W14" i="266"/>
  <c r="U14" i="266"/>
  <c r="S14" i="266"/>
  <c r="Q14" i="266"/>
  <c r="O14" i="266"/>
  <c r="M14" i="266"/>
  <c r="K14" i="266"/>
  <c r="G14" i="266"/>
  <c r="G13" i="266"/>
  <c r="EI12" i="266"/>
  <c r="EG12" i="266"/>
  <c r="EE12" i="266"/>
  <c r="DY12" i="266"/>
  <c r="DW12" i="266"/>
  <c r="DU12" i="266"/>
  <c r="DI12" i="266"/>
  <c r="CS12" i="266"/>
  <c r="CQ12" i="266"/>
  <c r="CO12" i="266"/>
  <c r="CM12" i="266"/>
  <c r="CK12" i="266"/>
  <c r="CI12" i="266"/>
  <c r="CG12" i="266"/>
  <c r="CA12" i="266"/>
  <c r="BW12" i="266"/>
  <c r="BQ12" i="266"/>
  <c r="AW12" i="266"/>
  <c r="AU12" i="266"/>
  <c r="AS12" i="266"/>
  <c r="AQ12" i="266"/>
  <c r="AO12" i="266"/>
  <c r="AM12" i="266"/>
  <c r="AK12" i="266"/>
  <c r="AI12" i="266"/>
  <c r="AG12" i="266"/>
  <c r="AE12" i="266"/>
  <c r="AC12" i="266"/>
  <c r="AA12" i="266"/>
  <c r="Y12" i="266"/>
  <c r="W12" i="266"/>
  <c r="U12" i="266"/>
  <c r="S12" i="266"/>
  <c r="Q12" i="266"/>
  <c r="O12" i="266"/>
  <c r="M12" i="266"/>
  <c r="K12" i="266"/>
  <c r="DC35" i="266" l="1"/>
  <c r="DC56" i="266" s="1"/>
  <c r="CD12" i="266"/>
  <c r="ET12" i="266" s="1"/>
  <c r="O18" i="266"/>
  <c r="AE18" i="266"/>
  <c r="AU18" i="266"/>
  <c r="CU35" i="266"/>
  <c r="BE35" i="266"/>
  <c r="EG63" i="266"/>
  <c r="AY68" i="259"/>
  <c r="CD63" i="266"/>
  <c r="Q68" i="258"/>
  <c r="T68" i="258" s="1"/>
  <c r="Q68" i="259"/>
  <c r="T68" i="259" s="1"/>
  <c r="BB66" i="258"/>
  <c r="BD66" i="258" s="1"/>
  <c r="AY44" i="258"/>
  <c r="DL33" i="266"/>
  <c r="AH40" i="258"/>
  <c r="BT51" i="266"/>
  <c r="Q85" i="258"/>
  <c r="EW34" i="266"/>
  <c r="P60" i="258"/>
  <c r="AH39" i="258"/>
  <c r="AX43" i="258"/>
  <c r="AY49" i="258"/>
  <c r="EA33" i="266"/>
  <c r="AY67" i="258"/>
  <c r="DU18" i="266"/>
  <c r="AY39" i="258"/>
  <c r="EQ25" i="266"/>
  <c r="Q44" i="258"/>
  <c r="T44" i="258" s="1"/>
  <c r="AH41" i="258"/>
  <c r="AH66" i="258"/>
  <c r="AH49" i="258"/>
  <c r="DL51" i="266"/>
  <c r="DP51" i="266" s="1"/>
  <c r="EZ51" i="266" s="1"/>
  <c r="P85" i="258"/>
  <c r="AY32" i="258"/>
  <c r="AY48" i="258"/>
  <c r="EK33" i="266"/>
  <c r="EK34" i="266"/>
  <c r="ET62" i="266"/>
  <c r="S18" i="266"/>
  <c r="AY30" i="258"/>
  <c r="ET17" i="266"/>
  <c r="EW24" i="266"/>
  <c r="P43" i="258"/>
  <c r="AH44" i="258"/>
  <c r="BT34" i="266"/>
  <c r="U18" i="266"/>
  <c r="ET16" i="266"/>
  <c r="EA34" i="266"/>
  <c r="CS18" i="266"/>
  <c r="Y18" i="266"/>
  <c r="AO18" i="266"/>
  <c r="CA18" i="266"/>
  <c r="CA35" i="266" s="1"/>
  <c r="CA56" i="266" s="1"/>
  <c r="BW18" i="266"/>
  <c r="AA18" i="266"/>
  <c r="AQ18" i="266"/>
  <c r="DI18" i="266"/>
  <c r="DI35" i="266" s="1"/>
  <c r="DI56" i="266" s="1"/>
  <c r="EE42" i="266"/>
  <c r="EK42" i="266" s="1"/>
  <c r="DU47" i="266"/>
  <c r="DL42" i="266"/>
  <c r="CM18" i="266"/>
  <c r="AM18" i="266"/>
  <c r="BA31" i="266"/>
  <c r="BA35" i="266" s="1"/>
  <c r="CD68" i="266"/>
  <c r="EK12" i="266"/>
  <c r="Q18" i="266"/>
  <c r="AG18" i="266"/>
  <c r="AW18" i="266"/>
  <c r="AI18" i="266"/>
  <c r="BO18" i="266"/>
  <c r="BO35" i="266" s="1"/>
  <c r="BO56" i="266" s="1"/>
  <c r="CO18" i="266"/>
  <c r="DY53" i="266"/>
  <c r="BT12" i="266"/>
  <c r="EQ12" i="266" s="1"/>
  <c r="CQ18" i="266"/>
  <c r="AK18" i="266"/>
  <c r="BQ18" i="266"/>
  <c r="BQ35" i="266" s="1"/>
  <c r="BQ56" i="266" s="1"/>
  <c r="EG18" i="266"/>
  <c r="EI18" i="266"/>
  <c r="W18" i="266"/>
  <c r="CD42" i="266"/>
  <c r="EE47" i="266"/>
  <c r="EK47" i="266" s="1"/>
  <c r="FF47" i="266" s="1"/>
  <c r="ET15" i="266"/>
  <c r="EI53" i="266"/>
  <c r="DP62" i="266"/>
  <c r="B6" i="269" s="1"/>
  <c r="C6" i="269" s="1"/>
  <c r="EE68" i="266"/>
  <c r="EK68" i="266" s="1"/>
  <c r="FE68" i="266" s="1"/>
  <c r="DL12" i="266"/>
  <c r="EW12" i="266" s="1"/>
  <c r="Q30" i="258"/>
  <c r="CU56" i="266"/>
  <c r="DU51" i="266"/>
  <c r="EA51" i="266" s="1"/>
  <c r="FC51" i="266" s="1"/>
  <c r="DP67" i="266"/>
  <c r="CK18" i="266"/>
  <c r="DW18" i="266"/>
  <c r="Q41" i="258"/>
  <c r="T41" i="258" s="1"/>
  <c r="DA31" i="266"/>
  <c r="DA35" i="266" s="1"/>
  <c r="DA56" i="266" s="1"/>
  <c r="DU42" i="266"/>
  <c r="EA42" i="266" s="1"/>
  <c r="BE56" i="266"/>
  <c r="DW53" i="266"/>
  <c r="DP66" i="266"/>
  <c r="M18" i="266"/>
  <c r="AC18" i="266"/>
  <c r="AS18" i="266"/>
  <c r="DG18" i="266"/>
  <c r="DG35" i="266" s="1"/>
  <c r="DG56" i="266" s="1"/>
  <c r="EQ23" i="266"/>
  <c r="CY31" i="266"/>
  <c r="CY35" i="266" s="1"/>
  <c r="CY56" i="266" s="1"/>
  <c r="P48" i="258"/>
  <c r="AY31" i="266"/>
  <c r="AY35" i="266" s="1"/>
  <c r="AY56" i="266" s="1"/>
  <c r="Q49" i="258"/>
  <c r="T49" i="258" s="1"/>
  <c r="BA42" i="266"/>
  <c r="BA53" i="266" s="1"/>
  <c r="Q66" i="258"/>
  <c r="T66" i="258" s="1"/>
  <c r="FB47" i="266"/>
  <c r="EA47" i="266"/>
  <c r="CI18" i="266"/>
  <c r="BY31" i="266"/>
  <c r="BY35" i="266" s="1"/>
  <c r="BY56" i="266" s="1"/>
  <c r="DE35" i="266"/>
  <c r="DE56" i="266" s="1"/>
  <c r="DW63" i="266"/>
  <c r="FB63" i="266" s="1"/>
  <c r="EA62" i="266"/>
  <c r="E6" i="269" s="1"/>
  <c r="F6" i="269" s="1"/>
  <c r="EE18" i="266"/>
  <c r="BK47" i="266"/>
  <c r="BK53" i="266" s="1"/>
  <c r="BK56" i="266" s="1"/>
  <c r="FB51" i="266"/>
  <c r="EK63" i="266"/>
  <c r="FE63" i="266" s="1"/>
  <c r="K18" i="266"/>
  <c r="CG18" i="266"/>
  <c r="CD47" i="266"/>
  <c r="EA12" i="266"/>
  <c r="EU12" i="266"/>
  <c r="EE51" i="266"/>
  <c r="EK51" i="266" s="1"/>
  <c r="FF51" i="266"/>
  <c r="DU68" i="266"/>
  <c r="EA68" i="266" s="1"/>
  <c r="EA67" i="266"/>
  <c r="ET63" i="266"/>
  <c r="DP63" i="266"/>
  <c r="DY18" i="266"/>
  <c r="G15" i="266"/>
  <c r="Q43" i="258"/>
  <c r="EK66" i="266"/>
  <c r="DU53" i="266"/>
  <c r="EK62" i="266"/>
  <c r="H6" i="269" s="1"/>
  <c r="I6" i="269" s="1"/>
  <c r="EZ50" i="266"/>
  <c r="BT68" i="266"/>
  <c r="BA56" i="266" l="1"/>
  <c r="EZ63" i="266"/>
  <c r="Q60" i="258"/>
  <c r="T60" i="258" s="1"/>
  <c r="Q60" i="259"/>
  <c r="DP34" i="266"/>
  <c r="EQ34" i="266"/>
  <c r="FF63" i="266"/>
  <c r="AY68" i="258"/>
  <c r="BB68" i="258" s="1"/>
  <c r="BD68" i="258" s="1"/>
  <c r="AH68" i="259"/>
  <c r="AH73" i="259" s="1"/>
  <c r="AH68" i="258"/>
  <c r="U68" i="259"/>
  <c r="AG68" i="259"/>
  <c r="FF68" i="266"/>
  <c r="U68" i="258"/>
  <c r="AG68" i="258"/>
  <c r="T85" i="258"/>
  <c r="T43" i="258"/>
  <c r="BB67" i="258"/>
  <c r="BD67" i="258" s="1"/>
  <c r="DL53" i="266"/>
  <c r="EW53" i="266" s="1"/>
  <c r="CD53" i="266"/>
  <c r="EU53" i="266" s="1"/>
  <c r="EW15" i="266"/>
  <c r="P30" i="258"/>
  <c r="T30" i="258" s="1"/>
  <c r="U30" i="258" s="1"/>
  <c r="EQ28" i="266"/>
  <c r="Q48" i="258"/>
  <c r="T48" i="258" s="1"/>
  <c r="DP12" i="266"/>
  <c r="EW17" i="266"/>
  <c r="P32" i="258"/>
  <c r="EW16" i="266"/>
  <c r="P31" i="258"/>
  <c r="EW23" i="266"/>
  <c r="P40" i="258"/>
  <c r="T40" i="258" s="1"/>
  <c r="EQ17" i="266"/>
  <c r="Q32" i="258"/>
  <c r="EW33" i="266"/>
  <c r="Q39" i="258"/>
  <c r="T39" i="258" s="1"/>
  <c r="Q31" i="258"/>
  <c r="EQ14" i="266"/>
  <c r="BT18" i="266"/>
  <c r="FE47" i="266"/>
  <c r="EQ16" i="266"/>
  <c r="EA53" i="266"/>
  <c r="FC53" i="266" s="1"/>
  <c r="EQ15" i="266"/>
  <c r="FC47" i="266"/>
  <c r="EQ27" i="266"/>
  <c r="EQ68" i="266"/>
  <c r="DP68" i="266"/>
  <c r="EZ68" i="266" s="1"/>
  <c r="EE53" i="266"/>
  <c r="EK53" i="266" s="1"/>
  <c r="EA63" i="266"/>
  <c r="FC63" i="266" s="1"/>
  <c r="G16" i="266"/>
  <c r="FC68" i="266"/>
  <c r="FB68" i="266"/>
  <c r="EW28" i="266"/>
  <c r="EQ18" i="266"/>
  <c r="ER18" i="266"/>
  <c r="BT42" i="266"/>
  <c r="EK18" i="266"/>
  <c r="DP33" i="266"/>
  <c r="EQ33" i="266"/>
  <c r="DL18" i="266"/>
  <c r="EW14" i="266"/>
  <c r="EA18" i="266"/>
  <c r="EQ24" i="266"/>
  <c r="BT47" i="266"/>
  <c r="EQ29" i="266"/>
  <c r="CD18" i="266"/>
  <c r="ET14" i="266"/>
  <c r="AK68" i="258" l="1"/>
  <c r="AL68" i="258" s="1"/>
  <c r="AK68" i="259"/>
  <c r="AL68" i="259" s="1"/>
  <c r="AG73" i="259"/>
  <c r="BB68" i="259"/>
  <c r="BD68" i="259" s="1"/>
  <c r="AY73" i="259"/>
  <c r="T31" i="258"/>
  <c r="U31" i="258" s="1"/>
  <c r="T32" i="258"/>
  <c r="U32" i="258" s="1"/>
  <c r="FB53" i="266"/>
  <c r="DP18" i="266"/>
  <c r="ET18" i="266"/>
  <c r="EU18" i="266"/>
  <c r="FF53" i="266"/>
  <c r="FE53" i="266"/>
  <c r="BT53" i="266"/>
  <c r="EQ42" i="266"/>
  <c r="DP42" i="266"/>
  <c r="EZ42" i="266" s="1"/>
  <c r="FC18" i="266"/>
  <c r="FB18" i="266"/>
  <c r="EQ47" i="266"/>
  <c r="DP47" i="266"/>
  <c r="EZ47" i="266" s="1"/>
  <c r="ER47" i="266"/>
  <c r="EW18" i="266"/>
  <c r="EX18" i="266"/>
  <c r="FF18" i="266"/>
  <c r="FE18" i="266"/>
  <c r="G17" i="266"/>
  <c r="ER53" i="266" l="1"/>
  <c r="EQ53" i="266"/>
  <c r="DP53" i="266"/>
  <c r="EZ53" i="266" s="1"/>
  <c r="G18" i="266"/>
  <c r="G19" i="266" l="1"/>
  <c r="G20" i="266" s="1"/>
  <c r="G21" i="266" s="1"/>
  <c r="G22" i="266" l="1"/>
  <c r="G23" i="266" l="1"/>
  <c r="G24" i="266" l="1"/>
  <c r="G25" i="266" s="1"/>
  <c r="G26" i="266" s="1"/>
  <c r="G27" i="266" s="1"/>
  <c r="G28" i="266" s="1"/>
  <c r="G29" i="266" s="1"/>
  <c r="G30" i="266" s="1"/>
  <c r="G31" i="266" s="1"/>
  <c r="G33" i="266" s="1"/>
  <c r="G34" i="266" s="1"/>
  <c r="G35" i="266" s="1"/>
  <c r="G37" i="266" s="1"/>
  <c r="G39" i="266" s="1"/>
  <c r="G40" i="266" s="1"/>
  <c r="G41" i="266" s="1"/>
  <c r="G42" i="266" s="1"/>
  <c r="G44" i="266" s="1"/>
  <c r="G45" i="266" s="1"/>
  <c r="G46" i="266" s="1"/>
  <c r="G47" i="266" s="1"/>
  <c r="G49" i="266" s="1"/>
  <c r="G50" i="266" s="1"/>
  <c r="G51" i="266" s="1"/>
  <c r="G61" i="266" l="1"/>
  <c r="G53" i="266"/>
  <c r="G56" i="266" s="1"/>
  <c r="G62" i="266" l="1"/>
  <c r="G63" i="266" s="1"/>
  <c r="G65" i="266" s="1"/>
  <c r="G66" i="266" s="1"/>
  <c r="G67" i="266" s="1"/>
  <c r="G68" i="266" s="1"/>
  <c r="S21" i="266" l="1"/>
  <c r="S26" i="266"/>
  <c r="S30" i="266"/>
  <c r="S20" i="266"/>
  <c r="S31" i="266" l="1"/>
  <c r="S35" i="266" s="1"/>
  <c r="S56" i="266" s="1"/>
  <c r="CK31" i="266"/>
  <c r="CK35" i="266" s="1"/>
  <c r="CK56" i="266" s="1"/>
  <c r="AM30" i="266" l="1"/>
  <c r="AM26" i="266"/>
  <c r="AM21" i="266" l="1"/>
  <c r="AM20" i="266"/>
  <c r="AM31" i="266" l="1"/>
  <c r="AM35" i="266" s="1"/>
  <c r="AM56" i="266" s="1"/>
  <c r="AI26" i="266" l="1"/>
  <c r="AI30" i="266"/>
  <c r="AI20" i="266" l="1"/>
  <c r="AI21" i="266" l="1"/>
  <c r="AI31" i="266" s="1"/>
  <c r="AI35" i="266" s="1"/>
  <c r="AI56" i="266" s="1"/>
  <c r="AE26" i="266" l="1"/>
  <c r="AE20" i="266"/>
  <c r="AE30" i="266"/>
  <c r="AE21" i="266" l="1"/>
  <c r="AE31" i="266" s="1"/>
  <c r="AE35" i="266" s="1"/>
  <c r="AE56" i="266" s="1"/>
  <c r="AC30" i="266"/>
  <c r="AC20" i="266"/>
  <c r="AC26" i="266"/>
  <c r="AA26" i="266" l="1"/>
  <c r="AA30" i="266"/>
  <c r="Y30" i="266"/>
  <c r="Y26" i="266"/>
  <c r="AA20" i="266"/>
  <c r="AA21" i="266" l="1"/>
  <c r="AA31" i="266" s="1"/>
  <c r="AA35" i="266" s="1"/>
  <c r="AA56" i="266" s="1"/>
  <c r="Y20" i="266"/>
  <c r="AC21" i="266"/>
  <c r="AC31" i="266" s="1"/>
  <c r="AC35" i="266" s="1"/>
  <c r="AC56" i="266" s="1"/>
  <c r="Y21" i="266" l="1"/>
  <c r="Y31" i="266" s="1"/>
  <c r="Y35" i="266" s="1"/>
  <c r="Y56" i="266" s="1"/>
  <c r="W30" i="266" l="1"/>
  <c r="W26" i="266"/>
  <c r="W20" i="266" l="1"/>
  <c r="BW31" i="266"/>
  <c r="BW35" i="266" s="1"/>
  <c r="BW56" i="266" s="1"/>
  <c r="CD31" i="266"/>
  <c r="W21" i="266" l="1"/>
  <c r="W31" i="266" s="1"/>
  <c r="W35" i="266" s="1"/>
  <c r="W56" i="266" s="1"/>
  <c r="EU31" i="266"/>
  <c r="CD35" i="266"/>
  <c r="CD56" i="266" l="1"/>
  <c r="EU56" i="266" s="1"/>
  <c r="EU35" i="266"/>
  <c r="Q26" i="266" l="1"/>
  <c r="Q30" i="266"/>
  <c r="O30" i="266"/>
  <c r="O26" i="266"/>
  <c r="Q20" i="266" l="1"/>
  <c r="Q21" i="266"/>
  <c r="Q31" i="266" l="1"/>
  <c r="Q35" i="266" s="1"/>
  <c r="Q56" i="266" s="1"/>
  <c r="O21" i="266"/>
  <c r="O20" i="266"/>
  <c r="O31" i="266" l="1"/>
  <c r="O35" i="266" s="1"/>
  <c r="O56" i="266" s="1"/>
  <c r="M26" i="266"/>
  <c r="M30" i="266"/>
  <c r="M21" i="266" l="1"/>
  <c r="M20" i="266"/>
  <c r="M31" i="266" l="1"/>
  <c r="M35" i="266" s="1"/>
  <c r="M56" i="266" s="1"/>
  <c r="CG31" i="266" l="1"/>
  <c r="CG35" i="266" s="1"/>
  <c r="CG56" i="266" s="1"/>
  <c r="AO21" i="266" l="1"/>
  <c r="AG21" i="266"/>
  <c r="AO26" i="266"/>
  <c r="AU20" i="266"/>
  <c r="U30" i="266"/>
  <c r="K20" i="266"/>
  <c r="AK21" i="266"/>
  <c r="AQ20" i="266"/>
  <c r="AK20" i="266"/>
  <c r="AW30" i="266"/>
  <c r="AW26" i="266"/>
  <c r="AU30" i="266"/>
  <c r="AK30" i="266"/>
  <c r="AQ26" i="266"/>
  <c r="AS26" i="266"/>
  <c r="AO20" i="266"/>
  <c r="AO30" i="266"/>
  <c r="AG26" i="266"/>
  <c r="AS20" i="266"/>
  <c r="AU26" i="266"/>
  <c r="AS21" i="266"/>
  <c r="U26" i="266"/>
  <c r="AG30" i="266"/>
  <c r="AW21" i="266"/>
  <c r="U21" i="266"/>
  <c r="AW20" i="266"/>
  <c r="AQ21" i="266"/>
  <c r="AU21" i="266"/>
  <c r="K26" i="266"/>
  <c r="AQ30" i="266"/>
  <c r="AS30" i="266"/>
  <c r="AK26" i="266"/>
  <c r="AG20" i="266"/>
  <c r="K30" i="266"/>
  <c r="K21" i="266"/>
  <c r="U20" i="266"/>
  <c r="ET21" i="266"/>
  <c r="ET26" i="266"/>
  <c r="ET20" i="266"/>
  <c r="ET30" i="266"/>
  <c r="CQ31" i="266" l="1"/>
  <c r="CQ35" i="266" s="1"/>
  <c r="CQ56" i="266" s="1"/>
  <c r="U31" i="266"/>
  <c r="U35" i="266" s="1"/>
  <c r="U56" i="266" s="1"/>
  <c r="AG31" i="266"/>
  <c r="AG35" i="266" s="1"/>
  <c r="AG56" i="266" s="1"/>
  <c r="AW31" i="266"/>
  <c r="AW35" i="266" s="1"/>
  <c r="AW56" i="266" s="1"/>
  <c r="AO31" i="266"/>
  <c r="AO35" i="266" s="1"/>
  <c r="AO56" i="266" s="1"/>
  <c r="CM31" i="266"/>
  <c r="CM35" i="266" s="1"/>
  <c r="CM56" i="266" s="1"/>
  <c r="Q46" i="258"/>
  <c r="AS31" i="266"/>
  <c r="AS35" i="266" s="1"/>
  <c r="AS56" i="266" s="1"/>
  <c r="K31" i="266"/>
  <c r="K35" i="266" s="1"/>
  <c r="K56" i="266" s="1"/>
  <c r="Q36" i="258"/>
  <c r="AU31" i="266"/>
  <c r="AU35" i="266" s="1"/>
  <c r="AU56" i="266" s="1"/>
  <c r="Q51" i="258"/>
  <c r="CI31" i="266"/>
  <c r="CI35" i="266" s="1"/>
  <c r="CI56" i="266" s="1"/>
  <c r="P36" i="258"/>
  <c r="AK31" i="266"/>
  <c r="AK35" i="266" s="1"/>
  <c r="AK56" i="266" s="1"/>
  <c r="CO31" i="266"/>
  <c r="CO35" i="266" s="1"/>
  <c r="CO56" i="266" s="1"/>
  <c r="CS31" i="266"/>
  <c r="CS35" i="266" s="1"/>
  <c r="CS56" i="266" s="1"/>
  <c r="AQ31" i="266"/>
  <c r="AQ35" i="266" s="1"/>
  <c r="AQ56" i="266" s="1"/>
  <c r="AG37" i="258"/>
  <c r="AG36" i="258"/>
  <c r="AG51" i="258"/>
  <c r="AG46" i="258"/>
  <c r="ET31" i="266"/>
  <c r="T36" i="258" l="1"/>
  <c r="AH36" i="258"/>
  <c r="AH46" i="258"/>
  <c r="AH37" i="258"/>
  <c r="AH51" i="258"/>
  <c r="EQ26" i="266"/>
  <c r="EW26" i="266"/>
  <c r="P46" i="258"/>
  <c r="T46" i="258" s="1"/>
  <c r="EW21" i="266"/>
  <c r="P37" i="258"/>
  <c r="EW30" i="266"/>
  <c r="P51" i="258"/>
  <c r="T51" i="258" s="1"/>
  <c r="EQ21" i="266"/>
  <c r="Q37" i="258"/>
  <c r="EQ30" i="266"/>
  <c r="DL31" i="266"/>
  <c r="EW31" i="266" s="1"/>
  <c r="BT31" i="266"/>
  <c r="DU31" i="266"/>
  <c r="DY31" i="266"/>
  <c r="DY35" i="266" s="1"/>
  <c r="DY56" i="266" s="1"/>
  <c r="DW31" i="266"/>
  <c r="DW35" i="266" s="1"/>
  <c r="DW56" i="266" s="1"/>
  <c r="EW20" i="266"/>
  <c r="EQ20" i="266"/>
  <c r="AX36" i="258"/>
  <c r="AX51" i="258"/>
  <c r="AX46" i="258"/>
  <c r="AX37" i="258"/>
  <c r="ET35" i="266"/>
  <c r="T37" i="258" l="1"/>
  <c r="U36" i="258"/>
  <c r="AY36" i="258"/>
  <c r="AY51" i="258"/>
  <c r="AY37" i="258"/>
  <c r="EI31" i="266"/>
  <c r="EI35" i="266" s="1"/>
  <c r="EI56" i="266" s="1"/>
  <c r="EA31" i="266"/>
  <c r="DU35" i="266"/>
  <c r="DP31" i="266"/>
  <c r="ER31" i="266"/>
  <c r="BT35" i="266"/>
  <c r="EQ35" i="266" s="1"/>
  <c r="EQ31" i="266"/>
  <c r="EX31" i="266"/>
  <c r="DL35" i="266"/>
  <c r="EG31" i="266"/>
  <c r="EG35" i="266" s="1"/>
  <c r="EG56" i="266" s="1"/>
  <c r="ET56" i="266"/>
  <c r="AY46" i="258" l="1"/>
  <c r="EE31" i="266"/>
  <c r="EK31" i="266" s="1"/>
  <c r="DL56" i="266"/>
  <c r="EW56" i="266" s="1"/>
  <c r="EX35" i="266"/>
  <c r="DP35" i="266"/>
  <c r="EZ35" i="266" s="1"/>
  <c r="BT56" i="266"/>
  <c r="ER35" i="266"/>
  <c r="EA35" i="266"/>
  <c r="E5" i="269" s="1"/>
  <c r="DU56" i="266"/>
  <c r="EA56" i="266" s="1"/>
  <c r="FC31" i="266"/>
  <c r="FB31" i="266"/>
  <c r="EW35" i="266"/>
  <c r="F5" i="269" l="1"/>
  <c r="EE35" i="266"/>
  <c r="EE56" i="266" s="1"/>
  <c r="EK56" i="266" s="1"/>
  <c r="ER56" i="266"/>
  <c r="DP56" i="266"/>
  <c r="EQ56" i="266"/>
  <c r="FB56" i="266"/>
  <c r="FC56" i="266"/>
  <c r="FB35" i="266"/>
  <c r="FC35" i="266"/>
  <c r="FE31" i="266"/>
  <c r="FF31" i="266"/>
  <c r="EZ56" i="266" l="1"/>
  <c r="B5" i="269"/>
  <c r="EK35" i="266"/>
  <c r="FE56" i="266"/>
  <c r="FF35" i="266" l="1"/>
  <c r="H5" i="269"/>
  <c r="C5" i="269"/>
  <c r="FF56" i="266"/>
  <c r="FE35" i="266"/>
  <c r="I5" i="269" l="1"/>
  <c r="L66" i="258"/>
  <c r="U66" i="258" s="1"/>
  <c r="L67" i="258"/>
  <c r="U67" i="258" s="1"/>
  <c r="AC66" i="258"/>
  <c r="AL66" i="258" s="1"/>
  <c r="AC67" i="258"/>
  <c r="AL67" i="258" s="1"/>
  <c r="BA87" i="259" l="1"/>
  <c r="BB86" i="259"/>
  <c r="BB85" i="259"/>
  <c r="AZ83" i="259"/>
  <c r="AW83" i="259"/>
  <c r="AV83" i="259"/>
  <c r="BB82" i="259"/>
  <c r="BB81" i="259"/>
  <c r="BB80" i="259"/>
  <c r="BB77" i="259"/>
  <c r="BB76" i="259"/>
  <c r="AZ73" i="259"/>
  <c r="AW73" i="259"/>
  <c r="AV73" i="259"/>
  <c r="BB72" i="259"/>
  <c r="BB71" i="259"/>
  <c r="BB70" i="259"/>
  <c r="BD70" i="259" s="1"/>
  <c r="BB69" i="259"/>
  <c r="BD69" i="259" s="1"/>
  <c r="BB65" i="259"/>
  <c r="BB64" i="259"/>
  <c r="BB63" i="259"/>
  <c r="BB57" i="259"/>
  <c r="AZ56" i="259"/>
  <c r="AW56" i="259"/>
  <c r="AV56" i="259"/>
  <c r="BB54" i="259"/>
  <c r="BB53" i="259"/>
  <c r="BB52" i="259"/>
  <c r="BB51" i="259"/>
  <c r="BB50" i="259"/>
  <c r="BB49" i="259"/>
  <c r="BB48" i="259"/>
  <c r="BB47" i="259"/>
  <c r="BB46" i="259"/>
  <c r="BB45" i="259"/>
  <c r="BB44" i="259"/>
  <c r="BB43" i="259"/>
  <c r="BB42" i="259"/>
  <c r="BB40" i="259"/>
  <c r="BB39" i="259"/>
  <c r="BB38" i="259"/>
  <c r="BB37" i="259"/>
  <c r="BB36" i="259"/>
  <c r="AZ33" i="259"/>
  <c r="AW33" i="259"/>
  <c r="AV33" i="259"/>
  <c r="BB32" i="259"/>
  <c r="BB31" i="259"/>
  <c r="BB30" i="259"/>
  <c r="AZ24" i="259"/>
  <c r="AW24" i="259"/>
  <c r="AV23" i="259"/>
  <c r="BB23" i="259" s="1"/>
  <c r="BB22" i="259"/>
  <c r="AV21" i="259"/>
  <c r="BB14" i="259"/>
  <c r="AZ10" i="259"/>
  <c r="AZ13" i="259" s="1"/>
  <c r="AZ16" i="259" s="1"/>
  <c r="AW10" i="259"/>
  <c r="AW13" i="259" s="1"/>
  <c r="AW16" i="259" s="1"/>
  <c r="AV10" i="259"/>
  <c r="AV13" i="259" s="1"/>
  <c r="BB9" i="259"/>
  <c r="BB8" i="259"/>
  <c r="BB7" i="259"/>
  <c r="AK7" i="259"/>
  <c r="AK8" i="259"/>
  <c r="AK9" i="259"/>
  <c r="AK14" i="259"/>
  <c r="AK18" i="259"/>
  <c r="AK22" i="259"/>
  <c r="AK26" i="259"/>
  <c r="AK28" i="259"/>
  <c r="AK30" i="259"/>
  <c r="AK31" i="259"/>
  <c r="AK32" i="259"/>
  <c r="AK35" i="259"/>
  <c r="AK36" i="259"/>
  <c r="AK37" i="259"/>
  <c r="AK38" i="259"/>
  <c r="AK39" i="259"/>
  <c r="AK40" i="259"/>
  <c r="AK41" i="259"/>
  <c r="AK42" i="259"/>
  <c r="AK43" i="259"/>
  <c r="AK44" i="259"/>
  <c r="AK45" i="259"/>
  <c r="AK46" i="259"/>
  <c r="AK47" i="259"/>
  <c r="AK48" i="259"/>
  <c r="AK49" i="259"/>
  <c r="AK50" i="259"/>
  <c r="AK51" i="259"/>
  <c r="AK52" i="259"/>
  <c r="AK53" i="259"/>
  <c r="AK54" i="259"/>
  <c r="AK63" i="259"/>
  <c r="AK64" i="259"/>
  <c r="AK65" i="259"/>
  <c r="AK69" i="259"/>
  <c r="AK70" i="259"/>
  <c r="AL70" i="259" s="1"/>
  <c r="AK71" i="259"/>
  <c r="AK72" i="259"/>
  <c r="AK76" i="259"/>
  <c r="AK77" i="259"/>
  <c r="AK80" i="259"/>
  <c r="AK81" i="259"/>
  <c r="AK82" i="259"/>
  <c r="AK85" i="259"/>
  <c r="AK86" i="259"/>
  <c r="AJ87" i="259"/>
  <c r="AI83" i="259"/>
  <c r="AF83" i="259"/>
  <c r="AE83" i="259"/>
  <c r="AI73" i="259"/>
  <c r="AF73" i="259"/>
  <c r="AE73" i="259"/>
  <c r="AI56" i="259"/>
  <c r="AF56" i="259"/>
  <c r="AE56" i="259"/>
  <c r="AI33" i="259"/>
  <c r="AF33" i="259"/>
  <c r="AE33" i="259"/>
  <c r="AI24" i="259"/>
  <c r="AF24" i="259"/>
  <c r="AE23" i="259"/>
  <c r="AK23" i="259" s="1"/>
  <c r="AE21" i="259"/>
  <c r="AI10" i="259"/>
  <c r="AI13" i="259" s="1"/>
  <c r="AI16" i="259" s="1"/>
  <c r="AF10" i="259"/>
  <c r="AF13" i="259" s="1"/>
  <c r="AF16" i="259" s="1"/>
  <c r="AE10" i="259"/>
  <c r="AE13" i="259" s="1"/>
  <c r="U19" i="259"/>
  <c r="S87" i="259"/>
  <c r="T86" i="259"/>
  <c r="T85" i="259"/>
  <c r="R83" i="259"/>
  <c r="O83" i="259"/>
  <c r="N83" i="259"/>
  <c r="T82" i="259"/>
  <c r="T81" i="259"/>
  <c r="T80" i="259"/>
  <c r="T77" i="259"/>
  <c r="T76" i="259"/>
  <c r="R73" i="259"/>
  <c r="Q73" i="259"/>
  <c r="P73" i="259"/>
  <c r="O73" i="259"/>
  <c r="N73" i="259"/>
  <c r="T72" i="259"/>
  <c r="T71" i="259"/>
  <c r="T70" i="259"/>
  <c r="U70" i="259" s="1"/>
  <c r="T69" i="259"/>
  <c r="T65" i="259"/>
  <c r="T64" i="259"/>
  <c r="T63" i="259"/>
  <c r="T60" i="259"/>
  <c r="R56" i="259"/>
  <c r="Q56" i="259"/>
  <c r="P56" i="259"/>
  <c r="O56" i="259"/>
  <c r="N56" i="259"/>
  <c r="T55" i="259"/>
  <c r="T54" i="259"/>
  <c r="T53" i="259"/>
  <c r="T52" i="259"/>
  <c r="T51" i="259"/>
  <c r="T50" i="259"/>
  <c r="T49" i="259"/>
  <c r="T48" i="259"/>
  <c r="T47" i="259"/>
  <c r="T45" i="259"/>
  <c r="T44" i="259"/>
  <c r="T43" i="259"/>
  <c r="T42" i="259"/>
  <c r="T41" i="259"/>
  <c r="T40" i="259"/>
  <c r="T39" i="259"/>
  <c r="T38" i="259"/>
  <c r="T37" i="259"/>
  <c r="T36" i="259"/>
  <c r="R33" i="259"/>
  <c r="Q33" i="259"/>
  <c r="P33" i="259"/>
  <c r="O33" i="259"/>
  <c r="N33" i="259"/>
  <c r="T32" i="259"/>
  <c r="T31" i="259"/>
  <c r="T30" i="259"/>
  <c r="T29" i="259"/>
  <c r="R24" i="259"/>
  <c r="Q24" i="259"/>
  <c r="P24" i="259"/>
  <c r="O24" i="259"/>
  <c r="N23" i="259"/>
  <c r="T23" i="259" s="1"/>
  <c r="T22" i="259"/>
  <c r="N21" i="259"/>
  <c r="T21" i="259" s="1"/>
  <c r="T20" i="259"/>
  <c r="U20" i="259" s="1"/>
  <c r="T14" i="259"/>
  <c r="R10" i="259"/>
  <c r="R13" i="259" s="1"/>
  <c r="R16" i="259" s="1"/>
  <c r="Q10" i="259"/>
  <c r="Q13" i="259" s="1"/>
  <c r="Q16" i="259" s="1"/>
  <c r="P10" i="259"/>
  <c r="P13" i="259" s="1"/>
  <c r="P16" i="259" s="1"/>
  <c r="O10" i="259"/>
  <c r="O13" i="259" s="1"/>
  <c r="O16" i="259" s="1"/>
  <c r="N10" i="259"/>
  <c r="N13" i="259" s="1"/>
  <c r="T9" i="259"/>
  <c r="T8" i="259"/>
  <c r="T7" i="259"/>
  <c r="AK14" i="258"/>
  <c r="AK7" i="258"/>
  <c r="AS87" i="259"/>
  <c r="AB87" i="259"/>
  <c r="K87" i="259"/>
  <c r="AR85" i="259"/>
  <c r="AT85" i="259" s="1"/>
  <c r="AA85" i="259"/>
  <c r="AC85" i="259" s="1"/>
  <c r="J85" i="259"/>
  <c r="L85" i="259" s="1"/>
  <c r="AT82" i="259"/>
  <c r="AC82" i="259"/>
  <c r="L82" i="259"/>
  <c r="AT81" i="259"/>
  <c r="AC81" i="259"/>
  <c r="L81" i="259"/>
  <c r="AT80" i="259"/>
  <c r="AC80" i="259"/>
  <c r="L80" i="259"/>
  <c r="AQ79" i="259"/>
  <c r="Z79" i="259"/>
  <c r="I79" i="259"/>
  <c r="AP78" i="259"/>
  <c r="Y78" i="259"/>
  <c r="AG78" i="259" s="1"/>
  <c r="AG83" i="259" s="1"/>
  <c r="H78" i="259"/>
  <c r="AO77" i="259"/>
  <c r="AO83" i="259" s="1"/>
  <c r="X77" i="259"/>
  <c r="AC77" i="259" s="1"/>
  <c r="G77" i="259"/>
  <c r="G83" i="259" s="1"/>
  <c r="AR76" i="259"/>
  <c r="AT76" i="259" s="1"/>
  <c r="AA76" i="259"/>
  <c r="J76" i="259"/>
  <c r="L76" i="259" s="1"/>
  <c r="AQ73" i="259"/>
  <c r="AP73" i="259"/>
  <c r="AO73" i="259"/>
  <c r="AN73" i="259"/>
  <c r="Z73" i="259"/>
  <c r="Y73" i="259"/>
  <c r="X73" i="259"/>
  <c r="W73" i="259"/>
  <c r="I73" i="259"/>
  <c r="H73" i="259"/>
  <c r="G73" i="259"/>
  <c r="F73" i="259"/>
  <c r="AT72" i="259"/>
  <c r="AC72" i="259"/>
  <c r="L72" i="259"/>
  <c r="AT71" i="259"/>
  <c r="AC71" i="259"/>
  <c r="L71" i="259"/>
  <c r="AC69" i="259"/>
  <c r="L69" i="259"/>
  <c r="AT64" i="259"/>
  <c r="AC64" i="259"/>
  <c r="L64" i="259"/>
  <c r="AT63" i="259"/>
  <c r="AC63" i="259"/>
  <c r="L63" i="259"/>
  <c r="AN61" i="259"/>
  <c r="Z60" i="259"/>
  <c r="Y60" i="259"/>
  <c r="L60" i="259"/>
  <c r="AR56" i="259"/>
  <c r="AO56" i="259"/>
  <c r="AN56" i="259"/>
  <c r="AA56" i="259"/>
  <c r="X56" i="259"/>
  <c r="J56" i="259"/>
  <c r="I56" i="259"/>
  <c r="H56" i="259"/>
  <c r="G56" i="259"/>
  <c r="Z55" i="259"/>
  <c r="Y55" i="259"/>
  <c r="L55" i="259"/>
  <c r="AT54" i="259"/>
  <c r="AC54" i="259"/>
  <c r="AL54" i="259" s="1"/>
  <c r="L54" i="259"/>
  <c r="AT53" i="259"/>
  <c r="AC53" i="259"/>
  <c r="L53" i="259"/>
  <c r="AT52" i="259"/>
  <c r="AC52" i="259"/>
  <c r="L52" i="259"/>
  <c r="AT51" i="259"/>
  <c r="AC51" i="259"/>
  <c r="L51" i="259"/>
  <c r="AT50" i="259"/>
  <c r="AC50" i="259"/>
  <c r="L50" i="259"/>
  <c r="AT49" i="259"/>
  <c r="AC49" i="259"/>
  <c r="L49" i="259"/>
  <c r="AT48" i="259"/>
  <c r="AC48" i="259"/>
  <c r="L48" i="259"/>
  <c r="AT47" i="259"/>
  <c r="AC47" i="259"/>
  <c r="L47" i="259"/>
  <c r="AT46" i="259"/>
  <c r="AC46" i="259"/>
  <c r="L46" i="259"/>
  <c r="AT45" i="259"/>
  <c r="AC45" i="259"/>
  <c r="L45" i="259"/>
  <c r="AT44" i="259"/>
  <c r="AC44" i="259"/>
  <c r="L44" i="259"/>
  <c r="AT43" i="259"/>
  <c r="AC43" i="259"/>
  <c r="L43" i="259"/>
  <c r="AT42" i="259"/>
  <c r="AC42" i="259"/>
  <c r="L42" i="259"/>
  <c r="AT41" i="259"/>
  <c r="AC41" i="259"/>
  <c r="L41" i="259"/>
  <c r="AT40" i="259"/>
  <c r="AC40" i="259"/>
  <c r="L40" i="259"/>
  <c r="AT39" i="259"/>
  <c r="AC39" i="259"/>
  <c r="L39" i="259"/>
  <c r="AT38" i="259"/>
  <c r="AC38" i="259"/>
  <c r="AL38" i="259" s="1"/>
  <c r="L38" i="259"/>
  <c r="AT37" i="259"/>
  <c r="AC37" i="259"/>
  <c r="L37" i="259"/>
  <c r="AT36" i="259"/>
  <c r="AC36" i="259"/>
  <c r="L36" i="259"/>
  <c r="AR33" i="259"/>
  <c r="AO33" i="259"/>
  <c r="AA33" i="259"/>
  <c r="X33" i="259"/>
  <c r="J33" i="259"/>
  <c r="I33" i="259"/>
  <c r="H33" i="259"/>
  <c r="G33" i="259"/>
  <c r="AT32" i="259"/>
  <c r="AC32" i="259"/>
  <c r="L32" i="259"/>
  <c r="AT31" i="259"/>
  <c r="AC31" i="259"/>
  <c r="L31" i="259"/>
  <c r="AT30" i="259"/>
  <c r="AC30" i="259"/>
  <c r="L30" i="259"/>
  <c r="Z29" i="259"/>
  <c r="Y29" i="259"/>
  <c r="AG29" i="259" s="1"/>
  <c r="AG33" i="259" s="1"/>
  <c r="L29" i="259"/>
  <c r="AS24" i="259"/>
  <c r="AN23" i="259"/>
  <c r="AT23" i="259" s="1"/>
  <c r="W23" i="259"/>
  <c r="AC23" i="259" s="1"/>
  <c r="L23" i="259"/>
  <c r="AN22" i="259"/>
  <c r="AT22" i="259" s="1"/>
  <c r="W22" i="259"/>
  <c r="AC22" i="259" s="1"/>
  <c r="L22" i="259"/>
  <c r="AN21" i="259"/>
  <c r="AT21" i="259" s="1"/>
  <c r="W21" i="259"/>
  <c r="AC21" i="259" s="1"/>
  <c r="L21" i="259"/>
  <c r="AR16" i="259"/>
  <c r="AQ16" i="259"/>
  <c r="AP16" i="259"/>
  <c r="AO16" i="259"/>
  <c r="AA16" i="259"/>
  <c r="Z16" i="259"/>
  <c r="Y16" i="259"/>
  <c r="X16" i="259"/>
  <c r="J16" i="259"/>
  <c r="I16" i="259"/>
  <c r="H16" i="259"/>
  <c r="G16" i="259"/>
  <c r="AR10" i="259"/>
  <c r="AQ10" i="259"/>
  <c r="AP10" i="259"/>
  <c r="AO10" i="259"/>
  <c r="AA10" i="259"/>
  <c r="Z10" i="259"/>
  <c r="Y10" i="259"/>
  <c r="X10" i="259"/>
  <c r="J10" i="259"/>
  <c r="I10" i="259"/>
  <c r="H10" i="259"/>
  <c r="G10" i="259"/>
  <c r="AN8" i="259"/>
  <c r="AT8" i="259" s="1"/>
  <c r="W8" i="259"/>
  <c r="AC8" i="259" s="1"/>
  <c r="L8" i="259"/>
  <c r="BB86" i="258"/>
  <c r="BB85" i="258"/>
  <c r="BB82" i="258"/>
  <c r="BB81" i="258"/>
  <c r="BB80" i="258"/>
  <c r="BB77" i="258"/>
  <c r="BB76" i="258"/>
  <c r="BB75" i="258"/>
  <c r="BD75" i="258" s="1"/>
  <c r="BB72" i="258"/>
  <c r="BB71" i="258"/>
  <c r="BD71" i="258" s="1"/>
  <c r="BB70" i="258"/>
  <c r="BD70" i="258" s="1"/>
  <c r="BB69" i="258"/>
  <c r="BD69" i="258" s="1"/>
  <c r="BB65" i="258"/>
  <c r="BB64" i="258"/>
  <c r="BB63" i="258"/>
  <c r="BB62" i="258"/>
  <c r="BD62" i="258" s="1"/>
  <c r="BB59" i="258"/>
  <c r="BD59" i="258" s="1"/>
  <c r="BB57" i="258"/>
  <c r="BD57" i="258" s="1"/>
  <c r="BB54" i="258"/>
  <c r="BB53" i="258"/>
  <c r="BB52" i="258"/>
  <c r="BB51" i="258"/>
  <c r="BB50" i="258"/>
  <c r="BB49" i="258"/>
  <c r="BB48" i="258"/>
  <c r="BB47" i="258"/>
  <c r="BB46" i="258"/>
  <c r="BB45" i="258"/>
  <c r="BB44" i="258"/>
  <c r="BB43" i="258"/>
  <c r="BB42" i="258"/>
  <c r="BB41" i="258"/>
  <c r="BB40" i="258"/>
  <c r="BB39" i="258"/>
  <c r="BB38" i="258"/>
  <c r="BB37" i="258"/>
  <c r="BB36" i="258"/>
  <c r="BB35" i="258"/>
  <c r="BD35" i="258" s="1"/>
  <c r="BB32" i="258"/>
  <c r="BB31" i="258"/>
  <c r="BB30" i="258"/>
  <c r="BB28" i="258"/>
  <c r="BB26" i="258"/>
  <c r="BB22" i="258"/>
  <c r="BB20" i="258"/>
  <c r="BB18" i="258"/>
  <c r="BB14" i="258"/>
  <c r="BB9" i="258"/>
  <c r="BB8" i="258"/>
  <c r="BB7" i="258"/>
  <c r="AZ83" i="258"/>
  <c r="AW83" i="258"/>
  <c r="AV83" i="258"/>
  <c r="AZ73" i="258"/>
  <c r="AY73" i="258"/>
  <c r="AX73" i="258"/>
  <c r="AW73" i="258"/>
  <c r="AV73" i="258"/>
  <c r="AV23" i="258"/>
  <c r="BB23" i="258" s="1"/>
  <c r="AV21" i="258"/>
  <c r="AK86" i="258"/>
  <c r="AK85" i="258"/>
  <c r="AK82" i="258"/>
  <c r="AK81" i="258"/>
  <c r="AK80" i="258"/>
  <c r="AK77" i="258"/>
  <c r="AK76" i="258"/>
  <c r="AK75" i="258"/>
  <c r="AL75" i="258" s="1"/>
  <c r="AK72" i="258"/>
  <c r="AK71" i="258"/>
  <c r="AK70" i="258"/>
  <c r="AL70" i="258" s="1"/>
  <c r="AK69" i="258"/>
  <c r="AK65" i="258"/>
  <c r="AK64" i="258"/>
  <c r="AK63" i="258"/>
  <c r="AK62" i="258"/>
  <c r="AL62" i="258" s="1"/>
  <c r="AK59" i="258"/>
  <c r="AL59" i="258" s="1"/>
  <c r="AK57" i="258"/>
  <c r="AL57" i="258" s="1"/>
  <c r="AK54" i="258"/>
  <c r="AK53" i="258"/>
  <c r="AK52" i="258"/>
  <c r="AK51" i="258"/>
  <c r="AK50" i="258"/>
  <c r="AK49" i="258"/>
  <c r="AK48" i="258"/>
  <c r="AK47" i="258"/>
  <c r="AK46" i="258"/>
  <c r="AK45" i="258"/>
  <c r="AK44" i="258"/>
  <c r="AK43" i="258"/>
  <c r="AK42" i="258"/>
  <c r="AK41" i="258"/>
  <c r="AK40" i="258"/>
  <c r="AK39" i="258"/>
  <c r="AK38" i="258"/>
  <c r="AK37" i="258"/>
  <c r="AK36" i="258"/>
  <c r="AK35" i="258"/>
  <c r="AL35" i="258" s="1"/>
  <c r="AK32" i="258"/>
  <c r="AK31" i="258"/>
  <c r="AK30" i="258"/>
  <c r="AK28" i="258"/>
  <c r="AK26" i="258"/>
  <c r="AK22" i="258"/>
  <c r="AK20" i="258"/>
  <c r="AK18" i="258"/>
  <c r="AK9" i="258"/>
  <c r="AK8" i="258"/>
  <c r="AI83" i="258"/>
  <c r="AF83" i="258"/>
  <c r="AE83" i="258"/>
  <c r="AI73" i="258"/>
  <c r="AH73" i="258"/>
  <c r="AG73" i="258"/>
  <c r="AF73" i="258"/>
  <c r="AE73" i="258"/>
  <c r="AE23" i="258"/>
  <c r="AK23" i="258" s="1"/>
  <c r="AE21" i="258"/>
  <c r="O83" i="258"/>
  <c r="N83" i="258"/>
  <c r="R83" i="258"/>
  <c r="Q73" i="258"/>
  <c r="P73" i="258"/>
  <c r="O73" i="258"/>
  <c r="N73" i="258"/>
  <c r="N23" i="258"/>
  <c r="T23" i="258" s="1"/>
  <c r="N21" i="258"/>
  <c r="A88" i="258"/>
  <c r="AR85" i="258"/>
  <c r="AT85" i="258" s="1"/>
  <c r="AA85" i="258"/>
  <c r="AC85" i="258" s="1"/>
  <c r="J85" i="258"/>
  <c r="L85" i="258" s="1"/>
  <c r="U85" i="258" s="1"/>
  <c r="AN83" i="258"/>
  <c r="W83" i="258"/>
  <c r="F83" i="258"/>
  <c r="AT82" i="258"/>
  <c r="AC82" i="258"/>
  <c r="L82" i="258"/>
  <c r="U82" i="258" s="1"/>
  <c r="AT81" i="258"/>
  <c r="AC81" i="258"/>
  <c r="L81" i="258"/>
  <c r="U81" i="258" s="1"/>
  <c r="AT80" i="258"/>
  <c r="AC80" i="258"/>
  <c r="L80" i="258"/>
  <c r="U80" i="258" s="1"/>
  <c r="AQ79" i="258"/>
  <c r="Z79" i="258"/>
  <c r="I79" i="258"/>
  <c r="Q79" i="258" s="1"/>
  <c r="T79" i="258" s="1"/>
  <c r="AP78" i="258"/>
  <c r="Y78" i="258"/>
  <c r="H78" i="258"/>
  <c r="AO77" i="258"/>
  <c r="AO83" i="258" s="1"/>
  <c r="X77" i="258"/>
  <c r="X83" i="258" s="1"/>
  <c r="G77" i="258"/>
  <c r="G83" i="258" s="1"/>
  <c r="AR76" i="258"/>
  <c r="AR83" i="258" s="1"/>
  <c r="J76" i="258"/>
  <c r="J83" i="258" s="1"/>
  <c r="AQ73" i="258"/>
  <c r="AP73" i="258"/>
  <c r="AO73" i="258"/>
  <c r="AN73" i="258"/>
  <c r="Z73" i="258"/>
  <c r="Y73" i="258"/>
  <c r="X73" i="258"/>
  <c r="W73" i="258"/>
  <c r="I73" i="258"/>
  <c r="H73" i="258"/>
  <c r="G73" i="258"/>
  <c r="F73" i="258"/>
  <c r="AT72" i="258"/>
  <c r="AC72" i="258"/>
  <c r="L72" i="258"/>
  <c r="U72" i="258" s="1"/>
  <c r="AC71" i="258"/>
  <c r="L71" i="258"/>
  <c r="U71" i="258" s="1"/>
  <c r="L70" i="258"/>
  <c r="U70" i="258" s="1"/>
  <c r="AC69" i="258"/>
  <c r="L69" i="258"/>
  <c r="U69" i="258" s="1"/>
  <c r="AT64" i="258"/>
  <c r="AC64" i="258"/>
  <c r="L64" i="258"/>
  <c r="U64" i="258" s="1"/>
  <c r="AT63" i="258"/>
  <c r="AC63" i="258"/>
  <c r="L63" i="258"/>
  <c r="U63" i="258" s="1"/>
  <c r="Z60" i="258"/>
  <c r="Y60" i="258"/>
  <c r="AG60" i="258" s="1"/>
  <c r="L60" i="258"/>
  <c r="U60" i="258" s="1"/>
  <c r="I55" i="258"/>
  <c r="H55" i="258"/>
  <c r="H56" i="258" s="1"/>
  <c r="AT54" i="258"/>
  <c r="AC54" i="258"/>
  <c r="L54" i="258"/>
  <c r="U54" i="258" s="1"/>
  <c r="AT53" i="258"/>
  <c r="AC53" i="258"/>
  <c r="L53" i="258"/>
  <c r="U53" i="258" s="1"/>
  <c r="AT52" i="258"/>
  <c r="AC52" i="258"/>
  <c r="L52" i="258"/>
  <c r="U52" i="258" s="1"/>
  <c r="AT51" i="258"/>
  <c r="AC51" i="258"/>
  <c r="L51" i="258"/>
  <c r="U51" i="258" s="1"/>
  <c r="AT50" i="258"/>
  <c r="AC50" i="258"/>
  <c r="L50" i="258"/>
  <c r="U50" i="258" s="1"/>
  <c r="AT49" i="258"/>
  <c r="AC49" i="258"/>
  <c r="L49" i="258"/>
  <c r="U49" i="258" s="1"/>
  <c r="AT48" i="258"/>
  <c r="AC48" i="258"/>
  <c r="L48" i="258"/>
  <c r="U48" i="258" s="1"/>
  <c r="AT47" i="258"/>
  <c r="AC47" i="258"/>
  <c r="L47" i="258"/>
  <c r="U47" i="258" s="1"/>
  <c r="AT46" i="258"/>
  <c r="AC46" i="258"/>
  <c r="L46" i="258"/>
  <c r="U46" i="258" s="1"/>
  <c r="AT45" i="258"/>
  <c r="AC45" i="258"/>
  <c r="L45" i="258"/>
  <c r="U45" i="258" s="1"/>
  <c r="AT44" i="258"/>
  <c r="AC44" i="258"/>
  <c r="L44" i="258"/>
  <c r="U44" i="258" s="1"/>
  <c r="AT43" i="258"/>
  <c r="AC43" i="258"/>
  <c r="L43" i="258"/>
  <c r="U43" i="258" s="1"/>
  <c r="AT42" i="258"/>
  <c r="AC42" i="258"/>
  <c r="L42" i="258"/>
  <c r="U42" i="258" s="1"/>
  <c r="AT41" i="258"/>
  <c r="AC41" i="258"/>
  <c r="L41" i="258"/>
  <c r="U41" i="258" s="1"/>
  <c r="AT40" i="258"/>
  <c r="AC40" i="258"/>
  <c r="L40" i="258"/>
  <c r="U40" i="258" s="1"/>
  <c r="AT39" i="258"/>
  <c r="AC39" i="258"/>
  <c r="L39" i="258"/>
  <c r="U39" i="258" s="1"/>
  <c r="AT38" i="258"/>
  <c r="AC38" i="258"/>
  <c r="L38" i="258"/>
  <c r="U38" i="258" s="1"/>
  <c r="AT37" i="258"/>
  <c r="AC37" i="258"/>
  <c r="L37" i="258"/>
  <c r="AT36" i="258"/>
  <c r="AC36" i="258"/>
  <c r="AT32" i="258"/>
  <c r="AC32" i="258"/>
  <c r="AT31" i="258"/>
  <c r="AC31" i="258"/>
  <c r="AT30" i="258"/>
  <c r="AC30" i="258"/>
  <c r="I29" i="258"/>
  <c r="I33" i="258" s="1"/>
  <c r="H29" i="258"/>
  <c r="AN23" i="258"/>
  <c r="AT23" i="258" s="1"/>
  <c r="W23" i="258"/>
  <c r="AC23" i="258" s="1"/>
  <c r="F23" i="258"/>
  <c r="L23" i="258" s="1"/>
  <c r="AN22" i="258"/>
  <c r="AT22" i="258" s="1"/>
  <c r="W22" i="258"/>
  <c r="AC22" i="258" s="1"/>
  <c r="F22" i="258"/>
  <c r="L22" i="258" s="1"/>
  <c r="U22" i="258" s="1"/>
  <c r="AN21" i="258"/>
  <c r="W21" i="258"/>
  <c r="F21" i="258"/>
  <c r="L21" i="258" s="1"/>
  <c r="AN12" i="258"/>
  <c r="AT12" i="258" s="1"/>
  <c r="W12" i="258"/>
  <c r="AC12" i="258" s="1"/>
  <c r="F12" i="258"/>
  <c r="L12" i="258" s="1"/>
  <c r="U12" i="258" s="1"/>
  <c r="J10" i="258"/>
  <c r="J13" i="258" s="1"/>
  <c r="J16" i="258" s="1"/>
  <c r="I10" i="258"/>
  <c r="H10" i="258"/>
  <c r="H13" i="258" s="1"/>
  <c r="H16" i="258" s="1"/>
  <c r="G10" i="258"/>
  <c r="G13" i="258" s="1"/>
  <c r="G16" i="258" s="1"/>
  <c r="F9" i="258"/>
  <c r="W9" i="258" s="1"/>
  <c r="AN9" i="258" s="1"/>
  <c r="AT9" i="258" s="1"/>
  <c r="AN8" i="258"/>
  <c r="AT8" i="258" s="1"/>
  <c r="W8" i="258"/>
  <c r="AC8" i="258" s="1"/>
  <c r="F8" i="258"/>
  <c r="L8" i="258" s="1"/>
  <c r="U8" i="258" s="1"/>
  <c r="A6" i="258"/>
  <c r="O12" i="156"/>
  <c r="AI14" i="242"/>
  <c r="W14" i="242"/>
  <c r="AM8" i="242"/>
  <c r="AM9" i="242"/>
  <c r="AM10" i="242"/>
  <c r="AM12" i="242"/>
  <c r="AM13" i="242"/>
  <c r="AM14" i="242"/>
  <c r="AM15" i="242"/>
  <c r="AM21" i="242"/>
  <c r="AM22" i="242"/>
  <c r="AM23" i="242"/>
  <c r="AM24" i="242"/>
  <c r="AM29" i="242"/>
  <c r="AM30" i="242"/>
  <c r="AM31" i="242"/>
  <c r="AM32" i="242"/>
  <c r="AM33" i="242"/>
  <c r="AM36" i="242"/>
  <c r="AM37" i="242"/>
  <c r="AM38" i="242"/>
  <c r="AM39" i="242"/>
  <c r="AM40" i="242"/>
  <c r="AM41" i="242"/>
  <c r="AM42" i="242"/>
  <c r="AM43" i="242"/>
  <c r="AM44" i="242"/>
  <c r="AM45" i="242"/>
  <c r="AM46" i="242"/>
  <c r="AM47" i="242"/>
  <c r="AM48" i="242"/>
  <c r="AM49" i="242"/>
  <c r="AM50" i="242"/>
  <c r="AM51" i="242"/>
  <c r="AM52" i="242"/>
  <c r="AM53" i="242"/>
  <c r="AM54" i="242"/>
  <c r="AM55" i="242"/>
  <c r="AM56" i="242"/>
  <c r="AM58" i="242"/>
  <c r="AM60" i="242"/>
  <c r="AM61" i="242"/>
  <c r="AM63" i="242"/>
  <c r="AM64" i="242"/>
  <c r="AM65" i="242"/>
  <c r="AM66" i="242"/>
  <c r="AM67" i="242"/>
  <c r="AM68" i="242"/>
  <c r="AM69" i="242"/>
  <c r="AM70" i="242"/>
  <c r="AM73" i="242"/>
  <c r="AM74" i="242"/>
  <c r="AM75" i="242"/>
  <c r="AM76" i="242"/>
  <c r="AM77" i="242"/>
  <c r="AM78" i="242"/>
  <c r="AM79" i="242"/>
  <c r="AM80" i="242"/>
  <c r="AM82" i="242"/>
  <c r="AM83" i="242"/>
  <c r="AM84" i="242"/>
  <c r="AM7" i="242"/>
  <c r="AA32" i="242"/>
  <c r="AA13" i="242"/>
  <c r="AA14" i="242"/>
  <c r="AA21" i="242"/>
  <c r="AA22" i="242"/>
  <c r="AA23" i="242"/>
  <c r="AA24" i="242"/>
  <c r="AA29" i="242"/>
  <c r="AA30" i="242"/>
  <c r="AA31" i="242"/>
  <c r="AA33" i="242"/>
  <c r="AA36" i="242"/>
  <c r="AA37" i="242"/>
  <c r="AA38" i="242"/>
  <c r="AA39" i="242"/>
  <c r="AA40" i="242"/>
  <c r="AA41" i="242"/>
  <c r="AA42" i="242"/>
  <c r="AA43" i="242"/>
  <c r="AA44" i="242"/>
  <c r="AA45" i="242"/>
  <c r="AA46" i="242"/>
  <c r="AA47" i="242"/>
  <c r="AA48" i="242"/>
  <c r="AA49" i="242"/>
  <c r="AA50" i="242"/>
  <c r="AA51" i="242"/>
  <c r="AA52" i="242"/>
  <c r="AA53" i="242"/>
  <c r="AA54" i="242"/>
  <c r="AA55" i="242"/>
  <c r="AA56" i="242"/>
  <c r="AA58" i="242"/>
  <c r="AA60" i="242"/>
  <c r="AA61" i="242"/>
  <c r="AA63" i="242"/>
  <c r="AA64" i="242"/>
  <c r="AA65" i="242"/>
  <c r="AA66" i="242"/>
  <c r="AA67" i="242"/>
  <c r="AA68" i="242"/>
  <c r="AA69" i="242"/>
  <c r="AA70" i="242"/>
  <c r="AA73" i="242"/>
  <c r="AA74" i="242"/>
  <c r="AA75" i="242"/>
  <c r="AA76" i="242"/>
  <c r="AA77" i="242"/>
  <c r="AA78" i="242"/>
  <c r="AA79" i="242"/>
  <c r="AA80" i="242"/>
  <c r="AA82" i="242"/>
  <c r="AA83" i="242"/>
  <c r="AA84" i="242"/>
  <c r="AA7" i="242"/>
  <c r="AA8" i="242"/>
  <c r="AA9" i="242"/>
  <c r="AA10" i="242"/>
  <c r="AA12" i="242"/>
  <c r="O8" i="242"/>
  <c r="O9" i="242"/>
  <c r="O10" i="242"/>
  <c r="O12" i="242"/>
  <c r="O13" i="242"/>
  <c r="O14" i="242"/>
  <c r="O16" i="242"/>
  <c r="O21" i="242"/>
  <c r="O22" i="242"/>
  <c r="O23" i="242"/>
  <c r="O24" i="242"/>
  <c r="O29" i="242"/>
  <c r="O30" i="242"/>
  <c r="O31" i="242"/>
  <c r="O33" i="242"/>
  <c r="O36" i="242"/>
  <c r="O37" i="242"/>
  <c r="O38" i="242"/>
  <c r="O39" i="242"/>
  <c r="O40" i="242"/>
  <c r="O41" i="242"/>
  <c r="O42" i="242"/>
  <c r="O43" i="242"/>
  <c r="O44" i="242"/>
  <c r="O45" i="242"/>
  <c r="O46" i="242"/>
  <c r="O47" i="242"/>
  <c r="O48" i="242"/>
  <c r="O49" i="242"/>
  <c r="O50" i="242"/>
  <c r="O51" i="242"/>
  <c r="O52" i="242"/>
  <c r="O53" i="242"/>
  <c r="O54" i="242"/>
  <c r="O55" i="242"/>
  <c r="O56" i="242"/>
  <c r="O58" i="242"/>
  <c r="O60" i="242"/>
  <c r="O61" i="242"/>
  <c r="O63" i="242"/>
  <c r="O64" i="242"/>
  <c r="O65" i="242"/>
  <c r="O66" i="242"/>
  <c r="O67" i="242"/>
  <c r="O68" i="242"/>
  <c r="O69" i="242"/>
  <c r="O70" i="242"/>
  <c r="O73" i="242"/>
  <c r="O74" i="242"/>
  <c r="O75" i="242"/>
  <c r="O76" i="242"/>
  <c r="O77" i="242"/>
  <c r="O78" i="242"/>
  <c r="O79" i="242"/>
  <c r="O80" i="242"/>
  <c r="O82" i="242"/>
  <c r="O83" i="242"/>
  <c r="O84" i="242"/>
  <c r="O7" i="242"/>
  <c r="O8" i="156"/>
  <c r="O9" i="156"/>
  <c r="O10" i="156"/>
  <c r="O14" i="156"/>
  <c r="O21" i="156"/>
  <c r="O22" i="156"/>
  <c r="O23" i="156"/>
  <c r="O24" i="156"/>
  <c r="O29" i="156"/>
  <c r="O30" i="156"/>
  <c r="O31" i="156"/>
  <c r="O32" i="156"/>
  <c r="O33" i="156"/>
  <c r="O35" i="156"/>
  <c r="O36" i="156"/>
  <c r="O37" i="156"/>
  <c r="O38" i="156"/>
  <c r="O39" i="156"/>
  <c r="O40" i="156"/>
  <c r="O41" i="156"/>
  <c r="O42" i="156"/>
  <c r="O43" i="156"/>
  <c r="O44" i="156"/>
  <c r="O45" i="156"/>
  <c r="O46" i="156"/>
  <c r="O47" i="156"/>
  <c r="O48" i="156"/>
  <c r="O49" i="156"/>
  <c r="O50" i="156"/>
  <c r="O51" i="156"/>
  <c r="O52" i="156"/>
  <c r="O53" i="156"/>
  <c r="O54" i="156"/>
  <c r="O55" i="156"/>
  <c r="O56" i="156"/>
  <c r="O57" i="156"/>
  <c r="O58" i="156"/>
  <c r="O59" i="156"/>
  <c r="O60" i="156"/>
  <c r="O61" i="156"/>
  <c r="O62" i="156"/>
  <c r="O63" i="156"/>
  <c r="O64" i="156"/>
  <c r="O65" i="156"/>
  <c r="O66" i="156"/>
  <c r="O67" i="156"/>
  <c r="O68" i="156"/>
  <c r="O69" i="156"/>
  <c r="O70" i="156"/>
  <c r="O71" i="156"/>
  <c r="O72" i="156"/>
  <c r="O73" i="156"/>
  <c r="O74" i="156"/>
  <c r="O75" i="156"/>
  <c r="O76" i="156"/>
  <c r="O77" i="156"/>
  <c r="O78" i="156"/>
  <c r="O79" i="156"/>
  <c r="O80" i="156"/>
  <c r="O81" i="156"/>
  <c r="O82" i="156"/>
  <c r="O83" i="156"/>
  <c r="O84" i="156"/>
  <c r="O7" i="156"/>
  <c r="F11" i="257"/>
  <c r="H19" i="257"/>
  <c r="H16" i="257"/>
  <c r="G19" i="257"/>
  <c r="G16" i="257"/>
  <c r="F19" i="257"/>
  <c r="F16" i="257"/>
  <c r="H8" i="257"/>
  <c r="H11" i="257" s="1"/>
  <c r="G8" i="257"/>
  <c r="G11" i="257" s="1"/>
  <c r="F8" i="257"/>
  <c r="A118" i="173"/>
  <c r="A114" i="173"/>
  <c r="A110" i="173"/>
  <c r="A103" i="173"/>
  <c r="A97" i="173"/>
  <c r="T33" i="244"/>
  <c r="T34" i="244"/>
  <c r="T35" i="244"/>
  <c r="A36" i="244"/>
  <c r="T36" i="244"/>
  <c r="A37" i="244"/>
  <c r="T37" i="244"/>
  <c r="A38" i="244"/>
  <c r="T38" i="244"/>
  <c r="A39" i="244"/>
  <c r="T39" i="244"/>
  <c r="A40" i="244"/>
  <c r="A41" i="244" s="1"/>
  <c r="A42" i="244" s="1"/>
  <c r="A43" i="244" s="1"/>
  <c r="A44" i="244" s="1"/>
  <c r="A45" i="244" s="1"/>
  <c r="A46" i="244" s="1"/>
  <c r="A47" i="244" s="1"/>
  <c r="A49" i="244" s="1"/>
  <c r="A50" i="244" s="1"/>
  <c r="A51" i="244" s="1"/>
  <c r="A52" i="244" s="1"/>
  <c r="T40" i="244"/>
  <c r="T41" i="244"/>
  <c r="T42" i="244"/>
  <c r="T43" i="244"/>
  <c r="T44" i="244"/>
  <c r="T45" i="244"/>
  <c r="T46" i="244"/>
  <c r="T47" i="244"/>
  <c r="T48" i="244"/>
  <c r="T49" i="244"/>
  <c r="T50" i="244"/>
  <c r="T51" i="244"/>
  <c r="T52" i="244"/>
  <c r="T53" i="244"/>
  <c r="A54" i="244"/>
  <c r="A55" i="244" s="1"/>
  <c r="A56" i="244" s="1"/>
  <c r="A57" i="244" s="1"/>
  <c r="A58" i="244" s="1"/>
  <c r="A59" i="244" s="1"/>
  <c r="A60" i="244" s="1"/>
  <c r="A61" i="244" s="1"/>
  <c r="A62" i="244" s="1"/>
  <c r="T54" i="244"/>
  <c r="T55" i="244"/>
  <c r="T56" i="244"/>
  <c r="T57" i="244"/>
  <c r="T58" i="244"/>
  <c r="T59" i="244"/>
  <c r="T60" i="244"/>
  <c r="T61" i="244"/>
  <c r="D62" i="244"/>
  <c r="E62" i="244"/>
  <c r="H62" i="244"/>
  <c r="I62" i="244"/>
  <c r="L62" i="244"/>
  <c r="M62" i="244"/>
  <c r="P62" i="244"/>
  <c r="Q62" i="244"/>
  <c r="A17" i="244"/>
  <c r="A18" i="244"/>
  <c r="A19" i="244"/>
  <c r="A20" i="244" s="1"/>
  <c r="A21" i="244" s="1"/>
  <c r="A24" i="244" s="1"/>
  <c r="C21" i="244"/>
  <c r="D21" i="244"/>
  <c r="E21" i="244"/>
  <c r="F21" i="244"/>
  <c r="G21" i="244"/>
  <c r="H21" i="244"/>
  <c r="I21" i="244"/>
  <c r="J21" i="244"/>
  <c r="K21" i="244"/>
  <c r="K24" i="244" s="1"/>
  <c r="C14" i="244"/>
  <c r="D14" i="244"/>
  <c r="E14" i="244"/>
  <c r="G14" i="244"/>
  <c r="H14" i="244"/>
  <c r="J14" i="244"/>
  <c r="K14" i="244"/>
  <c r="AL46" i="259" l="1"/>
  <c r="BB21" i="258"/>
  <c r="BB24" i="258" s="1"/>
  <c r="AV24" i="258"/>
  <c r="AV58" i="258" s="1"/>
  <c r="AV61" i="258" s="1"/>
  <c r="L24" i="258"/>
  <c r="BB10" i="258"/>
  <c r="AK10" i="258"/>
  <c r="P29" i="258"/>
  <c r="P33" i="258" s="1"/>
  <c r="L29" i="258"/>
  <c r="L33" i="258" s="1"/>
  <c r="H33" i="258"/>
  <c r="H58" i="258" s="1"/>
  <c r="H61" i="258" s="1"/>
  <c r="AN24" i="258"/>
  <c r="AN58" i="258" s="1"/>
  <c r="AN61" i="258" s="1"/>
  <c r="Q55" i="258"/>
  <c r="Q56" i="258" s="1"/>
  <c r="I56" i="258"/>
  <c r="I58" i="258" s="1"/>
  <c r="I61" i="258" s="1"/>
  <c r="AL69" i="258"/>
  <c r="U37" i="258"/>
  <c r="N24" i="258"/>
  <c r="N58" i="258" s="1"/>
  <c r="N61" i="258" s="1"/>
  <c r="T21" i="258"/>
  <c r="AC21" i="258"/>
  <c r="AC24" i="258" s="1"/>
  <c r="W24" i="258"/>
  <c r="W58" i="258" s="1"/>
  <c r="W61" i="258" s="1"/>
  <c r="U23" i="258"/>
  <c r="AE24" i="258"/>
  <c r="AE58" i="258" s="1"/>
  <c r="AE61" i="258" s="1"/>
  <c r="AL48" i="259"/>
  <c r="AL40" i="259"/>
  <c r="AV24" i="259"/>
  <c r="AL22" i="259"/>
  <c r="AL71" i="259"/>
  <c r="AL8" i="259"/>
  <c r="AL30" i="259"/>
  <c r="AC79" i="258"/>
  <c r="AH79" i="258"/>
  <c r="Q29" i="258"/>
  <c r="AQ83" i="258"/>
  <c r="AY79" i="258"/>
  <c r="AZ87" i="258"/>
  <c r="H12" i="269" s="1"/>
  <c r="H17" i="269" s="1"/>
  <c r="AQ60" i="258"/>
  <c r="AY60" i="258" s="1"/>
  <c r="AH60" i="258"/>
  <c r="AT78" i="258"/>
  <c r="AX78" i="258"/>
  <c r="H83" i="258"/>
  <c r="P78" i="258"/>
  <c r="T78" i="258" s="1"/>
  <c r="P55" i="258"/>
  <c r="AC78" i="258"/>
  <c r="AG78" i="258"/>
  <c r="AW58" i="259"/>
  <c r="AW61" i="259" s="1"/>
  <c r="AW87" i="259" s="1"/>
  <c r="Z33" i="259"/>
  <c r="AH29" i="259"/>
  <c r="AH33" i="259" s="1"/>
  <c r="AP60" i="259"/>
  <c r="AG60" i="259"/>
  <c r="Z83" i="259"/>
  <c r="AH79" i="259"/>
  <c r="BD36" i="259"/>
  <c r="BD44" i="259"/>
  <c r="BD52" i="259"/>
  <c r="BD81" i="259"/>
  <c r="AQ60" i="259"/>
  <c r="AH60" i="259"/>
  <c r="AT79" i="259"/>
  <c r="AY79" i="259"/>
  <c r="AK78" i="259"/>
  <c r="BD37" i="259"/>
  <c r="BD45" i="259"/>
  <c r="BD53" i="259"/>
  <c r="BD63" i="259"/>
  <c r="BD82" i="259"/>
  <c r="BD30" i="259"/>
  <c r="BD38" i="259"/>
  <c r="BD54" i="259"/>
  <c r="BD64" i="259"/>
  <c r="BD31" i="259"/>
  <c r="BD39" i="259"/>
  <c r="BD47" i="259"/>
  <c r="BD76" i="259"/>
  <c r="AP55" i="259"/>
  <c r="AG55" i="259"/>
  <c r="H83" i="259"/>
  <c r="P78" i="259"/>
  <c r="BD32" i="259"/>
  <c r="BD40" i="259"/>
  <c r="BD48" i="259"/>
  <c r="Z56" i="259"/>
  <c r="AH55" i="259"/>
  <c r="AH56" i="259" s="1"/>
  <c r="BD22" i="259"/>
  <c r="BD41" i="259"/>
  <c r="BD49" i="259"/>
  <c r="BD85" i="259"/>
  <c r="AP83" i="259"/>
  <c r="BD8" i="259"/>
  <c r="BD23" i="259"/>
  <c r="BD42" i="259"/>
  <c r="BD50" i="259"/>
  <c r="BD71" i="259"/>
  <c r="I83" i="259"/>
  <c r="Q79" i="259"/>
  <c r="BD43" i="259"/>
  <c r="BD51" i="259"/>
  <c r="BD72" i="259"/>
  <c r="BD80" i="259"/>
  <c r="BD46" i="259"/>
  <c r="BB73" i="259"/>
  <c r="AL41" i="259"/>
  <c r="AL49" i="259"/>
  <c r="AZ58" i="259"/>
  <c r="AZ61" i="259" s="1"/>
  <c r="AZ87" i="259" s="1"/>
  <c r="I12" i="269" s="1"/>
  <c r="I17" i="269" s="1"/>
  <c r="BD44" i="258"/>
  <c r="I13" i="258"/>
  <c r="BD80" i="258"/>
  <c r="BD40" i="258"/>
  <c r="BD48" i="258"/>
  <c r="BD31" i="258"/>
  <c r="BB73" i="258"/>
  <c r="BD42" i="258"/>
  <c r="AL52" i="258"/>
  <c r="BD23" i="258"/>
  <c r="AL80" i="258"/>
  <c r="BD36" i="258"/>
  <c r="BD51" i="258"/>
  <c r="BD52" i="258"/>
  <c r="BD85" i="258"/>
  <c r="BD8" i="258"/>
  <c r="BD38" i="258"/>
  <c r="BD64" i="258"/>
  <c r="I83" i="258"/>
  <c r="BD9" i="258"/>
  <c r="BD43" i="258"/>
  <c r="BD49" i="258"/>
  <c r="BD30" i="258"/>
  <c r="BD37" i="258"/>
  <c r="BD50" i="258"/>
  <c r="BD63" i="258"/>
  <c r="BD72" i="258"/>
  <c r="BD22" i="258"/>
  <c r="AL53" i="258"/>
  <c r="BD39" i="258"/>
  <c r="BD45" i="258"/>
  <c r="BD81" i="258"/>
  <c r="BD32" i="258"/>
  <c r="BD46" i="258"/>
  <c r="BD82" i="258"/>
  <c r="BD47" i="258"/>
  <c r="BD53" i="258"/>
  <c r="AL71" i="258"/>
  <c r="AL40" i="258"/>
  <c r="BD41" i="258"/>
  <c r="BD54" i="258"/>
  <c r="AL23" i="259"/>
  <c r="AL63" i="259"/>
  <c r="AL77" i="259"/>
  <c r="AL31" i="259"/>
  <c r="AL42" i="259"/>
  <c r="AL50" i="259"/>
  <c r="U8" i="259"/>
  <c r="U41" i="259"/>
  <c r="AL81" i="259"/>
  <c r="AE24" i="259"/>
  <c r="AK24" i="259" s="1"/>
  <c r="BB10" i="259"/>
  <c r="AL69" i="259"/>
  <c r="AL36" i="259"/>
  <c r="AL44" i="259"/>
  <c r="AL52" i="259"/>
  <c r="AL37" i="259"/>
  <c r="AL45" i="259"/>
  <c r="AL53" i="259"/>
  <c r="AL80" i="259"/>
  <c r="AV58" i="259"/>
  <c r="BB24" i="259"/>
  <c r="AV16" i="259"/>
  <c r="BB16" i="259" s="1"/>
  <c r="BB13" i="259"/>
  <c r="AL32" i="259"/>
  <c r="AL43" i="259"/>
  <c r="AL51" i="259"/>
  <c r="AL85" i="259"/>
  <c r="BB21" i="259"/>
  <c r="BD21" i="259" s="1"/>
  <c r="AL72" i="259"/>
  <c r="AL39" i="259"/>
  <c r="AL47" i="259"/>
  <c r="AL82" i="259"/>
  <c r="AL64" i="259"/>
  <c r="AK73" i="259"/>
  <c r="AR58" i="259"/>
  <c r="AR65" i="259" s="1"/>
  <c r="U32" i="259"/>
  <c r="AK13" i="259"/>
  <c r="U36" i="259"/>
  <c r="U44" i="259"/>
  <c r="U60" i="259"/>
  <c r="U81" i="259"/>
  <c r="U40" i="259"/>
  <c r="U48" i="259"/>
  <c r="U82" i="259"/>
  <c r="AK10" i="259"/>
  <c r="U49" i="259"/>
  <c r="AK21" i="259"/>
  <c r="AL21" i="259" s="1"/>
  <c r="U42" i="259"/>
  <c r="U50" i="259"/>
  <c r="U76" i="259"/>
  <c r="AI58" i="259"/>
  <c r="AI61" i="259" s="1"/>
  <c r="AI87" i="259" s="1"/>
  <c r="F12" i="269" s="1"/>
  <c r="F17" i="269" s="1"/>
  <c r="U29" i="259"/>
  <c r="U43" i="259"/>
  <c r="U51" i="259"/>
  <c r="U21" i="259"/>
  <c r="U22" i="259"/>
  <c r="U31" i="259"/>
  <c r="U37" i="259"/>
  <c r="U45" i="259"/>
  <c r="U53" i="259"/>
  <c r="U30" i="259"/>
  <c r="U52" i="259"/>
  <c r="U72" i="259"/>
  <c r="U23" i="259"/>
  <c r="U38" i="259"/>
  <c r="U46" i="259"/>
  <c r="U54" i="259"/>
  <c r="U63" i="259"/>
  <c r="U80" i="259"/>
  <c r="U85" i="259"/>
  <c r="AF58" i="259"/>
  <c r="AF61" i="259" s="1"/>
  <c r="AF87" i="259" s="1"/>
  <c r="U71" i="259"/>
  <c r="U39" i="259"/>
  <c r="U47" i="259"/>
  <c r="U55" i="259"/>
  <c r="U64" i="259"/>
  <c r="U69" i="259"/>
  <c r="AE16" i="259"/>
  <c r="AK16" i="259" s="1"/>
  <c r="G58" i="259"/>
  <c r="G61" i="259" s="1"/>
  <c r="G86" i="259" s="1"/>
  <c r="AN87" i="259"/>
  <c r="P58" i="259"/>
  <c r="P61" i="259" s="1"/>
  <c r="AC29" i="259"/>
  <c r="I58" i="259"/>
  <c r="I61" i="259" s="1"/>
  <c r="J58" i="259"/>
  <c r="J65" i="259" s="1"/>
  <c r="AC60" i="259"/>
  <c r="AR83" i="259"/>
  <c r="Q58" i="259"/>
  <c r="Q61" i="259" s="1"/>
  <c r="T33" i="259"/>
  <c r="AT78" i="259"/>
  <c r="R58" i="259"/>
  <c r="R61" i="259" s="1"/>
  <c r="R87" i="259" s="1"/>
  <c r="C12" i="269" s="1"/>
  <c r="O58" i="259"/>
  <c r="O61" i="259" s="1"/>
  <c r="O87" i="259" s="1"/>
  <c r="AO58" i="259"/>
  <c r="AO61" i="259" s="1"/>
  <c r="AO87" i="259" s="1"/>
  <c r="T73" i="259"/>
  <c r="T56" i="259"/>
  <c r="L77" i="259"/>
  <c r="U77" i="259" s="1"/>
  <c r="L79" i="259"/>
  <c r="N16" i="259"/>
  <c r="T16" i="259" s="1"/>
  <c r="T13" i="259"/>
  <c r="X83" i="259"/>
  <c r="AQ83" i="259"/>
  <c r="N24" i="259"/>
  <c r="X58" i="259"/>
  <c r="X61" i="259" s="1"/>
  <c r="AA58" i="259"/>
  <c r="AA65" i="259" s="1"/>
  <c r="H58" i="259"/>
  <c r="H61" i="259" s="1"/>
  <c r="T10" i="259"/>
  <c r="F24" i="259"/>
  <c r="F7" i="259" s="1"/>
  <c r="AC55" i="259"/>
  <c r="Y83" i="259"/>
  <c r="AC78" i="259"/>
  <c r="AA83" i="259"/>
  <c r="AC76" i="259"/>
  <c r="AL76" i="259" s="1"/>
  <c r="W24" i="259"/>
  <c r="AC24" i="259"/>
  <c r="W9" i="259"/>
  <c r="L9" i="259"/>
  <c r="U9" i="259" s="1"/>
  <c r="AT24" i="259"/>
  <c r="AP29" i="259"/>
  <c r="AX29" i="259" s="1"/>
  <c r="Y33" i="259"/>
  <c r="J83" i="259"/>
  <c r="AN24" i="259"/>
  <c r="AN7" i="259" s="1"/>
  <c r="AQ55" i="259"/>
  <c r="AC79" i="259"/>
  <c r="Y56" i="259"/>
  <c r="L78" i="259"/>
  <c r="AQ29" i="259"/>
  <c r="AT77" i="259"/>
  <c r="BD77" i="259" s="1"/>
  <c r="J86" i="258"/>
  <c r="AL36" i="258"/>
  <c r="AL44" i="258"/>
  <c r="AL54" i="258"/>
  <c r="AL64" i="258"/>
  <c r="AL31" i="258"/>
  <c r="AL47" i="258"/>
  <c r="AK73" i="258"/>
  <c r="AL48" i="258"/>
  <c r="AL85" i="258"/>
  <c r="AL23" i="258"/>
  <c r="AL41" i="258"/>
  <c r="AW87" i="258"/>
  <c r="AL32" i="258"/>
  <c r="AL46" i="258"/>
  <c r="AL82" i="258"/>
  <c r="AI87" i="258"/>
  <c r="E12" i="269" s="1"/>
  <c r="E17" i="269" s="1"/>
  <c r="AL8" i="258"/>
  <c r="AL42" i="258"/>
  <c r="AL43" i="258"/>
  <c r="AL49" i="258"/>
  <c r="AK21" i="258"/>
  <c r="AL30" i="258"/>
  <c r="AL37" i="258"/>
  <c r="AL50" i="258"/>
  <c r="AL63" i="258"/>
  <c r="AL72" i="258"/>
  <c r="AL22" i="258"/>
  <c r="AL38" i="258"/>
  <c r="AL51" i="258"/>
  <c r="AL39" i="258"/>
  <c r="AL45" i="258"/>
  <c r="AL81" i="258"/>
  <c r="G86" i="258"/>
  <c r="Y29" i="258"/>
  <c r="Y33" i="258" s="1"/>
  <c r="AA65" i="258"/>
  <c r="AF87" i="258"/>
  <c r="L77" i="258"/>
  <c r="U77" i="258" s="1"/>
  <c r="AR65" i="258"/>
  <c r="AC77" i="258"/>
  <c r="AL77" i="258" s="1"/>
  <c r="AE12" i="258"/>
  <c r="R73" i="258"/>
  <c r="T73" i="258" s="1"/>
  <c r="AC9" i="258"/>
  <c r="AL9" i="258" s="1"/>
  <c r="F14" i="258"/>
  <c r="W14" i="258" s="1"/>
  <c r="AN14" i="258" s="1"/>
  <c r="AT14" i="258" s="1"/>
  <c r="BD14" i="258" s="1"/>
  <c r="F24" i="258"/>
  <c r="L55" i="258"/>
  <c r="L56" i="258" s="1"/>
  <c r="Y55" i="258"/>
  <c r="Y56" i="258" s="1"/>
  <c r="L76" i="258"/>
  <c r="U76" i="258" s="1"/>
  <c r="AT77" i="258"/>
  <c r="BD77" i="258" s="1"/>
  <c r="A7" i="258"/>
  <c r="A8" i="258" s="1"/>
  <c r="AP60" i="258"/>
  <c r="AC60" i="258"/>
  <c r="AT21" i="258"/>
  <c r="Z55" i="258"/>
  <c r="L78" i="258"/>
  <c r="AT79" i="258"/>
  <c r="X87" i="258"/>
  <c r="AO87" i="258"/>
  <c r="AT76" i="258"/>
  <c r="BD76" i="258" s="1"/>
  <c r="L79" i="258"/>
  <c r="U79" i="258" s="1"/>
  <c r="Y83" i="258"/>
  <c r="AP83" i="258"/>
  <c r="AC76" i="258"/>
  <c r="AL76" i="258" s="1"/>
  <c r="L9" i="258"/>
  <c r="U9" i="258" s="1"/>
  <c r="Z83" i="258"/>
  <c r="AA83" i="258"/>
  <c r="Z29" i="258"/>
  <c r="H24" i="244"/>
  <c r="G24" i="244"/>
  <c r="E24" i="244"/>
  <c r="T62" i="244"/>
  <c r="D24" i="244"/>
  <c r="J24" i="244"/>
  <c r="H87" i="258" l="1"/>
  <c r="AH55" i="258"/>
  <c r="AH56" i="258" s="1"/>
  <c r="Z56" i="258"/>
  <c r="U78" i="258"/>
  <c r="AK12" i="258"/>
  <c r="AL12" i="258" s="1"/>
  <c r="AV12" i="258" s="1"/>
  <c r="AV13" i="258" s="1"/>
  <c r="AV16" i="258" s="1"/>
  <c r="AE13" i="258"/>
  <c r="AE16" i="258" s="1"/>
  <c r="AL21" i="258"/>
  <c r="AL24" i="258" s="1"/>
  <c r="AK24" i="258"/>
  <c r="T29" i="258"/>
  <c r="T33" i="258" s="1"/>
  <c r="U21" i="258"/>
  <c r="U24" i="258" s="1"/>
  <c r="T24" i="258"/>
  <c r="BD21" i="258"/>
  <c r="AT24" i="258"/>
  <c r="F58" i="258"/>
  <c r="F61" i="258" s="1"/>
  <c r="F87" i="258" s="1"/>
  <c r="AH29" i="258"/>
  <c r="AH33" i="258" s="1"/>
  <c r="AH58" i="258" s="1"/>
  <c r="AH61" i="258" s="1"/>
  <c r="Z33" i="258"/>
  <c r="Z58" i="258" s="1"/>
  <c r="Z61" i="258" s="1"/>
  <c r="L58" i="258"/>
  <c r="L61" i="258" s="1"/>
  <c r="Y58" i="258"/>
  <c r="Y61" i="258" s="1"/>
  <c r="T55" i="258"/>
  <c r="P56" i="258"/>
  <c r="P58" i="258" s="1"/>
  <c r="P61" i="258" s="1"/>
  <c r="Q33" i="258"/>
  <c r="Q58" i="258" s="1"/>
  <c r="Q61" i="258" s="1"/>
  <c r="AK60" i="258"/>
  <c r="AL60" i="258" s="1"/>
  <c r="AL78" i="259"/>
  <c r="AT60" i="259"/>
  <c r="Z58" i="259"/>
  <c r="Z61" i="259" s="1"/>
  <c r="Z87" i="259" s="1"/>
  <c r="BD24" i="259"/>
  <c r="AY83" i="258"/>
  <c r="BB79" i="258"/>
  <c r="BD79" i="258" s="1"/>
  <c r="I87" i="258"/>
  <c r="AP55" i="258"/>
  <c r="AP56" i="258" s="1"/>
  <c r="AG55" i="258"/>
  <c r="AG29" i="258"/>
  <c r="AK78" i="258"/>
  <c r="AL78" i="258" s="1"/>
  <c r="AG83" i="258"/>
  <c r="BB78" i="258"/>
  <c r="BD78" i="258" s="1"/>
  <c r="AX83" i="258"/>
  <c r="AT60" i="258"/>
  <c r="AX60" i="258"/>
  <c r="AK79" i="258"/>
  <c r="AL79" i="258" s="1"/>
  <c r="AH83" i="258"/>
  <c r="P83" i="258"/>
  <c r="H86" i="259"/>
  <c r="AQ33" i="259"/>
  <c r="AY29" i="259"/>
  <c r="AY33" i="259" s="1"/>
  <c r="P83" i="259"/>
  <c r="T78" i="259"/>
  <c r="U78" i="259" s="1"/>
  <c r="I86" i="259"/>
  <c r="AG56" i="259"/>
  <c r="AK55" i="259"/>
  <c r="AL55" i="259" s="1"/>
  <c r="AY83" i="259"/>
  <c r="BB79" i="259"/>
  <c r="BD79" i="259" s="1"/>
  <c r="AH83" i="259"/>
  <c r="AK83" i="259" s="1"/>
  <c r="AK79" i="259"/>
  <c r="AL79" i="259" s="1"/>
  <c r="AX33" i="259"/>
  <c r="AP56" i="259"/>
  <c r="T79" i="259"/>
  <c r="U79" i="259" s="1"/>
  <c r="Q83" i="259"/>
  <c r="Q87" i="259" s="1"/>
  <c r="AX83" i="259"/>
  <c r="BB78" i="259"/>
  <c r="BD78" i="259" s="1"/>
  <c r="AK60" i="259"/>
  <c r="AL60" i="259" s="1"/>
  <c r="BB60" i="259"/>
  <c r="AH58" i="259"/>
  <c r="AH61" i="259" s="1"/>
  <c r="AQ56" i="259"/>
  <c r="AQ58" i="259" s="1"/>
  <c r="AQ61" i="259" s="1"/>
  <c r="AQ87" i="259" s="1"/>
  <c r="AY56" i="259"/>
  <c r="AE58" i="259"/>
  <c r="AK33" i="259"/>
  <c r="AK29" i="259"/>
  <c r="AL29" i="259" s="1"/>
  <c r="I87" i="259"/>
  <c r="I16" i="258"/>
  <c r="AC14" i="258"/>
  <c r="AL14" i="258" s="1"/>
  <c r="R87" i="258"/>
  <c r="B12" i="269" s="1"/>
  <c r="B17" i="269" s="1"/>
  <c r="Q83" i="258"/>
  <c r="AA61" i="259"/>
  <c r="AA86" i="259" s="1"/>
  <c r="AL24" i="259"/>
  <c r="G87" i="259"/>
  <c r="AV61" i="259"/>
  <c r="AO86" i="259"/>
  <c r="AR61" i="259"/>
  <c r="AR86" i="259" s="1"/>
  <c r="AC33" i="259"/>
  <c r="X87" i="259"/>
  <c r="U56" i="259"/>
  <c r="AC56" i="259"/>
  <c r="J61" i="259"/>
  <c r="J86" i="259" s="1"/>
  <c r="U33" i="259"/>
  <c r="H87" i="259"/>
  <c r="N58" i="259"/>
  <c r="T24" i="259"/>
  <c r="U24" i="259" s="1"/>
  <c r="F58" i="259"/>
  <c r="F61" i="259" s="1"/>
  <c r="F87" i="259" s="1"/>
  <c r="Y58" i="259"/>
  <c r="Y61" i="259" s="1"/>
  <c r="Y87" i="259" s="1"/>
  <c r="X86" i="259"/>
  <c r="W58" i="259"/>
  <c r="W61" i="259" s="1"/>
  <c r="W87" i="259" s="1"/>
  <c r="W7" i="259"/>
  <c r="AT65" i="259"/>
  <c r="BD65" i="259" s="1"/>
  <c r="AR73" i="259"/>
  <c r="AT83" i="259"/>
  <c r="AC65" i="259"/>
  <c r="AL65" i="259" s="1"/>
  <c r="AA73" i="259"/>
  <c r="J73" i="259"/>
  <c r="L65" i="259"/>
  <c r="U65" i="259" s="1"/>
  <c r="AT55" i="259"/>
  <c r="AP33" i="259"/>
  <c r="AT29" i="259"/>
  <c r="AT7" i="259"/>
  <c r="BD7" i="259" s="1"/>
  <c r="L83" i="259"/>
  <c r="AN9" i="259"/>
  <c r="AT9" i="259" s="1"/>
  <c r="BD9" i="259" s="1"/>
  <c r="AC9" i="259"/>
  <c r="AL9" i="259" s="1"/>
  <c r="AC83" i="259"/>
  <c r="W14" i="259"/>
  <c r="L14" i="259"/>
  <c r="U14" i="259" s="1"/>
  <c r="AP29" i="258"/>
  <c r="AP33" i="258" s="1"/>
  <c r="J65" i="258"/>
  <c r="J73" i="258" s="1"/>
  <c r="J87" i="258" s="1"/>
  <c r="L14" i="258"/>
  <c r="U14" i="258" s="1"/>
  <c r="W87" i="258"/>
  <c r="F7" i="258"/>
  <c r="G87" i="258"/>
  <c r="AC55" i="258"/>
  <c r="AC56" i="258" s="1"/>
  <c r="O87" i="258"/>
  <c r="W7" i="258"/>
  <c r="AT83" i="258"/>
  <c r="AN87" i="258"/>
  <c r="AN7" i="258"/>
  <c r="AN10" i="258" s="1"/>
  <c r="AN13" i="258" s="1"/>
  <c r="AN16" i="258" s="1"/>
  <c r="AC83" i="258"/>
  <c r="AR73" i="258"/>
  <c r="AR87" i="258" s="1"/>
  <c r="AT65" i="258"/>
  <c r="BD65" i="258" s="1"/>
  <c r="L83" i="258"/>
  <c r="AQ29" i="258"/>
  <c r="AQ33" i="258" s="1"/>
  <c r="AC29" i="258"/>
  <c r="AC33" i="258" s="1"/>
  <c r="AQ55" i="258"/>
  <c r="A9" i="258"/>
  <c r="A10" i="258" s="1"/>
  <c r="A12" i="258" s="1"/>
  <c r="AC65" i="258"/>
  <c r="AL65" i="258" s="1"/>
  <c r="AA73" i="258"/>
  <c r="AA87" i="258" s="1"/>
  <c r="I76" i="227"/>
  <c r="I62" i="227"/>
  <c r="I56" i="227"/>
  <c r="I51" i="227"/>
  <c r="I44" i="227"/>
  <c r="I38" i="227"/>
  <c r="I5" i="227"/>
  <c r="J73" i="242" s="1"/>
  <c r="Q51" i="227"/>
  <c r="P51" i="227"/>
  <c r="M51" i="227"/>
  <c r="L51" i="227"/>
  <c r="H51" i="227"/>
  <c r="Q52" i="210"/>
  <c r="P52" i="210"/>
  <c r="M52" i="210"/>
  <c r="L52" i="210"/>
  <c r="I52" i="210"/>
  <c r="H52" i="210"/>
  <c r="H77" i="210"/>
  <c r="A35" i="227"/>
  <c r="A36" i="227" s="1"/>
  <c r="A38" i="227" s="1"/>
  <c r="A39" i="227" s="1"/>
  <c r="A40" i="227" s="1"/>
  <c r="A41" i="227" s="1"/>
  <c r="A42" i="227" s="1"/>
  <c r="A44" i="227" s="1"/>
  <c r="A45" i="227" s="1"/>
  <c r="A46" i="227" s="1"/>
  <c r="A47" i="227" s="1"/>
  <c r="A48" i="227" s="1"/>
  <c r="A49" i="227" s="1"/>
  <c r="A52" i="227" s="1"/>
  <c r="A53" i="227" s="1"/>
  <c r="A54" i="227" s="1"/>
  <c r="A57" i="227" s="1"/>
  <c r="A58" i="227" s="1"/>
  <c r="A59" i="227" s="1"/>
  <c r="A60" i="227" s="1"/>
  <c r="A63" i="227" s="1"/>
  <c r="A64" i="227" s="1"/>
  <c r="A65" i="227" s="1"/>
  <c r="A66" i="227" s="1"/>
  <c r="A67" i="227" s="1"/>
  <c r="A68" i="227" s="1"/>
  <c r="A69" i="227" s="1"/>
  <c r="A70" i="227" s="1"/>
  <c r="A71" i="227" s="1"/>
  <c r="A72" i="227" s="1"/>
  <c r="A73" i="227" s="1"/>
  <c r="A74" i="227" s="1"/>
  <c r="A77" i="227" s="1"/>
  <c r="D11" i="196"/>
  <c r="D10" i="196"/>
  <c r="D9" i="196"/>
  <c r="D8" i="196"/>
  <c r="D7" i="196"/>
  <c r="D10" i="181"/>
  <c r="D9" i="181"/>
  <c r="D8" i="181"/>
  <c r="D7" i="181"/>
  <c r="A36" i="210"/>
  <c r="A37" i="210" s="1"/>
  <c r="A39" i="210" s="1"/>
  <c r="A40" i="210" s="1"/>
  <c r="A41" i="210" s="1"/>
  <c r="A42" i="210" s="1"/>
  <c r="A43" i="210" s="1"/>
  <c r="A45" i="210" s="1"/>
  <c r="A46" i="210" s="1"/>
  <c r="A47" i="210" s="1"/>
  <c r="A48" i="210" s="1"/>
  <c r="A49" i="210" s="1"/>
  <c r="A50" i="210" s="1"/>
  <c r="A53" i="210" s="1"/>
  <c r="A54" i="210" s="1"/>
  <c r="A55" i="210" s="1"/>
  <c r="A58" i="210" s="1"/>
  <c r="A59" i="210" s="1"/>
  <c r="A60" i="210" s="1"/>
  <c r="A61" i="210" s="1"/>
  <c r="A64" i="210" s="1"/>
  <c r="A65" i="210" s="1"/>
  <c r="A66" i="210" s="1"/>
  <c r="A67" i="210" s="1"/>
  <c r="A68" i="210" s="1"/>
  <c r="A69" i="210" s="1"/>
  <c r="A70" i="210" s="1"/>
  <c r="A71" i="210" s="1"/>
  <c r="A72" i="210" s="1"/>
  <c r="A73" i="210" s="1"/>
  <c r="A74" i="210" s="1"/>
  <c r="A75" i="210" s="1"/>
  <c r="A78" i="210" s="1"/>
  <c r="Q57" i="210"/>
  <c r="P57" i="210"/>
  <c r="M57" i="210"/>
  <c r="L57" i="210"/>
  <c r="I57" i="210"/>
  <c r="H57" i="210"/>
  <c r="BB29" i="259" l="1"/>
  <c r="BB83" i="258"/>
  <c r="BD83" i="258" s="1"/>
  <c r="BB12" i="258"/>
  <c r="BD12" i="258" s="1"/>
  <c r="AC58" i="258"/>
  <c r="AC61" i="258" s="1"/>
  <c r="T83" i="258"/>
  <c r="U83" i="258" s="1"/>
  <c r="U29" i="258"/>
  <c r="U33" i="258" s="1"/>
  <c r="BB13" i="258"/>
  <c r="BB16" i="258" s="1"/>
  <c r="AK13" i="258"/>
  <c r="AK16" i="258" s="1"/>
  <c r="F10" i="258"/>
  <c r="F13" i="258" s="1"/>
  <c r="F16" i="258" s="1"/>
  <c r="L7" i="258"/>
  <c r="AY55" i="258"/>
  <c r="AY56" i="258" s="1"/>
  <c r="AQ56" i="258"/>
  <c r="AQ58" i="258" s="1"/>
  <c r="AQ61" i="258" s="1"/>
  <c r="AP58" i="258"/>
  <c r="AP61" i="258" s="1"/>
  <c r="AG33" i="258"/>
  <c r="U55" i="258"/>
  <c r="U56" i="258" s="1"/>
  <c r="T56" i="258"/>
  <c r="T58" i="258" s="1"/>
  <c r="T61" i="258" s="1"/>
  <c r="AG56" i="258"/>
  <c r="BD60" i="259"/>
  <c r="AC7" i="258"/>
  <c r="W10" i="258"/>
  <c r="W13" i="258" s="1"/>
  <c r="W16" i="258" s="1"/>
  <c r="BB60" i="258"/>
  <c r="BD60" i="258" s="1"/>
  <c r="AP58" i="259"/>
  <c r="BD29" i="259"/>
  <c r="AY29" i="258"/>
  <c r="AY33" i="258" s="1"/>
  <c r="AK83" i="258"/>
  <c r="AL83" i="258" s="1"/>
  <c r="AK55" i="258"/>
  <c r="AP87" i="258"/>
  <c r="AX55" i="258"/>
  <c r="AX29" i="258"/>
  <c r="AK29" i="258"/>
  <c r="AL83" i="259"/>
  <c r="AL33" i="259"/>
  <c r="AH87" i="259"/>
  <c r="AA87" i="259"/>
  <c r="AE61" i="259"/>
  <c r="AE87" i="259" s="1"/>
  <c r="AX56" i="259"/>
  <c r="BB56" i="259" s="1"/>
  <c r="BB55" i="259"/>
  <c r="BD55" i="259" s="1"/>
  <c r="T83" i="259"/>
  <c r="U83" i="259" s="1"/>
  <c r="AG58" i="259"/>
  <c r="AG61" i="259" s="1"/>
  <c r="AG87" i="259" s="1"/>
  <c r="AK56" i="259"/>
  <c r="AL56" i="259" s="1"/>
  <c r="AY58" i="259"/>
  <c r="AY61" i="259" s="1"/>
  <c r="AY87" i="259" s="1"/>
  <c r="BB33" i="259"/>
  <c r="BB83" i="259"/>
  <c r="BD83" i="259" s="1"/>
  <c r="P87" i="259"/>
  <c r="L65" i="258"/>
  <c r="U65" i="258" s="1"/>
  <c r="BD24" i="258"/>
  <c r="AR87" i="259"/>
  <c r="AV87" i="259"/>
  <c r="AC58" i="259"/>
  <c r="AC61" i="259" s="1"/>
  <c r="J87" i="259"/>
  <c r="AC86" i="259"/>
  <c r="AL86" i="259" s="1"/>
  <c r="AN10" i="259"/>
  <c r="AN13" i="259" s="1"/>
  <c r="L86" i="259"/>
  <c r="U86" i="259" s="1"/>
  <c r="F10" i="259"/>
  <c r="F13" i="259" s="1"/>
  <c r="F16" i="259" s="1"/>
  <c r="U7" i="259"/>
  <c r="T58" i="259"/>
  <c r="U58" i="259" s="1"/>
  <c r="N61" i="259"/>
  <c r="AC73" i="259"/>
  <c r="AL73" i="259" s="1"/>
  <c r="W10" i="259"/>
  <c r="W13" i="259" s="1"/>
  <c r="W16" i="259" s="1"/>
  <c r="AC7" i="259"/>
  <c r="AL7" i="259" s="1"/>
  <c r="AN14" i="259"/>
  <c r="AT14" i="259" s="1"/>
  <c r="BD14" i="259" s="1"/>
  <c r="AC14" i="259"/>
  <c r="AL14" i="259" s="1"/>
  <c r="AT56" i="259"/>
  <c r="L73" i="259"/>
  <c r="U73" i="259" s="1"/>
  <c r="AT10" i="259"/>
  <c r="BD10" i="259" s="1"/>
  <c r="AT73" i="259"/>
  <c r="BD73" i="259" s="1"/>
  <c r="AT33" i="259"/>
  <c r="AE87" i="258"/>
  <c r="Y87" i="258"/>
  <c r="N87" i="258"/>
  <c r="A13" i="258"/>
  <c r="A14" i="258" s="1"/>
  <c r="A16" i="258" s="1"/>
  <c r="A18" i="258" s="1"/>
  <c r="Z87" i="258"/>
  <c r="AT29" i="258"/>
  <c r="AT33" i="258" s="1"/>
  <c r="L86" i="258"/>
  <c r="U86" i="258" s="1"/>
  <c r="AT55" i="258"/>
  <c r="AT56" i="258" s="1"/>
  <c r="AT7" i="258"/>
  <c r="AT10" i="258" s="1"/>
  <c r="AC73" i="258"/>
  <c r="AL73" i="258" s="1"/>
  <c r="AT73" i="258"/>
  <c r="BD73" i="258" s="1"/>
  <c r="A80" i="210"/>
  <c r="A82" i="210" s="1"/>
  <c r="A84" i="210" s="1"/>
  <c r="A86" i="210" s="1"/>
  <c r="A88" i="210" s="1"/>
  <c r="A79" i="210"/>
  <c r="A81" i="210" s="1"/>
  <c r="A83" i="210" s="1"/>
  <c r="A85" i="210" s="1"/>
  <c r="A87" i="210" s="1"/>
  <c r="A78" i="227"/>
  <c r="A80" i="227" s="1"/>
  <c r="A82" i="227" s="1"/>
  <c r="A84" i="227" s="1"/>
  <c r="A86" i="227" s="1"/>
  <c r="A79" i="227"/>
  <c r="A81" i="227" s="1"/>
  <c r="A83" i="227" s="1"/>
  <c r="A85" i="227" s="1"/>
  <c r="A87" i="227" s="1"/>
  <c r="A89" i="227" s="1"/>
  <c r="A90" i="227" s="1"/>
  <c r="A92" i="227" s="1"/>
  <c r="A90" i="210"/>
  <c r="A91" i="210" s="1"/>
  <c r="A93" i="210" s="1"/>
  <c r="D11" i="230"/>
  <c r="D10" i="230"/>
  <c r="D9" i="230"/>
  <c r="D8" i="230"/>
  <c r="D7" i="230"/>
  <c r="D9" i="229"/>
  <c r="D8" i="229"/>
  <c r="D7" i="229"/>
  <c r="D6" i="229"/>
  <c r="Q56" i="227"/>
  <c r="P56" i="227"/>
  <c r="M56" i="227"/>
  <c r="L56" i="227"/>
  <c r="H56" i="227"/>
  <c r="F21" i="242"/>
  <c r="F22" i="242"/>
  <c r="F23" i="242"/>
  <c r="F23" i="156"/>
  <c r="F22" i="156"/>
  <c r="F21" i="156"/>
  <c r="U58" i="258" l="1"/>
  <c r="U61" i="258" s="1"/>
  <c r="AT58" i="258"/>
  <c r="AT61" i="258" s="1"/>
  <c r="AY58" i="258"/>
  <c r="AY61" i="258" s="1"/>
  <c r="L10" i="258"/>
  <c r="L13" i="258" s="1"/>
  <c r="L16" i="258" s="1"/>
  <c r="U7" i="258"/>
  <c r="U10" i="258" s="1"/>
  <c r="U13" i="258" s="1"/>
  <c r="U16" i="258" s="1"/>
  <c r="AL55" i="258"/>
  <c r="AL56" i="258" s="1"/>
  <c r="AK56" i="258"/>
  <c r="AL29" i="258"/>
  <c r="AL33" i="258" s="1"/>
  <c r="AK33" i="258"/>
  <c r="AG58" i="258"/>
  <c r="AG61" i="258" s="1"/>
  <c r="AX33" i="258"/>
  <c r="AX56" i="258"/>
  <c r="BD7" i="258"/>
  <c r="BD10" i="258" s="1"/>
  <c r="BD13" i="258" s="1"/>
  <c r="BD16" i="258" s="1"/>
  <c r="AT13" i="258"/>
  <c r="AT16" i="258" s="1"/>
  <c r="AL7" i="258"/>
  <c r="AL10" i="258" s="1"/>
  <c r="AL13" i="258" s="1"/>
  <c r="AL16" i="258" s="1"/>
  <c r="AC10" i="258"/>
  <c r="AC13" i="258" s="1"/>
  <c r="AC16" i="258" s="1"/>
  <c r="BD56" i="259"/>
  <c r="AX58" i="259"/>
  <c r="AX61" i="259" s="1"/>
  <c r="BB61" i="259" s="1"/>
  <c r="BB29" i="258"/>
  <c r="L73" i="258"/>
  <c r="U73" i="258" s="1"/>
  <c r="BB55" i="258"/>
  <c r="AK87" i="259"/>
  <c r="BD33" i="259"/>
  <c r="AK61" i="259"/>
  <c r="AL61" i="259" s="1"/>
  <c r="AK58" i="259"/>
  <c r="AL58" i="259" s="1"/>
  <c r="Q87" i="258"/>
  <c r="AV87" i="258"/>
  <c r="AN16" i="259"/>
  <c r="L10" i="259"/>
  <c r="U10" i="259" s="1"/>
  <c r="T61" i="259"/>
  <c r="U61" i="259" s="1"/>
  <c r="N87" i="259"/>
  <c r="T87" i="259" s="1"/>
  <c r="AC10" i="259"/>
  <c r="AL10" i="259" s="1"/>
  <c r="AC87" i="259"/>
  <c r="AT86" i="259"/>
  <c r="BD86" i="259" s="1"/>
  <c r="AT58" i="259"/>
  <c r="AT13" i="259"/>
  <c r="BD13" i="259" s="1"/>
  <c r="L87" i="259"/>
  <c r="C17" i="269" s="1"/>
  <c r="AQ87" i="258"/>
  <c r="A20" i="258"/>
  <c r="AC86" i="258"/>
  <c r="AL86" i="258" s="1"/>
  <c r="AC87" i="258"/>
  <c r="C73" i="184"/>
  <c r="AC56" i="242"/>
  <c r="AX58" i="258" l="1"/>
  <c r="AX61" i="258" s="1"/>
  <c r="AK58" i="258"/>
  <c r="AK61" i="258" s="1"/>
  <c r="AL58" i="258"/>
  <c r="AL61" i="258" s="1"/>
  <c r="BD29" i="258"/>
  <c r="BD33" i="258" s="1"/>
  <c r="BB33" i="258"/>
  <c r="BD55" i="258"/>
  <c r="BD56" i="258" s="1"/>
  <c r="BB56" i="258"/>
  <c r="BB58" i="259"/>
  <c r="BD58" i="259" s="1"/>
  <c r="AH87" i="258"/>
  <c r="AL87" i="259"/>
  <c r="AX87" i="259"/>
  <c r="BB87" i="259" s="1"/>
  <c r="P87" i="258"/>
  <c r="U87" i="259"/>
  <c r="U13" i="259"/>
  <c r="AT16" i="259"/>
  <c r="BD16" i="259" s="1"/>
  <c r="AC13" i="259"/>
  <c r="AL13" i="259" s="1"/>
  <c r="AT61" i="259"/>
  <c r="AT86" i="258"/>
  <c r="BD86" i="258" s="1"/>
  <c r="AT87" i="258"/>
  <c r="A21" i="258"/>
  <c r="AE92" i="242"/>
  <c r="BB58" i="258" l="1"/>
  <c r="BB61" i="258" s="1"/>
  <c r="BD58" i="258"/>
  <c r="BD61" i="258" s="1"/>
  <c r="T87" i="258"/>
  <c r="U87" i="258" s="1"/>
  <c r="BD61" i="259"/>
  <c r="AG87" i="258"/>
  <c r="U16" i="259"/>
  <c r="AC16" i="259"/>
  <c r="AL16" i="259" s="1"/>
  <c r="AT87" i="259"/>
  <c r="BD87" i="259" s="1"/>
  <c r="A22" i="258"/>
  <c r="G51" i="167"/>
  <c r="F29" i="167"/>
  <c r="AK87" i="258" l="1"/>
  <c r="AL87" i="258" s="1"/>
  <c r="AY87" i="258"/>
  <c r="AX87" i="258"/>
  <c r="A23" i="258"/>
  <c r="Q18" i="210"/>
  <c r="AD74" i="156" s="1"/>
  <c r="P18" i="210"/>
  <c r="M18" i="210"/>
  <c r="R74" i="156" s="1"/>
  <c r="L18" i="210"/>
  <c r="I18" i="210"/>
  <c r="G74" i="156" s="1"/>
  <c r="H18" i="210"/>
  <c r="P36" i="210"/>
  <c r="L36" i="210"/>
  <c r="I36" i="210"/>
  <c r="H75" i="156" s="1"/>
  <c r="H36" i="210"/>
  <c r="J37" i="210"/>
  <c r="J36" i="210" s="1"/>
  <c r="M37" i="210"/>
  <c r="M36" i="210" s="1"/>
  <c r="S75" i="156" s="1"/>
  <c r="P35" i="227"/>
  <c r="L35" i="227"/>
  <c r="H35" i="227"/>
  <c r="N10" i="227"/>
  <c r="N11" i="227"/>
  <c r="N12" i="227"/>
  <c r="N13" i="227"/>
  <c r="N14" i="227"/>
  <c r="N15" i="227"/>
  <c r="R90" i="227"/>
  <c r="R87" i="227"/>
  <c r="R86" i="227"/>
  <c r="R85" i="227"/>
  <c r="R84" i="227"/>
  <c r="R83" i="227"/>
  <c r="R82" i="227"/>
  <c r="R81" i="227"/>
  <c r="R80" i="227"/>
  <c r="R79" i="227"/>
  <c r="R78" i="227"/>
  <c r="R77" i="227"/>
  <c r="R74" i="227"/>
  <c r="R73" i="227"/>
  <c r="R72" i="227"/>
  <c r="R71" i="227"/>
  <c r="R70" i="227"/>
  <c r="R69" i="227"/>
  <c r="R68" i="227"/>
  <c r="R67" i="227"/>
  <c r="R66" i="227"/>
  <c r="R65" i="227"/>
  <c r="R64" i="227"/>
  <c r="R63" i="227"/>
  <c r="R59" i="227"/>
  <c r="R58" i="227"/>
  <c r="R57" i="227"/>
  <c r="R60" i="227"/>
  <c r="R54" i="227"/>
  <c r="R53" i="227"/>
  <c r="R52" i="227"/>
  <c r="R49" i="227"/>
  <c r="R48" i="227"/>
  <c r="R47" i="227"/>
  <c r="R46" i="227"/>
  <c r="R45" i="227"/>
  <c r="R42" i="227"/>
  <c r="R41" i="227"/>
  <c r="R40" i="227"/>
  <c r="R39" i="227"/>
  <c r="R15" i="227"/>
  <c r="R14" i="227"/>
  <c r="R13" i="227"/>
  <c r="R12" i="227"/>
  <c r="R11" i="227"/>
  <c r="R10" i="227"/>
  <c r="R9" i="227"/>
  <c r="R8" i="227"/>
  <c r="R7" i="227"/>
  <c r="R6" i="227"/>
  <c r="N90" i="227"/>
  <c r="N87" i="227"/>
  <c r="N86" i="227"/>
  <c r="N85" i="227"/>
  <c r="N84" i="227"/>
  <c r="N83" i="227"/>
  <c r="N82" i="227"/>
  <c r="N81" i="227"/>
  <c r="N80" i="227"/>
  <c r="N79" i="227"/>
  <c r="N78" i="227"/>
  <c r="N77" i="227"/>
  <c r="N74" i="227"/>
  <c r="N73" i="227"/>
  <c r="N72" i="227"/>
  <c r="N71" i="227"/>
  <c r="N70" i="227"/>
  <c r="N69" i="227"/>
  <c r="N68" i="227"/>
  <c r="N67" i="227"/>
  <c r="N66" i="227"/>
  <c r="N65" i="227"/>
  <c r="N64" i="227"/>
  <c r="N63" i="227"/>
  <c r="N59" i="227"/>
  <c r="N58" i="227"/>
  <c r="N57" i="227"/>
  <c r="N60" i="227"/>
  <c r="N54" i="227"/>
  <c r="N53" i="227"/>
  <c r="N52" i="227"/>
  <c r="N51" i="227" s="1"/>
  <c r="N49" i="227"/>
  <c r="N48" i="227"/>
  <c r="N47" i="227"/>
  <c r="N46" i="227"/>
  <c r="N45" i="227"/>
  <c r="N42" i="227"/>
  <c r="N41" i="227"/>
  <c r="N40" i="227"/>
  <c r="N39" i="227"/>
  <c r="N9" i="227"/>
  <c r="N8" i="227"/>
  <c r="N7" i="227"/>
  <c r="N6" i="227"/>
  <c r="J15" i="227"/>
  <c r="J14" i="227"/>
  <c r="J13" i="227"/>
  <c r="J12" i="227"/>
  <c r="J11" i="227"/>
  <c r="J10" i="227"/>
  <c r="J9" i="227"/>
  <c r="J8" i="227"/>
  <c r="J7" i="227"/>
  <c r="J42" i="227"/>
  <c r="J41" i="227"/>
  <c r="J40" i="227"/>
  <c r="J39" i="227"/>
  <c r="J49" i="227"/>
  <c r="J48" i="227"/>
  <c r="J47" i="227"/>
  <c r="J46" i="227"/>
  <c r="J45" i="227"/>
  <c r="J60" i="227"/>
  <c r="J54" i="227"/>
  <c r="J53" i="227"/>
  <c r="J52" i="227"/>
  <c r="J51" i="227" s="1"/>
  <c r="J59" i="227"/>
  <c r="J58" i="227"/>
  <c r="J57" i="227"/>
  <c r="J74" i="227"/>
  <c r="J73" i="227"/>
  <c r="J72" i="227"/>
  <c r="J71" i="227"/>
  <c r="J70" i="227"/>
  <c r="J69" i="227"/>
  <c r="J68" i="227"/>
  <c r="J67" i="227"/>
  <c r="J66" i="227"/>
  <c r="J65" i="227"/>
  <c r="J64" i="227"/>
  <c r="J63" i="227"/>
  <c r="J87" i="227"/>
  <c r="J86" i="227"/>
  <c r="J85" i="227"/>
  <c r="J84" i="227"/>
  <c r="J83" i="227"/>
  <c r="J82" i="227"/>
  <c r="J81" i="227"/>
  <c r="J80" i="227"/>
  <c r="J79" i="227"/>
  <c r="J78" i="227"/>
  <c r="J77" i="227"/>
  <c r="J90" i="227"/>
  <c r="J6" i="227"/>
  <c r="Q76" i="227"/>
  <c r="P76" i="227"/>
  <c r="M76" i="227"/>
  <c r="L76" i="227"/>
  <c r="Q89" i="227"/>
  <c r="P89" i="227"/>
  <c r="M89" i="227"/>
  <c r="T76" i="242" s="1"/>
  <c r="L89" i="227"/>
  <c r="I89" i="227"/>
  <c r="I76" i="242" s="1"/>
  <c r="H89" i="227"/>
  <c r="Q77" i="210"/>
  <c r="P77" i="210"/>
  <c r="M77" i="210"/>
  <c r="L77" i="210"/>
  <c r="I77" i="210"/>
  <c r="L90" i="210"/>
  <c r="Q90" i="210"/>
  <c r="P90" i="210"/>
  <c r="M90" i="210"/>
  <c r="I90" i="210"/>
  <c r="H90" i="210"/>
  <c r="BB87" i="258" l="1"/>
  <c r="BD87" i="258" s="1"/>
  <c r="A24" i="258"/>
  <c r="R51" i="227"/>
  <c r="R89" i="227"/>
  <c r="R56" i="227"/>
  <c r="J56" i="227"/>
  <c r="N37" i="210"/>
  <c r="N36" i="210" s="1"/>
  <c r="Q37" i="210"/>
  <c r="R76" i="227"/>
  <c r="N56" i="227"/>
  <c r="J89" i="227"/>
  <c r="N76" i="227"/>
  <c r="N89" i="227"/>
  <c r="A26" i="258" l="1"/>
  <c r="R37" i="210"/>
  <c r="R36" i="210" s="1"/>
  <c r="Q36" i="210"/>
  <c r="AE75" i="156" s="1"/>
  <c r="R91" i="210"/>
  <c r="R90" i="210" s="1"/>
  <c r="R88" i="210"/>
  <c r="R87" i="210"/>
  <c r="R86" i="210"/>
  <c r="R85" i="210"/>
  <c r="R84" i="210"/>
  <c r="R83" i="210"/>
  <c r="R82" i="210"/>
  <c r="R81" i="210"/>
  <c r="R80" i="210"/>
  <c r="R79" i="210"/>
  <c r="R78" i="210"/>
  <c r="R75" i="210"/>
  <c r="R74" i="210"/>
  <c r="R73" i="210"/>
  <c r="R72" i="210"/>
  <c r="R71" i="210"/>
  <c r="R70" i="210"/>
  <c r="R69" i="210"/>
  <c r="R68" i="210"/>
  <c r="R67" i="210"/>
  <c r="R66" i="210"/>
  <c r="R65" i="210"/>
  <c r="R64" i="210"/>
  <c r="R60" i="210"/>
  <c r="R59" i="210"/>
  <c r="R58" i="210"/>
  <c r="R61" i="210"/>
  <c r="R55" i="210"/>
  <c r="R54" i="210"/>
  <c r="R53" i="210"/>
  <c r="R52" i="210" s="1"/>
  <c r="R50" i="210"/>
  <c r="R49" i="210"/>
  <c r="R48" i="210"/>
  <c r="R47" i="210"/>
  <c r="R46" i="210"/>
  <c r="R43" i="210"/>
  <c r="R42" i="210"/>
  <c r="R41" i="210"/>
  <c r="R40" i="210"/>
  <c r="R34" i="210"/>
  <c r="R33" i="210"/>
  <c r="R32" i="210"/>
  <c r="R31" i="210"/>
  <c r="R30" i="210"/>
  <c r="R29" i="210"/>
  <c r="R28" i="210"/>
  <c r="R27" i="210"/>
  <c r="R26" i="210"/>
  <c r="R25" i="210"/>
  <c r="R24" i="210"/>
  <c r="R23" i="210"/>
  <c r="R22" i="210"/>
  <c r="R21" i="210"/>
  <c r="R20" i="210"/>
  <c r="R19" i="210"/>
  <c r="R16" i="210"/>
  <c r="R15" i="210"/>
  <c r="R14" i="210"/>
  <c r="R13" i="210"/>
  <c r="R12" i="210"/>
  <c r="R11" i="210"/>
  <c r="R10" i="210"/>
  <c r="R9" i="210"/>
  <c r="R8" i="210"/>
  <c r="R7" i="210"/>
  <c r="N91" i="210"/>
  <c r="N90" i="210" s="1"/>
  <c r="N88" i="210"/>
  <c r="N87" i="210"/>
  <c r="N86" i="210"/>
  <c r="N85" i="210"/>
  <c r="N84" i="210"/>
  <c r="N83" i="210"/>
  <c r="N82" i="210"/>
  <c r="N81" i="210"/>
  <c r="N80" i="210"/>
  <c r="N79" i="210"/>
  <c r="N78" i="210"/>
  <c r="N75" i="210"/>
  <c r="N74" i="210"/>
  <c r="N73" i="210"/>
  <c r="N72" i="210"/>
  <c r="N71" i="210"/>
  <c r="N70" i="210"/>
  <c r="N69" i="210"/>
  <c r="N68" i="210"/>
  <c r="N67" i="210"/>
  <c r="N66" i="210"/>
  <c r="N65" i="210"/>
  <c r="N64" i="210"/>
  <c r="N60" i="210"/>
  <c r="N59" i="210"/>
  <c r="N58" i="210"/>
  <c r="N61" i="210"/>
  <c r="N55" i="210"/>
  <c r="N54" i="210"/>
  <c r="N53" i="210"/>
  <c r="N52" i="210" s="1"/>
  <c r="N50" i="210"/>
  <c r="N49" i="210"/>
  <c r="N48" i="210"/>
  <c r="N47" i="210"/>
  <c r="N46" i="210"/>
  <c r="N43" i="210"/>
  <c r="N42" i="210"/>
  <c r="N41" i="210"/>
  <c r="N40" i="210"/>
  <c r="N34" i="210"/>
  <c r="N33" i="210"/>
  <c r="N32" i="210"/>
  <c r="N31" i="210"/>
  <c r="N30" i="210"/>
  <c r="N29" i="210"/>
  <c r="N28" i="210"/>
  <c r="N27" i="210"/>
  <c r="N26" i="210"/>
  <c r="N25" i="210"/>
  <c r="N24" i="210"/>
  <c r="N23" i="210"/>
  <c r="N22" i="210"/>
  <c r="N21" i="210"/>
  <c r="N20" i="210"/>
  <c r="N19" i="210"/>
  <c r="N16" i="210"/>
  <c r="N15" i="210"/>
  <c r="N14" i="210"/>
  <c r="N13" i="210"/>
  <c r="N12" i="210"/>
  <c r="N11" i="210"/>
  <c r="N10" i="210"/>
  <c r="N9" i="210"/>
  <c r="N8" i="210"/>
  <c r="N7" i="210"/>
  <c r="J61" i="210"/>
  <c r="J16" i="210"/>
  <c r="J15" i="210"/>
  <c r="J14" i="210"/>
  <c r="J13" i="210"/>
  <c r="J12" i="210"/>
  <c r="J11" i="210"/>
  <c r="J10" i="210"/>
  <c r="J9" i="210"/>
  <c r="J8" i="210"/>
  <c r="J34" i="210"/>
  <c r="J33" i="210"/>
  <c r="J32" i="210"/>
  <c r="J31" i="210"/>
  <c r="J30" i="210"/>
  <c r="J29" i="210"/>
  <c r="J28" i="210"/>
  <c r="J27" i="210"/>
  <c r="J26" i="210"/>
  <c r="J25" i="210"/>
  <c r="J24" i="210"/>
  <c r="J23" i="210"/>
  <c r="J22" i="210"/>
  <c r="J21" i="210"/>
  <c r="J20" i="210"/>
  <c r="J19" i="210"/>
  <c r="J43" i="210"/>
  <c r="J42" i="210"/>
  <c r="J41" i="210"/>
  <c r="J40" i="210"/>
  <c r="J50" i="210"/>
  <c r="J49" i="210"/>
  <c r="J48" i="210"/>
  <c r="J47" i="210"/>
  <c r="J46" i="210"/>
  <c r="J55" i="210"/>
  <c r="J54" i="210"/>
  <c r="J53" i="210"/>
  <c r="J52" i="210" s="1"/>
  <c r="J60" i="210"/>
  <c r="J59" i="210"/>
  <c r="J58" i="210"/>
  <c r="J75" i="210"/>
  <c r="J74" i="210"/>
  <c r="J73" i="210"/>
  <c r="J72" i="210"/>
  <c r="J71" i="210"/>
  <c r="J70" i="210"/>
  <c r="J69" i="210"/>
  <c r="J68" i="210"/>
  <c r="J67" i="210"/>
  <c r="J66" i="210"/>
  <c r="J65" i="210"/>
  <c r="J64" i="210"/>
  <c r="J91" i="210"/>
  <c r="J90" i="210" s="1"/>
  <c r="J88" i="210"/>
  <c r="J87" i="210"/>
  <c r="J86" i="210"/>
  <c r="J85" i="210"/>
  <c r="J84" i="210"/>
  <c r="J83" i="210"/>
  <c r="J82" i="210"/>
  <c r="J81" i="210"/>
  <c r="J80" i="210"/>
  <c r="J79" i="210"/>
  <c r="J78" i="210"/>
  <c r="J7" i="210"/>
  <c r="Q6" i="210"/>
  <c r="P6" i="210"/>
  <c r="M6" i="210"/>
  <c r="L6" i="210"/>
  <c r="I6" i="210"/>
  <c r="H6" i="210"/>
  <c r="A81" i="242"/>
  <c r="B15" i="236"/>
  <c r="C15" i="236"/>
  <c r="D15" i="236"/>
  <c r="B6" i="236"/>
  <c r="C6" i="236"/>
  <c r="D6" i="236"/>
  <c r="E6" i="236"/>
  <c r="F6" i="236"/>
  <c r="G6" i="236"/>
  <c r="H6" i="236"/>
  <c r="I6" i="236"/>
  <c r="J6" i="236"/>
  <c r="K6" i="236"/>
  <c r="L6" i="236"/>
  <c r="A28" i="258" l="1"/>
  <c r="J77" i="210"/>
  <c r="J57" i="210"/>
  <c r="R57" i="210"/>
  <c r="N57" i="210"/>
  <c r="R18" i="210"/>
  <c r="N18" i="210"/>
  <c r="J18" i="210"/>
  <c r="R77" i="210"/>
  <c r="N77" i="210"/>
  <c r="R6" i="210"/>
  <c r="N6" i="210"/>
  <c r="J6" i="210"/>
  <c r="A29" i="258" l="1"/>
  <c r="AD80" i="156"/>
  <c r="AC80" i="156"/>
  <c r="R80" i="156"/>
  <c r="Q80" i="156"/>
  <c r="G80" i="156"/>
  <c r="F80" i="156"/>
  <c r="A30" i="258" l="1"/>
  <c r="A52" i="167"/>
  <c r="A57" i="167"/>
  <c r="A60" i="167"/>
  <c r="A41" i="167"/>
  <c r="A42" i="167" s="1"/>
  <c r="A43" i="167" s="1"/>
  <c r="L53" i="156"/>
  <c r="L52" i="156"/>
  <c r="I35" i="247"/>
  <c r="E20" i="175"/>
  <c r="E22" i="175" s="1"/>
  <c r="D20" i="175"/>
  <c r="D22" i="175" s="1"/>
  <c r="C20" i="175"/>
  <c r="C22" i="175" s="1"/>
  <c r="A31" i="258" l="1"/>
  <c r="A44" i="167"/>
  <c r="F18" i="214"/>
  <c r="F24" i="214"/>
  <c r="F30" i="214"/>
  <c r="F37" i="214"/>
  <c r="F43" i="214"/>
  <c r="F49" i="214"/>
  <c r="F55" i="214"/>
  <c r="H18" i="214"/>
  <c r="H24" i="214"/>
  <c r="H30" i="214"/>
  <c r="H37" i="214"/>
  <c r="H43" i="214"/>
  <c r="H49" i="214"/>
  <c r="H55" i="214"/>
  <c r="H29" i="156"/>
  <c r="I29" i="156"/>
  <c r="H55" i="156"/>
  <c r="I55" i="156"/>
  <c r="A32" i="258" l="1"/>
  <c r="A33" i="258" s="1"/>
  <c r="A45" i="167"/>
  <c r="A34" i="258" l="1"/>
  <c r="A46" i="167"/>
  <c r="A35" i="258" l="1"/>
  <c r="A36" i="258" s="1"/>
  <c r="A47" i="167"/>
  <c r="A37" i="258" l="1"/>
  <c r="A48" i="167"/>
  <c r="A38" i="258" l="1"/>
  <c r="A39" i="258" s="1"/>
  <c r="A49" i="167"/>
  <c r="A40" i="258" l="1"/>
  <c r="A50" i="167"/>
  <c r="A41" i="258" l="1"/>
  <c r="A42" i="258" s="1"/>
  <c r="A51" i="167"/>
  <c r="A43" i="258" l="1"/>
  <c r="A53" i="167"/>
  <c r="A44" i="258" l="1"/>
  <c r="A54" i="167"/>
  <c r="A55" i="167" s="1"/>
  <c r="A45" i="258" l="1"/>
  <c r="A56" i="167"/>
  <c r="A58" i="167" s="1"/>
  <c r="A46" i="258" l="1"/>
  <c r="A47" i="258" s="1"/>
  <c r="A59" i="167"/>
  <c r="A48" i="258" l="1"/>
  <c r="A61" i="167"/>
  <c r="A49" i="258" l="1"/>
  <c r="A50" i="258" s="1"/>
  <c r="A62" i="167"/>
  <c r="A51" i="258" l="1"/>
  <c r="A63" i="167"/>
  <c r="A52" i="258" l="1"/>
  <c r="A53" i="258" s="1"/>
  <c r="A64" i="167"/>
  <c r="A65" i="167" s="1"/>
  <c r="A54" i="258" l="1"/>
  <c r="A55" i="258" s="1"/>
  <c r="AE70" i="242"/>
  <c r="AF70" i="242"/>
  <c r="S70" i="242"/>
  <c r="T70" i="242"/>
  <c r="AG10" i="242"/>
  <c r="AF10" i="242"/>
  <c r="AE10" i="242"/>
  <c r="AD10" i="242"/>
  <c r="U10" i="242"/>
  <c r="T10" i="242"/>
  <c r="S10" i="242"/>
  <c r="R10" i="242"/>
  <c r="G10" i="242"/>
  <c r="H10" i="242"/>
  <c r="I10" i="242"/>
  <c r="J10" i="242"/>
  <c r="AG16" i="242"/>
  <c r="AF16" i="242"/>
  <c r="AE16" i="242"/>
  <c r="AD16" i="242"/>
  <c r="U16" i="242"/>
  <c r="T16" i="242"/>
  <c r="S16" i="242"/>
  <c r="R16" i="242"/>
  <c r="G16" i="242"/>
  <c r="H16" i="242"/>
  <c r="I16" i="242"/>
  <c r="J16" i="242"/>
  <c r="R11" i="230"/>
  <c r="Q11" i="230"/>
  <c r="P11" i="230"/>
  <c r="N11" i="230"/>
  <c r="M11" i="230"/>
  <c r="L11" i="230"/>
  <c r="J11" i="230"/>
  <c r="I11" i="230"/>
  <c r="H11" i="230"/>
  <c r="R10" i="230"/>
  <c r="Q10" i="230"/>
  <c r="P10" i="230"/>
  <c r="R9" i="230"/>
  <c r="R8" i="230"/>
  <c r="Q8" i="230"/>
  <c r="P8" i="230"/>
  <c r="R7" i="230"/>
  <c r="Q7" i="230"/>
  <c r="P7" i="230"/>
  <c r="Q9" i="230"/>
  <c r="P9" i="230"/>
  <c r="N10" i="230"/>
  <c r="M10" i="230"/>
  <c r="L10" i="230"/>
  <c r="N9" i="230"/>
  <c r="M9" i="230"/>
  <c r="L9" i="230"/>
  <c r="N8" i="230"/>
  <c r="M8" i="230"/>
  <c r="L8" i="230"/>
  <c r="N7" i="230"/>
  <c r="M7" i="230"/>
  <c r="L7" i="230"/>
  <c r="J10" i="230"/>
  <c r="I10" i="230"/>
  <c r="H10" i="230"/>
  <c r="J9" i="230"/>
  <c r="I9" i="230"/>
  <c r="H9" i="230"/>
  <c r="J8" i="230"/>
  <c r="I8" i="230"/>
  <c r="H8" i="230"/>
  <c r="J7" i="230"/>
  <c r="I7" i="230"/>
  <c r="H7" i="230"/>
  <c r="H76" i="227"/>
  <c r="J76" i="227" s="1"/>
  <c r="A56" i="258" l="1"/>
  <c r="A58" i="258" s="1"/>
  <c r="J6" i="230"/>
  <c r="N6" i="230"/>
  <c r="P6" i="230"/>
  <c r="R6" i="230"/>
  <c r="M6" i="230"/>
  <c r="I6" i="230"/>
  <c r="Q6" i="230"/>
  <c r="H6" i="230"/>
  <c r="L6" i="230"/>
  <c r="M13" i="230"/>
  <c r="H13" i="230"/>
  <c r="L13" i="230"/>
  <c r="I13" i="230"/>
  <c r="N13" i="230"/>
  <c r="P13" i="230"/>
  <c r="J13" i="230"/>
  <c r="Q13" i="230"/>
  <c r="R13" i="230"/>
  <c r="R9" i="229"/>
  <c r="Q9" i="229"/>
  <c r="P9" i="229"/>
  <c r="N9" i="229"/>
  <c r="M9" i="229"/>
  <c r="L9" i="229"/>
  <c r="J9" i="229"/>
  <c r="I9" i="229"/>
  <c r="H9" i="229"/>
  <c r="R8" i="229"/>
  <c r="Q8" i="229"/>
  <c r="P8" i="229"/>
  <c r="N8" i="229"/>
  <c r="M8" i="229"/>
  <c r="L8" i="229"/>
  <c r="J8" i="229"/>
  <c r="I8" i="229"/>
  <c r="H8" i="229"/>
  <c r="R7" i="229"/>
  <c r="Q7" i="229"/>
  <c r="P7" i="229"/>
  <c r="N7" i="229"/>
  <c r="M7" i="229"/>
  <c r="L7" i="229"/>
  <c r="J7" i="229"/>
  <c r="I7" i="229"/>
  <c r="H7" i="229"/>
  <c r="R6" i="229"/>
  <c r="Q6" i="229"/>
  <c r="P6" i="229"/>
  <c r="N6" i="229"/>
  <c r="M6" i="229"/>
  <c r="L6" i="229"/>
  <c r="J6" i="229"/>
  <c r="I6" i="229"/>
  <c r="H6" i="229"/>
  <c r="A60" i="258" l="1"/>
  <c r="A61" i="258" s="1"/>
  <c r="P5" i="229"/>
  <c r="M5" i="229"/>
  <c r="N5" i="229"/>
  <c r="H5" i="229"/>
  <c r="I5" i="229"/>
  <c r="Q5" i="229"/>
  <c r="J5" i="229"/>
  <c r="R5" i="229"/>
  <c r="L5" i="229"/>
  <c r="H12" i="229"/>
  <c r="I12" i="229"/>
  <c r="J12" i="229"/>
  <c r="L12" i="229"/>
  <c r="M12" i="229"/>
  <c r="N12" i="229"/>
  <c r="P12" i="229"/>
  <c r="Q12" i="229"/>
  <c r="R12" i="229"/>
  <c r="R11" i="196"/>
  <c r="Q11" i="196"/>
  <c r="P11" i="196"/>
  <c r="N11" i="196"/>
  <c r="M11" i="196"/>
  <c r="L11" i="196"/>
  <c r="J11" i="196"/>
  <c r="I11" i="196"/>
  <c r="H11" i="196"/>
  <c r="R10" i="196"/>
  <c r="Q10" i="196"/>
  <c r="P10" i="196"/>
  <c r="N10" i="196"/>
  <c r="M10" i="196"/>
  <c r="L10" i="196"/>
  <c r="J10" i="196"/>
  <c r="I10" i="196"/>
  <c r="H10" i="196"/>
  <c r="R9" i="196"/>
  <c r="Q9" i="196"/>
  <c r="P9" i="196"/>
  <c r="N9" i="196"/>
  <c r="M9" i="196"/>
  <c r="L9" i="196"/>
  <c r="J9" i="196"/>
  <c r="I9" i="196"/>
  <c r="H9" i="196"/>
  <c r="R8" i="196"/>
  <c r="Q8" i="196"/>
  <c r="P8" i="196"/>
  <c r="N8" i="196"/>
  <c r="M8" i="196"/>
  <c r="L8" i="196"/>
  <c r="J8" i="196"/>
  <c r="I8" i="196"/>
  <c r="H8" i="196"/>
  <c r="R7" i="196"/>
  <c r="Q7" i="196"/>
  <c r="P7" i="196"/>
  <c r="N7" i="196"/>
  <c r="M7" i="196"/>
  <c r="L7" i="196"/>
  <c r="J7" i="196"/>
  <c r="I7" i="196"/>
  <c r="H7" i="196"/>
  <c r="R10" i="181"/>
  <c r="Q10" i="181"/>
  <c r="P10" i="181"/>
  <c r="N10" i="181"/>
  <c r="M10" i="181"/>
  <c r="L10" i="181"/>
  <c r="J10" i="181"/>
  <c r="I10" i="181"/>
  <c r="H10" i="181"/>
  <c r="R9" i="181"/>
  <c r="Q9" i="181"/>
  <c r="P9" i="181"/>
  <c r="N9" i="181"/>
  <c r="M9" i="181"/>
  <c r="L9" i="181"/>
  <c r="J9" i="181"/>
  <c r="I9" i="181"/>
  <c r="H9" i="181"/>
  <c r="R8" i="181"/>
  <c r="Q8" i="181"/>
  <c r="P8" i="181"/>
  <c r="N8" i="181"/>
  <c r="M8" i="181"/>
  <c r="L8" i="181"/>
  <c r="J8" i="181"/>
  <c r="I8" i="181"/>
  <c r="H8" i="181"/>
  <c r="R7" i="181"/>
  <c r="Q7" i="181"/>
  <c r="P7" i="181"/>
  <c r="N7" i="181"/>
  <c r="M7" i="181"/>
  <c r="L7" i="181"/>
  <c r="J7" i="181"/>
  <c r="I7" i="181"/>
  <c r="H7" i="181"/>
  <c r="A63" i="258" l="1"/>
  <c r="L6" i="181"/>
  <c r="M6" i="196"/>
  <c r="N6" i="196"/>
  <c r="P6" i="196"/>
  <c r="P6" i="181"/>
  <c r="L6" i="196"/>
  <c r="M6" i="181"/>
  <c r="N6" i="181"/>
  <c r="H6" i="181"/>
  <c r="H6" i="196"/>
  <c r="I6" i="181"/>
  <c r="Q6" i="181"/>
  <c r="J6" i="181"/>
  <c r="R6" i="181"/>
  <c r="J6" i="196"/>
  <c r="Q6" i="196"/>
  <c r="R6" i="196"/>
  <c r="I6" i="196"/>
  <c r="H13" i="181"/>
  <c r="T29" i="242"/>
  <c r="AF29" i="242" s="1"/>
  <c r="S29" i="242"/>
  <c r="AE29" i="242" s="1"/>
  <c r="T29" i="156"/>
  <c r="AF29" i="156" s="1"/>
  <c r="S29" i="156"/>
  <c r="AE29" i="156" s="1"/>
  <c r="T60" i="242"/>
  <c r="AF60" i="242" s="1"/>
  <c r="S60" i="242"/>
  <c r="W60" i="242" s="1"/>
  <c r="L60" i="242"/>
  <c r="K53" i="167" s="1"/>
  <c r="T55" i="242"/>
  <c r="AF55" i="242" s="1"/>
  <c r="S55" i="242"/>
  <c r="AE55" i="242" s="1"/>
  <c r="I80" i="242"/>
  <c r="AF76" i="156"/>
  <c r="AF80" i="156" s="1"/>
  <c r="T76" i="156"/>
  <c r="T80" i="156" s="1"/>
  <c r="T60" i="156"/>
  <c r="AF60" i="156" s="1"/>
  <c r="S60" i="156"/>
  <c r="AE60" i="156" s="1"/>
  <c r="T55" i="156"/>
  <c r="AF55" i="156" s="1"/>
  <c r="S55" i="156"/>
  <c r="AE55" i="156" s="1"/>
  <c r="AC70" i="242"/>
  <c r="Q70" i="242"/>
  <c r="H70" i="242"/>
  <c r="I70" i="242"/>
  <c r="F70" i="242"/>
  <c r="A64" i="258" l="1"/>
  <c r="A65" i="258" s="1"/>
  <c r="A66" i="258" s="1"/>
  <c r="N53" i="167"/>
  <c r="S80" i="156"/>
  <c r="AE60" i="242"/>
  <c r="AI60" i="242" s="1"/>
  <c r="Q53" i="167" s="1"/>
  <c r="T80" i="242"/>
  <c r="A67" i="258" l="1"/>
  <c r="A69" i="258"/>
  <c r="AE80" i="156"/>
  <c r="AF76" i="242"/>
  <c r="AF80" i="242" s="1"/>
  <c r="I76" i="156"/>
  <c r="I80" i="156" s="1"/>
  <c r="H80" i="156"/>
  <c r="I36" i="227"/>
  <c r="I35" i="227" s="1"/>
  <c r="A70" i="258" l="1"/>
  <c r="A71" i="258"/>
  <c r="A72" i="258" s="1"/>
  <c r="A73" i="258" s="1"/>
  <c r="H75" i="242"/>
  <c r="H80" i="242" s="1"/>
  <c r="J35" i="227"/>
  <c r="J36" i="227"/>
  <c r="M36" i="227"/>
  <c r="M35" i="227" s="1"/>
  <c r="P62" i="227"/>
  <c r="Q62" i="227"/>
  <c r="L62" i="227"/>
  <c r="M62" i="227"/>
  <c r="H62" i="227"/>
  <c r="P44" i="227"/>
  <c r="Q44" i="227"/>
  <c r="L44" i="227"/>
  <c r="M44" i="227"/>
  <c r="H44" i="227"/>
  <c r="P38" i="227"/>
  <c r="Q38" i="227"/>
  <c r="L38" i="227"/>
  <c r="M38" i="227"/>
  <c r="H38" i="227"/>
  <c r="P5" i="227"/>
  <c r="Q5" i="227"/>
  <c r="L5" i="227"/>
  <c r="M5" i="227"/>
  <c r="H5" i="227"/>
  <c r="A75" i="258" l="1"/>
  <c r="J44" i="227"/>
  <c r="I4" i="227"/>
  <c r="M4" i="227"/>
  <c r="N62" i="227"/>
  <c r="L4" i="227"/>
  <c r="P4" i="227"/>
  <c r="J62" i="227"/>
  <c r="Q4" i="227"/>
  <c r="R44" i="227"/>
  <c r="H4" i="227"/>
  <c r="N35" i="227"/>
  <c r="S75" i="242"/>
  <c r="S80" i="242" s="1"/>
  <c r="N38" i="227"/>
  <c r="N44" i="227"/>
  <c r="R62" i="227"/>
  <c r="U73" i="242"/>
  <c r="J38" i="227"/>
  <c r="R38" i="227"/>
  <c r="N36" i="227"/>
  <c r="AG73" i="242"/>
  <c r="N5" i="227"/>
  <c r="Q36" i="227"/>
  <c r="R5" i="227"/>
  <c r="J5" i="227"/>
  <c r="A76" i="258" l="1"/>
  <c r="A77" i="258" s="1"/>
  <c r="J4" i="227"/>
  <c r="N4" i="227"/>
  <c r="R4" i="227"/>
  <c r="AG80" i="242"/>
  <c r="U80" i="242"/>
  <c r="R36" i="227"/>
  <c r="Q35" i="227"/>
  <c r="A5" i="160"/>
  <c r="AH84" i="242"/>
  <c r="V84" i="242"/>
  <c r="AC61" i="242"/>
  <c r="AC84" i="242" s="1"/>
  <c r="K84" i="242"/>
  <c r="K84" i="156"/>
  <c r="A78" i="258" l="1"/>
  <c r="AE75" i="242"/>
  <c r="AE80" i="242" s="1"/>
  <c r="R35" i="227"/>
  <c r="W66" i="242"/>
  <c r="L66" i="242"/>
  <c r="W66" i="156"/>
  <c r="L66" i="156"/>
  <c r="A79" i="258" l="1"/>
  <c r="A80" i="258" s="1"/>
  <c r="C128" i="251"/>
  <c r="G128" i="251" s="1"/>
  <c r="G129" i="251" s="1"/>
  <c r="C123" i="251"/>
  <c r="G123" i="251" s="1"/>
  <c r="G124" i="251" s="1"/>
  <c r="C118" i="251"/>
  <c r="G118" i="251" s="1"/>
  <c r="G119" i="251" s="1"/>
  <c r="C113" i="251"/>
  <c r="G113" i="251" s="1"/>
  <c r="C110" i="251"/>
  <c r="G110" i="251" s="1"/>
  <c r="C105" i="251"/>
  <c r="C106" i="251" s="1"/>
  <c r="C99" i="251"/>
  <c r="G99" i="251" s="1"/>
  <c r="C96" i="251"/>
  <c r="G96" i="251" s="1"/>
  <c r="C91" i="251"/>
  <c r="G91" i="251" s="1"/>
  <c r="C87" i="251"/>
  <c r="G87" i="251" s="1"/>
  <c r="C86" i="251"/>
  <c r="G86" i="251" s="1"/>
  <c r="C85" i="251"/>
  <c r="G85" i="251" s="1"/>
  <c r="C84" i="251"/>
  <c r="G84" i="251" s="1"/>
  <c r="C83" i="251"/>
  <c r="G83" i="251" s="1"/>
  <c r="C82" i="251"/>
  <c r="C65" i="251"/>
  <c r="G65" i="251" s="1"/>
  <c r="C62" i="251"/>
  <c r="G62" i="251" s="1"/>
  <c r="C57" i="251"/>
  <c r="G57" i="251" s="1"/>
  <c r="C56" i="251"/>
  <c r="G56" i="251" s="1"/>
  <c r="C55" i="251"/>
  <c r="G55" i="251" s="1"/>
  <c r="C54" i="251"/>
  <c r="G54" i="251" s="1"/>
  <c r="C51" i="251"/>
  <c r="G51" i="251" s="1"/>
  <c r="G50" i="251"/>
  <c r="C50" i="251"/>
  <c r="C49" i="251"/>
  <c r="G49" i="251" s="1"/>
  <c r="C48" i="251"/>
  <c r="G48" i="251" s="1"/>
  <c r="C47" i="251"/>
  <c r="G47" i="251" s="1"/>
  <c r="C35" i="251"/>
  <c r="G35" i="251" s="1"/>
  <c r="C34" i="251"/>
  <c r="G34" i="251" s="1"/>
  <c r="C33" i="251"/>
  <c r="G33" i="251" s="1"/>
  <c r="C32" i="251"/>
  <c r="G32" i="251" s="1"/>
  <c r="C31" i="251"/>
  <c r="G31" i="251" s="1"/>
  <c r="C30" i="251"/>
  <c r="G30" i="251" s="1"/>
  <c r="C26" i="251"/>
  <c r="G26" i="251" s="1"/>
  <c r="C25" i="251"/>
  <c r="G25" i="251" s="1"/>
  <c r="C24" i="251"/>
  <c r="G24" i="251" s="1"/>
  <c r="C23" i="251"/>
  <c r="G23" i="251" s="1"/>
  <c r="C22" i="251"/>
  <c r="G22" i="251" s="1"/>
  <c r="C21" i="251"/>
  <c r="G21" i="251" s="1"/>
  <c r="C20" i="251"/>
  <c r="G20" i="251" s="1"/>
  <c r="C10" i="251"/>
  <c r="G10" i="251" s="1"/>
  <c r="C9" i="251"/>
  <c r="C128" i="250"/>
  <c r="G128" i="250" s="1"/>
  <c r="G129" i="250" s="1"/>
  <c r="C123" i="250"/>
  <c r="G123" i="250" s="1"/>
  <c r="G124" i="250" s="1"/>
  <c r="C118" i="250"/>
  <c r="G118" i="250" s="1"/>
  <c r="G119" i="250" s="1"/>
  <c r="C113" i="250"/>
  <c r="G113" i="250" s="1"/>
  <c r="C110" i="250"/>
  <c r="G110" i="250" s="1"/>
  <c r="G114" i="250" s="1"/>
  <c r="C105" i="250"/>
  <c r="C106" i="250" s="1"/>
  <c r="C99" i="250"/>
  <c r="G99" i="250" s="1"/>
  <c r="C96" i="250"/>
  <c r="G96" i="250" s="1"/>
  <c r="G100" i="250" s="1"/>
  <c r="C91" i="250"/>
  <c r="G91" i="250" s="1"/>
  <c r="C87" i="250"/>
  <c r="G87" i="250" s="1"/>
  <c r="C86" i="250"/>
  <c r="G86" i="250" s="1"/>
  <c r="C85" i="250"/>
  <c r="G85" i="250" s="1"/>
  <c r="C84" i="250"/>
  <c r="G84" i="250" s="1"/>
  <c r="C83" i="250"/>
  <c r="G83" i="250" s="1"/>
  <c r="C82" i="250"/>
  <c r="G82" i="250" s="1"/>
  <c r="C65" i="250"/>
  <c r="G65" i="250" s="1"/>
  <c r="C62" i="250"/>
  <c r="G62" i="250" s="1"/>
  <c r="G76" i="250" s="1"/>
  <c r="C57" i="250"/>
  <c r="G57" i="250" s="1"/>
  <c r="C56" i="250"/>
  <c r="G56" i="250" s="1"/>
  <c r="C55" i="250"/>
  <c r="G55" i="250" s="1"/>
  <c r="C54" i="250"/>
  <c r="G54" i="250" s="1"/>
  <c r="C51" i="250"/>
  <c r="G51" i="250" s="1"/>
  <c r="C50" i="250"/>
  <c r="G50" i="250" s="1"/>
  <c r="C49" i="250"/>
  <c r="G49" i="250" s="1"/>
  <c r="C48" i="250"/>
  <c r="G48" i="250" s="1"/>
  <c r="C47" i="250"/>
  <c r="G47" i="250" s="1"/>
  <c r="C35" i="250"/>
  <c r="G35" i="250" s="1"/>
  <c r="C34" i="250"/>
  <c r="G34" i="250" s="1"/>
  <c r="C33" i="250"/>
  <c r="G33" i="250" s="1"/>
  <c r="C32" i="250"/>
  <c r="G32" i="250" s="1"/>
  <c r="C31" i="250"/>
  <c r="G31" i="250" s="1"/>
  <c r="C30" i="250"/>
  <c r="G30" i="250" s="1"/>
  <c r="C26" i="250"/>
  <c r="G26" i="250" s="1"/>
  <c r="C25" i="250"/>
  <c r="G25" i="250" s="1"/>
  <c r="C24" i="250"/>
  <c r="G24" i="250" s="1"/>
  <c r="C23" i="250"/>
  <c r="G23" i="250" s="1"/>
  <c r="C22" i="250"/>
  <c r="G22" i="250" s="1"/>
  <c r="C21" i="250"/>
  <c r="G21" i="250" s="1"/>
  <c r="C20" i="250"/>
  <c r="G20" i="250" s="1"/>
  <c r="C10" i="250"/>
  <c r="G10" i="250" s="1"/>
  <c r="C9" i="250"/>
  <c r="G9" i="250" s="1"/>
  <c r="G11" i="250" s="1"/>
  <c r="H27" i="221" s="1"/>
  <c r="O119" i="173"/>
  <c r="Q119" i="173" s="1"/>
  <c r="O115" i="173"/>
  <c r="Q115" i="173" s="1"/>
  <c r="O111" i="173"/>
  <c r="Q111" i="173" s="1"/>
  <c r="O107" i="173"/>
  <c r="Q107" i="173" s="1"/>
  <c r="O105" i="173"/>
  <c r="Q105" i="173" s="1"/>
  <c r="O100" i="173"/>
  <c r="Q100" i="173" s="1"/>
  <c r="O94" i="173"/>
  <c r="Q94" i="173" s="1"/>
  <c r="O78" i="173"/>
  <c r="Q78" i="173" s="1"/>
  <c r="O79" i="173"/>
  <c r="Q79" i="173" s="1"/>
  <c r="O80" i="173"/>
  <c r="Q80" i="173" s="1"/>
  <c r="O81" i="173"/>
  <c r="Q81" i="173" s="1"/>
  <c r="O82" i="173"/>
  <c r="Q82" i="173" s="1"/>
  <c r="O77" i="173"/>
  <c r="Q77" i="173" s="1"/>
  <c r="O60" i="173"/>
  <c r="Q60" i="173" s="1"/>
  <c r="O50" i="173"/>
  <c r="Q50" i="173" s="1"/>
  <c r="O51" i="173"/>
  <c r="Q51" i="173" s="1"/>
  <c r="O52" i="173"/>
  <c r="Q52" i="173" s="1"/>
  <c r="O49" i="173"/>
  <c r="Q49" i="173" s="1"/>
  <c r="M10" i="173"/>
  <c r="O43" i="173"/>
  <c r="Q43" i="173" s="1"/>
  <c r="O44" i="173"/>
  <c r="Q44" i="173" s="1"/>
  <c r="O45" i="173"/>
  <c r="Q45" i="173" s="1"/>
  <c r="O46" i="173"/>
  <c r="Q46" i="173" s="1"/>
  <c r="O42" i="173"/>
  <c r="Q42" i="173" s="1"/>
  <c r="O28" i="173"/>
  <c r="Q28" i="173" s="1"/>
  <c r="O29" i="173"/>
  <c r="Q29" i="173" s="1"/>
  <c r="O30" i="173"/>
  <c r="Q30" i="173" s="1"/>
  <c r="O31" i="173"/>
  <c r="Q31" i="173" s="1"/>
  <c r="O32" i="173"/>
  <c r="Q32" i="173" s="1"/>
  <c r="O27" i="173"/>
  <c r="Q27" i="173" s="1"/>
  <c r="O18" i="173"/>
  <c r="Q18" i="173" s="1"/>
  <c r="O19" i="173"/>
  <c r="Q19" i="173" s="1"/>
  <c r="O20" i="173"/>
  <c r="Q20" i="173" s="1"/>
  <c r="O21" i="173"/>
  <c r="Q21" i="173" s="1"/>
  <c r="O22" i="173"/>
  <c r="Q22" i="173" s="1"/>
  <c r="O23" i="173"/>
  <c r="Q23" i="173" s="1"/>
  <c r="O17" i="173"/>
  <c r="Q17" i="173" s="1"/>
  <c r="O9" i="173"/>
  <c r="Q9" i="173" s="1"/>
  <c r="O8" i="173"/>
  <c r="Q8" i="173" s="1"/>
  <c r="J80" i="242"/>
  <c r="AE33" i="242"/>
  <c r="AF33" i="242"/>
  <c r="AG33" i="242"/>
  <c r="S33" i="242"/>
  <c r="S58" i="242" s="1"/>
  <c r="S61" i="242" s="1"/>
  <c r="S84" i="242" s="1"/>
  <c r="K7" i="243" s="1"/>
  <c r="T33" i="242"/>
  <c r="U33" i="242"/>
  <c r="H33" i="242"/>
  <c r="I33" i="242"/>
  <c r="J33" i="242"/>
  <c r="J58" i="242" s="1"/>
  <c r="AE56" i="242"/>
  <c r="AF56" i="242"/>
  <c r="AG56" i="242"/>
  <c r="S56" i="242"/>
  <c r="T56" i="242"/>
  <c r="U56" i="242"/>
  <c r="H56" i="242"/>
  <c r="I56" i="242"/>
  <c r="J56" i="242"/>
  <c r="AI79" i="242"/>
  <c r="AI78" i="242"/>
  <c r="AI77" i="242"/>
  <c r="AI76" i="242"/>
  <c r="AI75" i="242"/>
  <c r="AI73" i="242"/>
  <c r="AI69" i="242"/>
  <c r="AI68" i="242"/>
  <c r="AI64" i="242"/>
  <c r="AI63" i="242"/>
  <c r="W79" i="242"/>
  <c r="W78" i="242"/>
  <c r="W77" i="242"/>
  <c r="W76" i="242"/>
  <c r="W75" i="242"/>
  <c r="W73" i="242"/>
  <c r="W69" i="242"/>
  <c r="W68" i="242"/>
  <c r="W64" i="242"/>
  <c r="W63" i="242"/>
  <c r="AI55" i="242"/>
  <c r="Q50" i="167" s="1"/>
  <c r="AI54" i="242"/>
  <c r="Q49" i="167" s="1"/>
  <c r="AI53" i="242"/>
  <c r="Q48" i="167" s="1"/>
  <c r="AI52" i="242"/>
  <c r="Q47" i="167" s="1"/>
  <c r="AI51" i="242"/>
  <c r="Q46" i="167" s="1"/>
  <c r="AI50" i="242"/>
  <c r="Q45" i="167" s="1"/>
  <c r="AI49" i="242"/>
  <c r="Q44" i="167" s="1"/>
  <c r="AI48" i="242"/>
  <c r="Q43" i="167" s="1"/>
  <c r="AI47" i="242"/>
  <c r="Q42" i="167" s="1"/>
  <c r="AI46" i="242"/>
  <c r="Q41" i="167" s="1"/>
  <c r="AI45" i="242"/>
  <c r="Q40" i="167" s="1"/>
  <c r="AI44" i="242"/>
  <c r="Q39" i="167" s="1"/>
  <c r="AI43" i="242"/>
  <c r="Q38" i="167" s="1"/>
  <c r="AI42" i="242"/>
  <c r="Q37" i="167" s="1"/>
  <c r="AI41" i="242"/>
  <c r="Q36" i="167" s="1"/>
  <c r="AI40" i="242"/>
  <c r="Q35" i="167" s="1"/>
  <c r="AI39" i="242"/>
  <c r="Q34" i="167" s="1"/>
  <c r="AI38" i="242"/>
  <c r="Q33" i="167" s="1"/>
  <c r="AI37" i="242"/>
  <c r="Q32" i="167" s="1"/>
  <c r="AI36" i="242"/>
  <c r="Q31" i="167" s="1"/>
  <c r="W55" i="242"/>
  <c r="N50" i="167" s="1"/>
  <c r="W54" i="242"/>
  <c r="N49" i="167" s="1"/>
  <c r="W53" i="242"/>
  <c r="N48" i="167" s="1"/>
  <c r="W52" i="242"/>
  <c r="N47" i="167" s="1"/>
  <c r="W51" i="242"/>
  <c r="N46" i="167" s="1"/>
  <c r="W50" i="242"/>
  <c r="N45" i="167" s="1"/>
  <c r="W49" i="242"/>
  <c r="N44" i="167" s="1"/>
  <c r="W48" i="242"/>
  <c r="N43" i="167" s="1"/>
  <c r="W47" i="242"/>
  <c r="N42" i="167" s="1"/>
  <c r="W46" i="242"/>
  <c r="N41" i="167" s="1"/>
  <c r="W45" i="242"/>
  <c r="N40" i="167" s="1"/>
  <c r="W44" i="242"/>
  <c r="N39" i="167" s="1"/>
  <c r="W43" i="242"/>
  <c r="N38" i="167" s="1"/>
  <c r="W42" i="242"/>
  <c r="N37" i="167" s="1"/>
  <c r="W41" i="242"/>
  <c r="N36" i="167" s="1"/>
  <c r="W40" i="242"/>
  <c r="N35" i="167" s="1"/>
  <c r="W39" i="242"/>
  <c r="N34" i="167" s="1"/>
  <c r="W38" i="242"/>
  <c r="W37" i="242"/>
  <c r="N32" i="167" s="1"/>
  <c r="W36" i="242"/>
  <c r="N31" i="167" s="1"/>
  <c r="AI32" i="242"/>
  <c r="Q28" i="167" s="1"/>
  <c r="AI31" i="242"/>
  <c r="Q27" i="167" s="1"/>
  <c r="AI30" i="242"/>
  <c r="Q26" i="167" s="1"/>
  <c r="AI29" i="242"/>
  <c r="W32" i="242"/>
  <c r="W31" i="242"/>
  <c r="N27" i="167" s="1"/>
  <c r="W30" i="242"/>
  <c r="N26" i="167" s="1"/>
  <c r="W29" i="242"/>
  <c r="N28" i="167"/>
  <c r="AH24" i="242"/>
  <c r="L23" i="242"/>
  <c r="A81" i="258" l="1"/>
  <c r="A82" i="258" s="1"/>
  <c r="G114" i="251"/>
  <c r="G105" i="251"/>
  <c r="G106" i="251" s="1"/>
  <c r="C11" i="250"/>
  <c r="G27" i="221" s="1"/>
  <c r="C11" i="251"/>
  <c r="J27" i="221" s="1"/>
  <c r="G76" i="251"/>
  <c r="G100" i="251"/>
  <c r="G105" i="250"/>
  <c r="G106" i="250" s="1"/>
  <c r="C58" i="251"/>
  <c r="C92" i="251"/>
  <c r="Q11" i="243"/>
  <c r="Q55" i="167"/>
  <c r="K11" i="243"/>
  <c r="N55" i="167"/>
  <c r="J65" i="242"/>
  <c r="J91" i="242"/>
  <c r="H58" i="242"/>
  <c r="H61" i="242" s="1"/>
  <c r="H84" i="242"/>
  <c r="E7" i="243" s="1"/>
  <c r="H83" i="242"/>
  <c r="W33" i="242"/>
  <c r="T58" i="242"/>
  <c r="T61" i="242" s="1"/>
  <c r="T84" i="242" s="1"/>
  <c r="K8" i="243" s="1"/>
  <c r="AF58" i="242"/>
  <c r="AF61" i="242" s="1"/>
  <c r="AF84" i="242" s="1"/>
  <c r="Q8" i="243" s="1"/>
  <c r="AE58" i="242"/>
  <c r="AE61" i="242" s="1"/>
  <c r="AE84" i="242" s="1"/>
  <c r="Q7" i="243" s="1"/>
  <c r="I58" i="242"/>
  <c r="I61" i="242" s="1"/>
  <c r="AI33" i="242"/>
  <c r="Q25" i="167"/>
  <c r="Q29" i="167" s="1"/>
  <c r="U58" i="242"/>
  <c r="U91" i="242" s="1"/>
  <c r="AG58" i="242"/>
  <c r="AG91" i="242" s="1"/>
  <c r="G58" i="251"/>
  <c r="G132" i="251"/>
  <c r="G9" i="251"/>
  <c r="G11" i="251" s="1"/>
  <c r="K27" i="221" s="1"/>
  <c r="G82" i="251"/>
  <c r="G92" i="251" s="1"/>
  <c r="G132" i="250"/>
  <c r="G58" i="250"/>
  <c r="G92" i="250"/>
  <c r="C58" i="250"/>
  <c r="C92" i="250"/>
  <c r="Q10" i="173"/>
  <c r="O10" i="173"/>
  <c r="W56" i="242"/>
  <c r="AI56" i="242"/>
  <c r="N33" i="167"/>
  <c r="N25" i="167"/>
  <c r="A83" i="258" l="1"/>
  <c r="A85" i="258" s="1"/>
  <c r="A86" i="258" s="1"/>
  <c r="AG61" i="242"/>
  <c r="AG83" i="242" s="1"/>
  <c r="AG65" i="242"/>
  <c r="U61" i="242"/>
  <c r="U83" i="242" s="1"/>
  <c r="U65" i="242"/>
  <c r="J61" i="242"/>
  <c r="J70" i="242"/>
  <c r="I84" i="242"/>
  <c r="E8" i="243" s="1"/>
  <c r="I83" i="242"/>
  <c r="G134" i="251"/>
  <c r="K26" i="221"/>
  <c r="G134" i="250"/>
  <c r="H26" i="221"/>
  <c r="A87" i="258" l="1"/>
  <c r="AG70" i="242"/>
  <c r="AG84" i="242" s="1"/>
  <c r="Q9" i="243" s="1"/>
  <c r="U9" i="243" s="1"/>
  <c r="AI65" i="242"/>
  <c r="AI70" i="242" s="1"/>
  <c r="Q54" i="167" s="1"/>
  <c r="Q10" i="243" s="1"/>
  <c r="U70" i="242"/>
  <c r="U84" i="242" s="1"/>
  <c r="K9" i="243" s="1"/>
  <c r="W65" i="242"/>
  <c r="W70" i="242" s="1"/>
  <c r="N54" i="167" s="1"/>
  <c r="K10" i="243" s="1"/>
  <c r="J83" i="242"/>
  <c r="J84" i="242"/>
  <c r="E9" i="243" s="1"/>
  <c r="N29" i="167"/>
  <c r="L67" i="156"/>
  <c r="G73" i="184"/>
  <c r="G35" i="215" l="1"/>
  <c r="I35" i="215"/>
  <c r="G25" i="215"/>
  <c r="I25" i="215"/>
  <c r="G15" i="215"/>
  <c r="I15" i="215"/>
  <c r="S38" i="243"/>
  <c r="M38" i="243"/>
  <c r="I55" i="214" l="1"/>
  <c r="G55" i="214"/>
  <c r="E55" i="214"/>
  <c r="I49" i="214"/>
  <c r="J28" i="215" s="1"/>
  <c r="J29" i="215" s="1"/>
  <c r="G49" i="214"/>
  <c r="E49" i="214"/>
  <c r="F28" i="215" s="1"/>
  <c r="F29" i="215" s="1"/>
  <c r="I43" i="214"/>
  <c r="G43" i="214"/>
  <c r="E43" i="214"/>
  <c r="I37" i="214"/>
  <c r="G37" i="214"/>
  <c r="E37" i="214"/>
  <c r="I30" i="214"/>
  <c r="G30" i="214"/>
  <c r="E30" i="214"/>
  <c r="I24" i="214"/>
  <c r="G24" i="214"/>
  <c r="E24" i="214"/>
  <c r="G18" i="214"/>
  <c r="I18" i="214"/>
  <c r="E18" i="214"/>
  <c r="K37" i="243" l="1"/>
  <c r="O37" i="243" s="1"/>
  <c r="K37" i="200"/>
  <c r="O37" i="200" s="1"/>
  <c r="Q37" i="243"/>
  <c r="U37" i="243" s="1"/>
  <c r="Q37" i="200"/>
  <c r="U37" i="200" s="1"/>
  <c r="E36" i="200"/>
  <c r="E36" i="243"/>
  <c r="H28" i="215"/>
  <c r="H29" i="215" s="1"/>
  <c r="K36" i="243"/>
  <c r="K36" i="200"/>
  <c r="Q36" i="200"/>
  <c r="Q36" i="243"/>
  <c r="E37" i="200"/>
  <c r="I37" i="200" s="1"/>
  <c r="E37" i="243"/>
  <c r="I37" i="243" s="1"/>
  <c r="J38" i="215"/>
  <c r="J39" i="215" s="1"/>
  <c r="F38" i="215"/>
  <c r="F39" i="215" s="1"/>
  <c r="K28" i="221"/>
  <c r="H28" i="221"/>
  <c r="J28" i="221"/>
  <c r="G28" i="221"/>
  <c r="C154" i="249"/>
  <c r="G154" i="249" s="1"/>
  <c r="C151" i="249"/>
  <c r="G151" i="249" s="1"/>
  <c r="C150" i="249"/>
  <c r="G150" i="249" s="1"/>
  <c r="C147" i="249"/>
  <c r="G147" i="249" s="1"/>
  <c r="C142" i="249"/>
  <c r="G142" i="249" s="1"/>
  <c r="C139" i="249"/>
  <c r="G139" i="249" s="1"/>
  <c r="C134" i="249"/>
  <c r="C133" i="249"/>
  <c r="C132" i="249"/>
  <c r="C129" i="249"/>
  <c r="G129" i="249" s="1"/>
  <c r="C124" i="249"/>
  <c r="G124" i="249" s="1"/>
  <c r="C121" i="249"/>
  <c r="G121" i="249" s="1"/>
  <c r="C116" i="249"/>
  <c r="G116" i="249" s="1"/>
  <c r="C115" i="249"/>
  <c r="G115" i="249" s="1"/>
  <c r="C112" i="249"/>
  <c r="G112" i="249" s="1"/>
  <c r="C111" i="249"/>
  <c r="G111" i="249" s="1"/>
  <c r="C108" i="249"/>
  <c r="G108" i="249" s="1"/>
  <c r="C103" i="249"/>
  <c r="G103" i="249" s="1"/>
  <c r="C102" i="249"/>
  <c r="G102" i="249" s="1"/>
  <c r="C99" i="249"/>
  <c r="G99" i="249" s="1"/>
  <c r="C98" i="249"/>
  <c r="G98" i="249" s="1"/>
  <c r="C95" i="249"/>
  <c r="G95" i="249" s="1"/>
  <c r="C90" i="249"/>
  <c r="G90" i="249" s="1"/>
  <c r="C89" i="249"/>
  <c r="C86" i="249"/>
  <c r="C85" i="249"/>
  <c r="G85" i="249" s="1"/>
  <c r="C82" i="249"/>
  <c r="G82" i="249" s="1"/>
  <c r="C77" i="249"/>
  <c r="G77" i="249" s="1"/>
  <c r="C76" i="249"/>
  <c r="G76" i="249" s="1"/>
  <c r="C73" i="249"/>
  <c r="C72" i="249"/>
  <c r="C69" i="249"/>
  <c r="C64" i="249"/>
  <c r="G64" i="249" s="1"/>
  <c r="C63" i="249"/>
  <c r="C60" i="249"/>
  <c r="G60" i="249" s="1"/>
  <c r="C59" i="249"/>
  <c r="G59" i="249" s="1"/>
  <c r="C56" i="249"/>
  <c r="G56" i="249" s="1"/>
  <c r="C51" i="249"/>
  <c r="G51" i="249" s="1"/>
  <c r="C48" i="249"/>
  <c r="G48" i="249" s="1"/>
  <c r="C43" i="249"/>
  <c r="G43" i="249" s="1"/>
  <c r="C42" i="249"/>
  <c r="G42" i="249" s="1"/>
  <c r="C41" i="249"/>
  <c r="G41" i="249" s="1"/>
  <c r="C38" i="249"/>
  <c r="C37" i="249"/>
  <c r="G37" i="249" s="1"/>
  <c r="C36" i="249"/>
  <c r="G36" i="249" s="1"/>
  <c r="C30" i="249"/>
  <c r="G30" i="249" s="1"/>
  <c r="C29" i="249"/>
  <c r="G29" i="249" s="1"/>
  <c r="C26" i="249"/>
  <c r="G26" i="249" s="1"/>
  <c r="C21" i="249"/>
  <c r="G21" i="249" s="1"/>
  <c r="C20" i="249"/>
  <c r="G20" i="249" s="1"/>
  <c r="C17" i="249"/>
  <c r="G17" i="249" s="1"/>
  <c r="C12" i="249"/>
  <c r="C11" i="249"/>
  <c r="G11" i="249" s="1"/>
  <c r="C8" i="249"/>
  <c r="G8" i="249" s="1"/>
  <c r="G38" i="249"/>
  <c r="G69" i="249"/>
  <c r="G72" i="249"/>
  <c r="G86" i="249"/>
  <c r="G89" i="249"/>
  <c r="G132" i="249"/>
  <c r="G133" i="249"/>
  <c r="G134" i="249"/>
  <c r="C154" i="248"/>
  <c r="C151" i="248"/>
  <c r="C150" i="248"/>
  <c r="C147" i="248"/>
  <c r="C142" i="248"/>
  <c r="C139" i="248"/>
  <c r="C134" i="248"/>
  <c r="C133" i="248"/>
  <c r="C132" i="248"/>
  <c r="C129" i="248"/>
  <c r="C124" i="248"/>
  <c r="C121" i="248"/>
  <c r="C116" i="248"/>
  <c r="C115" i="248"/>
  <c r="C112" i="248"/>
  <c r="C111" i="248"/>
  <c r="C108" i="248"/>
  <c r="C103" i="248"/>
  <c r="C102" i="248"/>
  <c r="C99" i="248"/>
  <c r="C98" i="248"/>
  <c r="C95" i="248"/>
  <c r="C90" i="248"/>
  <c r="C89" i="248"/>
  <c r="C86" i="248"/>
  <c r="C85" i="248"/>
  <c r="C82" i="248"/>
  <c r="C77" i="248"/>
  <c r="C76" i="248"/>
  <c r="C73" i="248"/>
  <c r="C72" i="248"/>
  <c r="C69" i="248"/>
  <c r="C64" i="248"/>
  <c r="C63" i="248"/>
  <c r="C60" i="248"/>
  <c r="C59" i="248"/>
  <c r="C56" i="248"/>
  <c r="C51" i="248"/>
  <c r="C48" i="248"/>
  <c r="C43" i="248"/>
  <c r="C42" i="248"/>
  <c r="C41" i="248"/>
  <c r="C38" i="248"/>
  <c r="C37" i="248"/>
  <c r="C36" i="248"/>
  <c r="C13" i="249" l="1"/>
  <c r="J5" i="221" s="1"/>
  <c r="G12" i="249"/>
  <c r="O36" i="243"/>
  <c r="O38" i="243" s="1"/>
  <c r="K38" i="243"/>
  <c r="H38" i="215"/>
  <c r="H39" i="215" s="1"/>
  <c r="E38" i="243"/>
  <c r="I36" i="243"/>
  <c r="I38" i="243" s="1"/>
  <c r="E38" i="200"/>
  <c r="F8" i="215" s="1"/>
  <c r="F9" i="215" s="1"/>
  <c r="I36" i="200"/>
  <c r="I38" i="200" s="1"/>
  <c r="Q38" i="243"/>
  <c r="U36" i="243"/>
  <c r="U38" i="243" s="1"/>
  <c r="Q38" i="200"/>
  <c r="J8" i="215" s="1"/>
  <c r="U36" i="200"/>
  <c r="U38" i="200" s="1"/>
  <c r="K38" i="200"/>
  <c r="H8" i="215" s="1"/>
  <c r="O36" i="200"/>
  <c r="O38" i="200" s="1"/>
  <c r="G155" i="249"/>
  <c r="K23" i="221" s="1"/>
  <c r="C143" i="249"/>
  <c r="J12" i="221" s="1"/>
  <c r="C125" i="249"/>
  <c r="J30" i="221" s="1"/>
  <c r="J31" i="221" s="1"/>
  <c r="G125" i="249"/>
  <c r="K30" i="221" s="1"/>
  <c r="K31" i="221" s="1"/>
  <c r="G117" i="249"/>
  <c r="K22" i="221" s="1"/>
  <c r="C65" i="249"/>
  <c r="J16" i="221" s="1"/>
  <c r="G63" i="249"/>
  <c r="G65" i="249" s="1"/>
  <c r="K16" i="221" s="1"/>
  <c r="K18" i="221" s="1"/>
  <c r="G52" i="249"/>
  <c r="K11" i="221" s="1"/>
  <c r="C52" i="249"/>
  <c r="J11" i="221" s="1"/>
  <c r="C44" i="249"/>
  <c r="J8" i="221" s="1"/>
  <c r="G31" i="249"/>
  <c r="K7" i="221" s="1"/>
  <c r="C22" i="249"/>
  <c r="J6" i="221" s="1"/>
  <c r="G22" i="249"/>
  <c r="K6" i="221" s="1"/>
  <c r="G13" i="249"/>
  <c r="K5" i="221" s="1"/>
  <c r="G135" i="249"/>
  <c r="K13" i="221" s="1"/>
  <c r="G91" i="249"/>
  <c r="K17" i="221" s="1"/>
  <c r="G143" i="249"/>
  <c r="K12" i="221" s="1"/>
  <c r="G104" i="249"/>
  <c r="K21" i="221" s="1"/>
  <c r="G78" i="249"/>
  <c r="K20" i="221" s="1"/>
  <c r="G44" i="249"/>
  <c r="K8" i="221" s="1"/>
  <c r="C135" i="249"/>
  <c r="J13" i="221" s="1"/>
  <c r="C117" i="249"/>
  <c r="J22" i="221" s="1"/>
  <c r="C104" i="249"/>
  <c r="J21" i="221" s="1"/>
  <c r="C91" i="249"/>
  <c r="J17" i="221" s="1"/>
  <c r="C78" i="249"/>
  <c r="J20" i="221" s="1"/>
  <c r="C31" i="249"/>
  <c r="J7" i="221" s="1"/>
  <c r="C155" i="249"/>
  <c r="J23" i="221" s="1"/>
  <c r="J9" i="221" l="1"/>
  <c r="J14" i="221"/>
  <c r="J33" i="221" s="1"/>
  <c r="K9" i="221"/>
  <c r="K24" i="221"/>
  <c r="J24" i="221"/>
  <c r="J18" i="221"/>
  <c r="K14" i="221"/>
  <c r="F18" i="215"/>
  <c r="F19" i="215" s="1"/>
  <c r="H9" i="215"/>
  <c r="H18" i="215"/>
  <c r="H19" i="215" s="1"/>
  <c r="J9" i="215"/>
  <c r="J18" i="215"/>
  <c r="J19" i="215" s="1"/>
  <c r="K33" i="221"/>
  <c r="M63" i="167" l="1"/>
  <c r="K30" i="200"/>
  <c r="O30" i="200" s="1"/>
  <c r="N63" i="167"/>
  <c r="K30" i="243"/>
  <c r="O30" i="243" s="1"/>
  <c r="Q63" i="167"/>
  <c r="Q30" i="243"/>
  <c r="U30" i="243" s="1"/>
  <c r="P63" i="167"/>
  <c r="Q30" i="200"/>
  <c r="U30" i="200" s="1"/>
  <c r="K63" i="167"/>
  <c r="E30" i="243"/>
  <c r="I30" i="243" s="1"/>
  <c r="J63" i="167"/>
  <c r="E30" i="200"/>
  <c r="I30" i="200" s="1"/>
  <c r="P8" i="167"/>
  <c r="Q22" i="243" s="1"/>
  <c r="AC8" i="156"/>
  <c r="AC8" i="242"/>
  <c r="C30" i="248"/>
  <c r="C29" i="248"/>
  <c r="G29" i="248" s="1"/>
  <c r="C26" i="248"/>
  <c r="C21" i="248"/>
  <c r="C20" i="248"/>
  <c r="G20" i="248" s="1"/>
  <c r="C17" i="248"/>
  <c r="G17" i="248" s="1"/>
  <c r="C12" i="248"/>
  <c r="C11" i="248"/>
  <c r="G11" i="248" s="1"/>
  <c r="C8" i="248"/>
  <c r="G8" i="248" s="1"/>
  <c r="G36" i="248"/>
  <c r="G37" i="248"/>
  <c r="G38" i="248"/>
  <c r="C44" i="248"/>
  <c r="G8" i="221" s="1"/>
  <c r="G41" i="248"/>
  <c r="G42" i="248"/>
  <c r="G43" i="248"/>
  <c r="G48" i="248"/>
  <c r="G51" i="248"/>
  <c r="C52" i="248"/>
  <c r="G11" i="221" s="1"/>
  <c r="G56" i="248"/>
  <c r="G59" i="248"/>
  <c r="G60" i="248"/>
  <c r="G63" i="248"/>
  <c r="G64" i="248"/>
  <c r="C65" i="248"/>
  <c r="G16" i="221" s="1"/>
  <c r="G69" i="248"/>
  <c r="G72" i="248"/>
  <c r="G76" i="248"/>
  <c r="G77" i="248"/>
  <c r="C78" i="248"/>
  <c r="G20" i="221" s="1"/>
  <c r="G82" i="248"/>
  <c r="G85" i="248"/>
  <c r="G86" i="248"/>
  <c r="G89" i="248"/>
  <c r="G90" i="248"/>
  <c r="C91" i="248"/>
  <c r="G17" i="221" s="1"/>
  <c r="G95" i="248"/>
  <c r="G98" i="248"/>
  <c r="G99" i="248"/>
  <c r="G102" i="248"/>
  <c r="G103" i="248"/>
  <c r="C104" i="248"/>
  <c r="G21" i="221" s="1"/>
  <c r="G108" i="248"/>
  <c r="G111" i="248"/>
  <c r="G112" i="248"/>
  <c r="G115" i="248"/>
  <c r="G116" i="248"/>
  <c r="C117" i="248"/>
  <c r="G22" i="221" s="1"/>
  <c r="G121" i="248"/>
  <c r="G124" i="248"/>
  <c r="C125" i="248"/>
  <c r="G30" i="221" s="1"/>
  <c r="G31" i="221" s="1"/>
  <c r="G129" i="248"/>
  <c r="G132" i="248"/>
  <c r="G133" i="248"/>
  <c r="G134" i="248"/>
  <c r="C135" i="248"/>
  <c r="G13" i="221" s="1"/>
  <c r="G139" i="248"/>
  <c r="G142" i="248"/>
  <c r="G147" i="248"/>
  <c r="G150" i="248"/>
  <c r="G151" i="248"/>
  <c r="G154" i="248"/>
  <c r="G30" i="248"/>
  <c r="G26" i="248"/>
  <c r="G21" i="248"/>
  <c r="P63" i="210"/>
  <c r="Q63" i="210"/>
  <c r="L63" i="210"/>
  <c r="M63" i="210"/>
  <c r="P45" i="210"/>
  <c r="Q45" i="210"/>
  <c r="L45" i="210"/>
  <c r="M45" i="210"/>
  <c r="P39" i="210"/>
  <c r="Q39" i="210"/>
  <c r="L39" i="210"/>
  <c r="M39" i="210"/>
  <c r="I63" i="210"/>
  <c r="H63" i="210"/>
  <c r="I45" i="210"/>
  <c r="H45" i="210"/>
  <c r="I39" i="210"/>
  <c r="H39" i="210"/>
  <c r="F24" i="242"/>
  <c r="F58" i="242" s="1"/>
  <c r="F61" i="242" s="1"/>
  <c r="F84" i="242" s="1"/>
  <c r="C13" i="248" l="1"/>
  <c r="G5" i="221" s="1"/>
  <c r="G18" i="221"/>
  <c r="Q22" i="200"/>
  <c r="G52" i="248"/>
  <c r="H11" i="221" s="1"/>
  <c r="G12" i="248"/>
  <c r="G13" i="248" s="1"/>
  <c r="H5" i="221" s="1"/>
  <c r="P93" i="210"/>
  <c r="L93" i="210"/>
  <c r="I93" i="210"/>
  <c r="Q93" i="210"/>
  <c r="M93" i="210"/>
  <c r="U73" i="156"/>
  <c r="J73" i="156"/>
  <c r="J80" i="156" s="1"/>
  <c r="AG73" i="156"/>
  <c r="Q5" i="210"/>
  <c r="R45" i="210"/>
  <c r="J63" i="210"/>
  <c r="M5" i="210"/>
  <c r="N39" i="210"/>
  <c r="L5" i="210"/>
  <c r="J39" i="210"/>
  <c r="H5" i="210"/>
  <c r="I5" i="210"/>
  <c r="R39" i="210"/>
  <c r="P5" i="210"/>
  <c r="N45" i="210"/>
  <c r="N63" i="210"/>
  <c r="J45" i="210"/>
  <c r="R63" i="210"/>
  <c r="Q8" i="167"/>
  <c r="AI8" i="242"/>
  <c r="G65" i="248"/>
  <c r="H16" i="221" s="1"/>
  <c r="G155" i="248"/>
  <c r="H23" i="221" s="1"/>
  <c r="G135" i="248"/>
  <c r="H13" i="221" s="1"/>
  <c r="G125" i="248"/>
  <c r="H30" i="221" s="1"/>
  <c r="H31" i="221" s="1"/>
  <c r="G104" i="248"/>
  <c r="H21" i="221" s="1"/>
  <c r="G44" i="248"/>
  <c r="H8" i="221" s="1"/>
  <c r="G31" i="248"/>
  <c r="H7" i="221" s="1"/>
  <c r="C31" i="248"/>
  <c r="G7" i="221" s="1"/>
  <c r="G22" i="248"/>
  <c r="H6" i="221" s="1"/>
  <c r="G117" i="248"/>
  <c r="H22" i="221" s="1"/>
  <c r="G143" i="248"/>
  <c r="H12" i="221" s="1"/>
  <c r="G78" i="248"/>
  <c r="H20" i="221" s="1"/>
  <c r="G91" i="248"/>
  <c r="H17" i="221" s="1"/>
  <c r="C22" i="248"/>
  <c r="G6" i="221" s="1"/>
  <c r="G9" i="221" s="1"/>
  <c r="C143" i="248"/>
  <c r="G12" i="221" s="1"/>
  <c r="G14" i="221" s="1"/>
  <c r="C155" i="248"/>
  <c r="G23" i="221" s="1"/>
  <c r="G24" i="221" s="1"/>
  <c r="F7" i="242"/>
  <c r="L79" i="242"/>
  <c r="L78" i="242"/>
  <c r="L77" i="242"/>
  <c r="L76" i="242"/>
  <c r="L75" i="242"/>
  <c r="L73" i="242"/>
  <c r="L69" i="242"/>
  <c r="L68" i="242"/>
  <c r="L65" i="242"/>
  <c r="L64" i="242"/>
  <c r="L63" i="242"/>
  <c r="L55" i="242"/>
  <c r="K50" i="167" s="1"/>
  <c r="L54" i="242"/>
  <c r="K49" i="167" s="1"/>
  <c r="L53" i="242"/>
  <c r="K48" i="167" s="1"/>
  <c r="L52" i="242"/>
  <c r="K47" i="167" s="1"/>
  <c r="L51" i="242"/>
  <c r="K46" i="167" s="1"/>
  <c r="L50" i="242"/>
  <c r="K45" i="167" s="1"/>
  <c r="L49" i="242"/>
  <c r="K44" i="167" s="1"/>
  <c r="L48" i="242"/>
  <c r="K43" i="167" s="1"/>
  <c r="L47" i="242"/>
  <c r="K42" i="167" s="1"/>
  <c r="L46" i="242"/>
  <c r="K41" i="167" s="1"/>
  <c r="L45" i="242"/>
  <c r="K40" i="167" s="1"/>
  <c r="L44" i="242"/>
  <c r="K39" i="167" s="1"/>
  <c r="L43" i="242"/>
  <c r="K38" i="167" s="1"/>
  <c r="L42" i="242"/>
  <c r="K37" i="167" s="1"/>
  <c r="L41" i="242"/>
  <c r="K36" i="167" s="1"/>
  <c r="L40" i="242"/>
  <c r="K35" i="167" s="1"/>
  <c r="L39" i="242"/>
  <c r="K34" i="167" s="1"/>
  <c r="L38" i="242"/>
  <c r="K33" i="167" s="1"/>
  <c r="L37" i="242"/>
  <c r="K32" i="167" s="1"/>
  <c r="L36" i="242"/>
  <c r="K31" i="167" s="1"/>
  <c r="L32" i="242"/>
  <c r="K28" i="167" s="1"/>
  <c r="L31" i="242"/>
  <c r="K27" i="167" s="1"/>
  <c r="L30" i="242"/>
  <c r="K26" i="167" s="1"/>
  <c r="L29" i="242"/>
  <c r="K25" i="167" s="1"/>
  <c r="L22" i="242"/>
  <c r="L21" i="242"/>
  <c r="Q18" i="227"/>
  <c r="Q19" i="227"/>
  <c r="Q20" i="227"/>
  <c r="Q21" i="227"/>
  <c r="Q22" i="227"/>
  <c r="Q23" i="227"/>
  <c r="Q24" i="227"/>
  <c r="Q25" i="227"/>
  <c r="Q26" i="227"/>
  <c r="Q27" i="227"/>
  <c r="Q28" i="227"/>
  <c r="Q29" i="227"/>
  <c r="Q30" i="227"/>
  <c r="Q31" i="227"/>
  <c r="Q32" i="227"/>
  <c r="Q33" i="227"/>
  <c r="P18" i="227"/>
  <c r="P19" i="227"/>
  <c r="P20" i="227"/>
  <c r="P21" i="227"/>
  <c r="P22" i="227"/>
  <c r="P23" i="227"/>
  <c r="P24" i="227"/>
  <c r="P25" i="227"/>
  <c r="P26" i="227"/>
  <c r="P27" i="227"/>
  <c r="P28" i="227"/>
  <c r="P29" i="227"/>
  <c r="P30" i="227"/>
  <c r="P31" i="227"/>
  <c r="P32" i="227"/>
  <c r="P33" i="227"/>
  <c r="M18" i="227"/>
  <c r="M19" i="227"/>
  <c r="M20" i="227"/>
  <c r="M21" i="227"/>
  <c r="M22" i="227"/>
  <c r="M23" i="227"/>
  <c r="M24" i="227"/>
  <c r="M25" i="227"/>
  <c r="M26" i="227"/>
  <c r="M27" i="227"/>
  <c r="M28" i="227"/>
  <c r="M29" i="227"/>
  <c r="M30" i="227"/>
  <c r="M31" i="227"/>
  <c r="M32" i="227"/>
  <c r="M33" i="227"/>
  <c r="L18" i="227"/>
  <c r="L19" i="227"/>
  <c r="L20" i="227"/>
  <c r="L21" i="227"/>
  <c r="L22" i="227"/>
  <c r="L23" i="227"/>
  <c r="L24" i="227"/>
  <c r="L25" i="227"/>
  <c r="L26" i="227"/>
  <c r="L27" i="227"/>
  <c r="L28" i="227"/>
  <c r="L29" i="227"/>
  <c r="L30" i="227"/>
  <c r="L31" i="227"/>
  <c r="L32" i="227"/>
  <c r="L33" i="227"/>
  <c r="I33" i="227"/>
  <c r="H33" i="227"/>
  <c r="I32" i="227"/>
  <c r="H32" i="227"/>
  <c r="I31" i="227"/>
  <c r="H31" i="227"/>
  <c r="I30" i="227"/>
  <c r="H30" i="227"/>
  <c r="I29" i="227"/>
  <c r="H29" i="227"/>
  <c r="I28" i="227"/>
  <c r="H28" i="227"/>
  <c r="I27" i="227"/>
  <c r="H27" i="227"/>
  <c r="I26" i="227"/>
  <c r="H26" i="227"/>
  <c r="I25" i="227"/>
  <c r="H25" i="227"/>
  <c r="I24" i="227"/>
  <c r="H24" i="227"/>
  <c r="I23" i="227"/>
  <c r="H23" i="227"/>
  <c r="I22" i="227"/>
  <c r="H22" i="227"/>
  <c r="I21" i="227"/>
  <c r="H21" i="227"/>
  <c r="I20" i="227"/>
  <c r="H20" i="227"/>
  <c r="I19" i="227"/>
  <c r="H19" i="227"/>
  <c r="I18" i="227"/>
  <c r="H18" i="227"/>
  <c r="J6" i="228"/>
  <c r="R6" i="180"/>
  <c r="Q6" i="180"/>
  <c r="P6" i="180"/>
  <c r="N6" i="180"/>
  <c r="M6" i="180"/>
  <c r="L6" i="180"/>
  <c r="J6" i="180"/>
  <c r="I6" i="180"/>
  <c r="H6" i="180"/>
  <c r="A27" i="200"/>
  <c r="M34" i="247"/>
  <c r="M29" i="247"/>
  <c r="M24" i="247"/>
  <c r="M14" i="247"/>
  <c r="M19" i="247"/>
  <c r="M9" i="247"/>
  <c r="G56" i="242"/>
  <c r="AD70" i="242"/>
  <c r="R70" i="242"/>
  <c r="G70" i="242"/>
  <c r="R56" i="242"/>
  <c r="AD56" i="242"/>
  <c r="AD33" i="242"/>
  <c r="R33" i="242"/>
  <c r="G33" i="242"/>
  <c r="K20" i="167"/>
  <c r="K21" i="167"/>
  <c r="K19" i="167"/>
  <c r="J20" i="167"/>
  <c r="J21" i="167"/>
  <c r="J19" i="167"/>
  <c r="H271" i="180"/>
  <c r="I271" i="180"/>
  <c r="L271" i="180"/>
  <c r="M271" i="180"/>
  <c r="N271" i="180"/>
  <c r="P271" i="180"/>
  <c r="Q271" i="180"/>
  <c r="R271" i="180"/>
  <c r="J272" i="180"/>
  <c r="J271" i="180" s="1"/>
  <c r="J273" i="180"/>
  <c r="J274" i="180"/>
  <c r="G283" i="180"/>
  <c r="C128" i="234"/>
  <c r="G128" i="234" s="1"/>
  <c r="G129" i="234" s="1"/>
  <c r="C123" i="234"/>
  <c r="G123" i="234" s="1"/>
  <c r="G124" i="234" s="1"/>
  <c r="C118" i="234"/>
  <c r="G118" i="234" s="1"/>
  <c r="G119" i="234" s="1"/>
  <c r="C113" i="234"/>
  <c r="G113" i="234" s="1"/>
  <c r="C110" i="234"/>
  <c r="G110" i="234" s="1"/>
  <c r="G114" i="234" s="1"/>
  <c r="C105" i="234"/>
  <c r="G105" i="234" s="1"/>
  <c r="G106" i="234" s="1"/>
  <c r="C99" i="234"/>
  <c r="G99" i="234" s="1"/>
  <c r="C96" i="234"/>
  <c r="G96" i="234" s="1"/>
  <c r="C91" i="234"/>
  <c r="G91" i="234" s="1"/>
  <c r="C83" i="234"/>
  <c r="G83" i="234" s="1"/>
  <c r="C84" i="234"/>
  <c r="G84" i="234" s="1"/>
  <c r="C85" i="234"/>
  <c r="G85" i="234" s="1"/>
  <c r="C86" i="234"/>
  <c r="G86" i="234" s="1"/>
  <c r="C87" i="234"/>
  <c r="G87" i="234" s="1"/>
  <c r="C82" i="234"/>
  <c r="G82" i="234" s="1"/>
  <c r="C65" i="234"/>
  <c r="G65" i="234" s="1"/>
  <c r="C62" i="234"/>
  <c r="G62" i="234" s="1"/>
  <c r="G76" i="234" s="1"/>
  <c r="C55" i="234"/>
  <c r="G55" i="234" s="1"/>
  <c r="C56" i="234"/>
  <c r="G56" i="234" s="1"/>
  <c r="C57" i="234"/>
  <c r="G57" i="234" s="1"/>
  <c r="C54" i="234"/>
  <c r="G54" i="234" s="1"/>
  <c r="C48" i="234"/>
  <c r="G48" i="234" s="1"/>
  <c r="C49" i="234"/>
  <c r="G49" i="234" s="1"/>
  <c r="C50" i="234"/>
  <c r="G50" i="234" s="1"/>
  <c r="C51" i="234"/>
  <c r="G51" i="234" s="1"/>
  <c r="C47" i="234"/>
  <c r="G47" i="234" s="1"/>
  <c r="C30" i="234"/>
  <c r="G30" i="234" s="1"/>
  <c r="C31" i="234"/>
  <c r="G31" i="234" s="1"/>
  <c r="C32" i="234"/>
  <c r="G32" i="234" s="1"/>
  <c r="C33" i="234"/>
  <c r="G33" i="234" s="1"/>
  <c r="C34" i="234"/>
  <c r="G34" i="234" s="1"/>
  <c r="C35" i="234"/>
  <c r="G35" i="234" s="1"/>
  <c r="C21" i="234"/>
  <c r="G21" i="234" s="1"/>
  <c r="C22" i="234"/>
  <c r="G22" i="234" s="1"/>
  <c r="C23" i="234"/>
  <c r="G23" i="234" s="1"/>
  <c r="C24" i="234"/>
  <c r="G24" i="234" s="1"/>
  <c r="C25" i="234"/>
  <c r="G25" i="234" s="1"/>
  <c r="C26" i="234"/>
  <c r="G26" i="234" s="1"/>
  <c r="C20" i="234"/>
  <c r="G20" i="234" s="1"/>
  <c r="C10" i="234"/>
  <c r="G10" i="234" s="1"/>
  <c r="C9" i="234"/>
  <c r="G9" i="234" s="1"/>
  <c r="I17" i="227" l="1"/>
  <c r="J22" i="227"/>
  <c r="J28" i="227"/>
  <c r="H9" i="221"/>
  <c r="G33" i="221"/>
  <c r="H18" i="221"/>
  <c r="H24" i="221"/>
  <c r="E11" i="243"/>
  <c r="K55" i="167"/>
  <c r="N23" i="227"/>
  <c r="R31" i="227"/>
  <c r="R19" i="227"/>
  <c r="N22" i="227"/>
  <c r="N33" i="227"/>
  <c r="R29" i="227"/>
  <c r="R30" i="227"/>
  <c r="N21" i="227"/>
  <c r="H93" i="210"/>
  <c r="J93" i="210"/>
  <c r="R93" i="210"/>
  <c r="N93" i="210"/>
  <c r="P17" i="227"/>
  <c r="P92" i="227" s="1"/>
  <c r="N30" i="227"/>
  <c r="R26" i="227"/>
  <c r="N29" i="227"/>
  <c r="J19" i="227"/>
  <c r="J25" i="227"/>
  <c r="J31" i="227"/>
  <c r="J21" i="227"/>
  <c r="J27" i="227"/>
  <c r="J33" i="227"/>
  <c r="N32" i="227"/>
  <c r="N20" i="227"/>
  <c r="R28" i="227"/>
  <c r="J23" i="227"/>
  <c r="J29" i="227"/>
  <c r="N31" i="227"/>
  <c r="N19" i="227"/>
  <c r="R27" i="227"/>
  <c r="Q17" i="227"/>
  <c r="H17" i="227"/>
  <c r="H92" i="227" s="1"/>
  <c r="L17" i="227"/>
  <c r="L92" i="227" s="1"/>
  <c r="M17" i="227"/>
  <c r="H14" i="221"/>
  <c r="N28" i="227"/>
  <c r="R24" i="227"/>
  <c r="J20" i="227"/>
  <c r="J26" i="227"/>
  <c r="J32" i="227"/>
  <c r="R18" i="227"/>
  <c r="J18" i="227"/>
  <c r="J24" i="227"/>
  <c r="J30" i="227"/>
  <c r="R25" i="227"/>
  <c r="R23" i="227"/>
  <c r="N18" i="227"/>
  <c r="R22" i="227"/>
  <c r="N27" i="227"/>
  <c r="N26" i="227"/>
  <c r="N25" i="227"/>
  <c r="R33" i="227"/>
  <c r="R21" i="227"/>
  <c r="N24" i="227"/>
  <c r="R32" i="227"/>
  <c r="R20" i="227"/>
  <c r="R5" i="210"/>
  <c r="J5" i="210"/>
  <c r="N5" i="210"/>
  <c r="AG82" i="156"/>
  <c r="AG82" i="242" s="1"/>
  <c r="AI82" i="242" s="1"/>
  <c r="Q12" i="243" s="1"/>
  <c r="U82" i="156"/>
  <c r="U82" i="242" s="1"/>
  <c r="W82" i="242" s="1"/>
  <c r="K12" i="243" s="1"/>
  <c r="J82" i="156"/>
  <c r="J82" i="242" s="1"/>
  <c r="L82" i="242" s="1"/>
  <c r="E12" i="243" s="1"/>
  <c r="J22" i="167"/>
  <c r="E4" i="200" s="1"/>
  <c r="R58" i="242"/>
  <c r="AD58" i="242"/>
  <c r="L70" i="242"/>
  <c r="K54" i="167" s="1"/>
  <c r="E10" i="243" s="1"/>
  <c r="K29" i="167"/>
  <c r="K22" i="167"/>
  <c r="G11" i="234"/>
  <c r="E27" i="221" s="1"/>
  <c r="G100" i="234"/>
  <c r="G92" i="234"/>
  <c r="G58" i="234"/>
  <c r="C106" i="234"/>
  <c r="C11" i="234"/>
  <c r="D27" i="221" s="1"/>
  <c r="D28" i="221" s="1"/>
  <c r="C58" i="234"/>
  <c r="C92" i="234"/>
  <c r="L33" i="242"/>
  <c r="L56" i="242"/>
  <c r="L24" i="242"/>
  <c r="G58" i="242"/>
  <c r="L7" i="242"/>
  <c r="M35" i="247"/>
  <c r="G132" i="234"/>
  <c r="E26" i="221" s="1"/>
  <c r="H33" i="221" l="1"/>
  <c r="R17" i="227"/>
  <c r="R92" i="227" s="1"/>
  <c r="R74" i="242"/>
  <c r="M92" i="227"/>
  <c r="N58" i="167" s="1"/>
  <c r="AD74" i="242"/>
  <c r="Q92" i="227"/>
  <c r="Q58" i="167" s="1"/>
  <c r="N17" i="227"/>
  <c r="N92" i="227" s="1"/>
  <c r="G74" i="242"/>
  <c r="G80" i="242" s="1"/>
  <c r="I92" i="227"/>
  <c r="K58" i="167" s="1"/>
  <c r="J17" i="227"/>
  <c r="J92" i="227" s="1"/>
  <c r="K41" i="243"/>
  <c r="J7" i="167"/>
  <c r="AD61" i="242"/>
  <c r="R61" i="242"/>
  <c r="G61" i="242"/>
  <c r="E4" i="243"/>
  <c r="M8" i="167"/>
  <c r="N8" i="167" s="1"/>
  <c r="K22" i="243" s="1"/>
  <c r="Q8" i="242"/>
  <c r="Q8" i="156"/>
  <c r="L58" i="242"/>
  <c r="L61" i="242" s="1"/>
  <c r="G134" i="234"/>
  <c r="L74" i="242" l="1"/>
  <c r="L80" i="242" s="1"/>
  <c r="L83" i="242" s="1"/>
  <c r="AI74" i="242"/>
  <c r="AI80" i="242" s="1"/>
  <c r="AD80" i="242"/>
  <c r="AD84" i="242" s="1"/>
  <c r="Q6" i="243"/>
  <c r="W74" i="242"/>
  <c r="W80" i="242" s="1"/>
  <c r="R80" i="242"/>
  <c r="R84" i="242" s="1"/>
  <c r="K6" i="243" s="1"/>
  <c r="E41" i="243"/>
  <c r="Q41" i="243"/>
  <c r="AD83" i="242"/>
  <c r="G83" i="242"/>
  <c r="G84" i="242"/>
  <c r="E6" i="243" s="1"/>
  <c r="E13" i="243" s="1"/>
  <c r="E23" i="200"/>
  <c r="K22" i="200"/>
  <c r="W8" i="242"/>
  <c r="L84" i="242" l="1"/>
  <c r="R83" i="242"/>
  <c r="W83" i="242"/>
  <c r="J16" i="215"/>
  <c r="J36" i="215" s="1"/>
  <c r="AI83" i="242"/>
  <c r="H16" i="215"/>
  <c r="H36" i="215" s="1"/>
  <c r="F16" i="215"/>
  <c r="F36" i="215" s="1"/>
  <c r="AI50" i="156"/>
  <c r="P45" i="167" s="1"/>
  <c r="AI51" i="156"/>
  <c r="P46" i="167" s="1"/>
  <c r="W50" i="156"/>
  <c r="W51" i="156"/>
  <c r="L50" i="156"/>
  <c r="J45" i="167" s="1"/>
  <c r="L51" i="156"/>
  <c r="J46" i="167" s="1"/>
  <c r="J47" i="167"/>
  <c r="U6" i="243"/>
  <c r="R13" i="181"/>
  <c r="Q13" i="181"/>
  <c r="P13" i="181"/>
  <c r="N13" i="181"/>
  <c r="M13" i="181"/>
  <c r="L13" i="181"/>
  <c r="I13" i="181"/>
  <c r="J13" i="181"/>
  <c r="R13" i="196"/>
  <c r="Q13" i="196"/>
  <c r="P13" i="196"/>
  <c r="N13" i="196"/>
  <c r="M13" i="196"/>
  <c r="L13" i="196"/>
  <c r="I13" i="196"/>
  <c r="J13" i="196"/>
  <c r="H13" i="196"/>
  <c r="K41" i="200"/>
  <c r="A43" i="243"/>
  <c r="A42" i="243"/>
  <c r="U12" i="243"/>
  <c r="O12" i="243"/>
  <c r="I12" i="243"/>
  <c r="U41" i="243"/>
  <c r="O41" i="243"/>
  <c r="A39" i="243"/>
  <c r="A34" i="243"/>
  <c r="A27" i="243"/>
  <c r="S26" i="243"/>
  <c r="M26" i="243"/>
  <c r="G26" i="243"/>
  <c r="U22" i="243"/>
  <c r="O22" i="243"/>
  <c r="A20" i="243"/>
  <c r="A18" i="243"/>
  <c r="S17" i="243"/>
  <c r="M17" i="243"/>
  <c r="G17" i="243"/>
  <c r="A14" i="243"/>
  <c r="S13" i="243"/>
  <c r="M13" i="243"/>
  <c r="G13" i="243"/>
  <c r="U11" i="243"/>
  <c r="O11" i="243"/>
  <c r="I11" i="243"/>
  <c r="U10" i="243"/>
  <c r="O10" i="243"/>
  <c r="O9" i="243"/>
  <c r="I9" i="243"/>
  <c r="U8" i="243"/>
  <c r="O8" i="243"/>
  <c r="I8" i="243"/>
  <c r="U7" i="243"/>
  <c r="O7" i="243"/>
  <c r="I7" i="243"/>
  <c r="I4" i="243"/>
  <c r="A4" i="243"/>
  <c r="A87" i="242"/>
  <c r="A85" i="242"/>
  <c r="A71" i="242"/>
  <c r="A25" i="242"/>
  <c r="A17" i="242"/>
  <c r="A6" i="242"/>
  <c r="A7" i="242" s="1"/>
  <c r="A8" i="242" s="1"/>
  <c r="O88" i="156"/>
  <c r="O86" i="156"/>
  <c r="E41" i="200"/>
  <c r="AA51" i="156" l="1"/>
  <c r="M46" i="167"/>
  <c r="AA50" i="156"/>
  <c r="M45" i="167"/>
  <c r="AM51" i="156"/>
  <c r="AM50" i="156"/>
  <c r="G19" i="243"/>
  <c r="G32" i="243" s="1"/>
  <c r="M19" i="243"/>
  <c r="M32" i="243" s="1"/>
  <c r="I41" i="243"/>
  <c r="Q41" i="200"/>
  <c r="I6" i="243"/>
  <c r="O6" i="243"/>
  <c r="S19" i="243"/>
  <c r="S32" i="243" s="1"/>
  <c r="A5" i="243"/>
  <c r="A6" i="243" s="1"/>
  <c r="A9" i="242"/>
  <c r="A10" i="242" s="1"/>
  <c r="Q51" i="167"/>
  <c r="N51" i="167"/>
  <c r="K51" i="167"/>
  <c r="K56" i="167" s="1"/>
  <c r="W65" i="211"/>
  <c r="X65" i="211"/>
  <c r="U65" i="211"/>
  <c r="A7" i="243" l="1"/>
  <c r="A8" i="243" s="1"/>
  <c r="A12" i="242"/>
  <c r="H29" i="167"/>
  <c r="G29" i="167"/>
  <c r="F51" i="167"/>
  <c r="H51" i="167"/>
  <c r="E51" i="167"/>
  <c r="E29" i="167"/>
  <c r="E10" i="167"/>
  <c r="A9" i="243" l="1"/>
  <c r="A13" i="242"/>
  <c r="A14" i="242" s="1"/>
  <c r="A16" i="242" s="1"/>
  <c r="A18" i="242" s="1"/>
  <c r="H10" i="167"/>
  <c r="H13" i="167" s="1"/>
  <c r="G10" i="167"/>
  <c r="G13" i="167" s="1"/>
  <c r="F10" i="167"/>
  <c r="F13" i="167" s="1"/>
  <c r="E13" i="167"/>
  <c r="H22" i="167"/>
  <c r="H56" i="167" s="1"/>
  <c r="G22" i="167"/>
  <c r="G56" i="167" s="1"/>
  <c r="F22" i="167"/>
  <c r="F56" i="167" s="1"/>
  <c r="E22" i="167"/>
  <c r="E56" i="167" s="1"/>
  <c r="Y71" i="211"/>
  <c r="Y65" i="211" s="1"/>
  <c r="Z62" i="219"/>
  <c r="Z65" i="219" s="1"/>
  <c r="G99" i="184"/>
  <c r="C154" i="184"/>
  <c r="C155" i="184" s="1"/>
  <c r="D23" i="221" s="1"/>
  <c r="C151" i="184"/>
  <c r="G151" i="184" s="1"/>
  <c r="C150" i="184"/>
  <c r="G150" i="184" s="1"/>
  <c r="C147" i="184"/>
  <c r="G147" i="184" s="1"/>
  <c r="C142" i="184"/>
  <c r="C143" i="184" s="1"/>
  <c r="D12" i="221" s="1"/>
  <c r="C139" i="184"/>
  <c r="C134" i="184"/>
  <c r="G134" i="184" s="1"/>
  <c r="C133" i="184"/>
  <c r="G133" i="184" s="1"/>
  <c r="C132" i="184"/>
  <c r="G132" i="184" s="1"/>
  <c r="C129" i="184"/>
  <c r="G129" i="184" s="1"/>
  <c r="C124" i="184"/>
  <c r="C125" i="184" s="1"/>
  <c r="D30" i="221" s="1"/>
  <c r="D31" i="221" s="1"/>
  <c r="C121" i="184"/>
  <c r="G121" i="184" s="1"/>
  <c r="C116" i="184"/>
  <c r="G116" i="184" s="1"/>
  <c r="C115" i="184"/>
  <c r="C112" i="184"/>
  <c r="G112" i="184" s="1"/>
  <c r="C111" i="184"/>
  <c r="G111" i="184" s="1"/>
  <c r="C108" i="184"/>
  <c r="G108" i="184" s="1"/>
  <c r="C103" i="184"/>
  <c r="G103" i="184" s="1"/>
  <c r="C102" i="184"/>
  <c r="C99" i="184"/>
  <c r="C98" i="184"/>
  <c r="G98" i="184" s="1"/>
  <c r="C95" i="184"/>
  <c r="G95" i="184" s="1"/>
  <c r="C90" i="184"/>
  <c r="G90" i="184" s="1"/>
  <c r="C89" i="184"/>
  <c r="C91" i="184" s="1"/>
  <c r="D17" i="221" s="1"/>
  <c r="C86" i="184"/>
  <c r="G86" i="184" s="1"/>
  <c r="C85" i="184"/>
  <c r="G85" i="184" s="1"/>
  <c r="C82" i="184"/>
  <c r="G82" i="184" s="1"/>
  <c r="C77" i="184"/>
  <c r="G77" i="184" s="1"/>
  <c r="C76" i="184"/>
  <c r="G76" i="184" s="1"/>
  <c r="C72" i="184"/>
  <c r="G72" i="184" s="1"/>
  <c r="C69" i="184"/>
  <c r="G69" i="184" s="1"/>
  <c r="C64" i="184"/>
  <c r="G64" i="184" s="1"/>
  <c r="C63" i="184"/>
  <c r="G63" i="184" s="1"/>
  <c r="C60" i="184"/>
  <c r="G60" i="184" s="1"/>
  <c r="C59" i="184"/>
  <c r="G59" i="184" s="1"/>
  <c r="C56" i="184"/>
  <c r="G56" i="184" s="1"/>
  <c r="C51" i="184"/>
  <c r="G51" i="184" s="1"/>
  <c r="C48" i="184"/>
  <c r="G48" i="184" s="1"/>
  <c r="C42" i="184"/>
  <c r="G42" i="184" s="1"/>
  <c r="C43" i="184"/>
  <c r="G43" i="184" s="1"/>
  <c r="C41" i="184"/>
  <c r="G41" i="184" s="1"/>
  <c r="C37" i="184"/>
  <c r="G37" i="184" s="1"/>
  <c r="C38" i="184"/>
  <c r="G38" i="184" s="1"/>
  <c r="C36" i="184"/>
  <c r="G36" i="184" s="1"/>
  <c r="C30" i="184"/>
  <c r="G30" i="184" s="1"/>
  <c r="C29" i="184"/>
  <c r="G29" i="184" s="1"/>
  <c r="C26" i="184"/>
  <c r="G26" i="184" s="1"/>
  <c r="C21" i="184"/>
  <c r="G21" i="184" s="1"/>
  <c r="C20" i="184"/>
  <c r="C17" i="184"/>
  <c r="G17" i="184" s="1"/>
  <c r="C12" i="184"/>
  <c r="G12" i="184" s="1"/>
  <c r="C11" i="184"/>
  <c r="G11" i="184" s="1"/>
  <c r="C8" i="184"/>
  <c r="G8" i="184" s="1"/>
  <c r="A16" i="201"/>
  <c r="A18" i="201"/>
  <c r="A20" i="201"/>
  <c r="A19" i="214"/>
  <c r="A25" i="214"/>
  <c r="A31" i="214"/>
  <c r="A38" i="214"/>
  <c r="A44" i="214"/>
  <c r="A50" i="214"/>
  <c r="A11" i="214"/>
  <c r="A5" i="214"/>
  <c r="E10" i="214"/>
  <c r="G10" i="214"/>
  <c r="I10" i="214"/>
  <c r="E28" i="221"/>
  <c r="C104" i="184" l="1"/>
  <c r="D21" i="221" s="1"/>
  <c r="G102" i="184"/>
  <c r="G104" i="184" s="1"/>
  <c r="E21" i="221" s="1"/>
  <c r="G89" i="184"/>
  <c r="G91" i="184" s="1"/>
  <c r="E17" i="221" s="1"/>
  <c r="C31" i="184"/>
  <c r="D7" i="221" s="1"/>
  <c r="C13" i="184"/>
  <c r="D5" i="221" s="1"/>
  <c r="C44" i="184"/>
  <c r="D8" i="221" s="1"/>
  <c r="C135" i="184"/>
  <c r="D13" i="221" s="1"/>
  <c r="G142" i="184"/>
  <c r="C22" i="184"/>
  <c r="D6" i="221" s="1"/>
  <c r="D9" i="221" s="1"/>
  <c r="C117" i="184"/>
  <c r="D22" i="221" s="1"/>
  <c r="G139" i="184"/>
  <c r="G143" i="184" s="1"/>
  <c r="E12" i="221" s="1"/>
  <c r="G154" i="184"/>
  <c r="G155" i="184" s="1"/>
  <c r="E23" i="221" s="1"/>
  <c r="G124" i="184"/>
  <c r="G125" i="184"/>
  <c r="E30" i="221" s="1"/>
  <c r="E31" i="221" s="1"/>
  <c r="G115" i="184"/>
  <c r="G117" i="184" s="1"/>
  <c r="E22" i="221" s="1"/>
  <c r="C78" i="184"/>
  <c r="D20" i="221" s="1"/>
  <c r="G78" i="184"/>
  <c r="E20" i="221" s="1"/>
  <c r="C65" i="184"/>
  <c r="D16" i="221" s="1"/>
  <c r="D18" i="221" s="1"/>
  <c r="G65" i="184"/>
  <c r="E16" i="221" s="1"/>
  <c r="G52" i="184"/>
  <c r="E11" i="221" s="1"/>
  <c r="C52" i="184"/>
  <c r="D11" i="221" s="1"/>
  <c r="D14" i="221" s="1"/>
  <c r="G31" i="184"/>
  <c r="E7" i="221" s="1"/>
  <c r="G20" i="184"/>
  <c r="G22" i="184" s="1"/>
  <c r="E6" i="221" s="1"/>
  <c r="A10" i="243"/>
  <c r="A11" i="243" s="1"/>
  <c r="A12" i="243" s="1"/>
  <c r="A13" i="243" s="1"/>
  <c r="A20" i="242"/>
  <c r="G135" i="184"/>
  <c r="E13" i="221" s="1"/>
  <c r="G44" i="184"/>
  <c r="E8" i="221" s="1"/>
  <c r="G13" i="184"/>
  <c r="E5" i="221" s="1"/>
  <c r="AI88" i="156"/>
  <c r="AI86" i="156"/>
  <c r="AI82" i="156"/>
  <c r="AK80" i="156"/>
  <c r="AI79" i="156"/>
  <c r="AI78" i="156"/>
  <c r="AI77" i="156"/>
  <c r="AI76" i="156"/>
  <c r="AI75" i="156"/>
  <c r="AI74" i="156"/>
  <c r="AK70" i="156"/>
  <c r="AF70" i="156"/>
  <c r="AE70" i="156"/>
  <c r="AD70" i="156"/>
  <c r="AC70" i="156"/>
  <c r="AI69" i="156"/>
  <c r="AI68" i="156"/>
  <c r="AI63" i="156"/>
  <c r="AI60" i="156"/>
  <c r="P53" i="167" s="1"/>
  <c r="AK56" i="156"/>
  <c r="AG56" i="156"/>
  <c r="AF56" i="156"/>
  <c r="AE56" i="156"/>
  <c r="AD56" i="156"/>
  <c r="AC56" i="156"/>
  <c r="AI55" i="156"/>
  <c r="P50" i="167" s="1"/>
  <c r="AI54" i="156"/>
  <c r="P49" i="167" s="1"/>
  <c r="AI53" i="156"/>
  <c r="P48" i="167" s="1"/>
  <c r="AI52" i="156"/>
  <c r="P47" i="167" s="1"/>
  <c r="AI49" i="156"/>
  <c r="P44" i="167" s="1"/>
  <c r="AI48" i="156"/>
  <c r="P43" i="167" s="1"/>
  <c r="AI47" i="156"/>
  <c r="P42" i="167" s="1"/>
  <c r="AI46" i="156"/>
  <c r="P41" i="167" s="1"/>
  <c r="AI45" i="156"/>
  <c r="P40" i="167" s="1"/>
  <c r="AI44" i="156"/>
  <c r="P39" i="167" s="1"/>
  <c r="AI43" i="156"/>
  <c r="P38" i="167" s="1"/>
  <c r="AI42" i="156"/>
  <c r="P37" i="167" s="1"/>
  <c r="AI41" i="156"/>
  <c r="P36" i="167" s="1"/>
  <c r="AI40" i="156"/>
  <c r="P35" i="167" s="1"/>
  <c r="AI39" i="156"/>
  <c r="P34" i="167" s="1"/>
  <c r="AI38" i="156"/>
  <c r="P33" i="167" s="1"/>
  <c r="AI37" i="156"/>
  <c r="P32" i="167" s="1"/>
  <c r="AI36" i="156"/>
  <c r="P31" i="167" s="1"/>
  <c r="AK33" i="156"/>
  <c r="AG33" i="156"/>
  <c r="AF33" i="156"/>
  <c r="AE33" i="156"/>
  <c r="AD33" i="156"/>
  <c r="AC33" i="156"/>
  <c r="AI32" i="156"/>
  <c r="P28" i="167" s="1"/>
  <c r="AI31" i="156"/>
  <c r="P27" i="167" s="1"/>
  <c r="AI30" i="156"/>
  <c r="P26" i="167" s="1"/>
  <c r="AI29" i="156"/>
  <c r="P25" i="167" s="1"/>
  <c r="AK24" i="156"/>
  <c r="AG24" i="156"/>
  <c r="AF24" i="156"/>
  <c r="AE24" i="156"/>
  <c r="AD24" i="156"/>
  <c r="AI64" i="156"/>
  <c r="AK10" i="156"/>
  <c r="AK13" i="156" s="1"/>
  <c r="AK16" i="156" s="1"/>
  <c r="AG10" i="156"/>
  <c r="AG13" i="156" s="1"/>
  <c r="AG16" i="156" s="1"/>
  <c r="AF10" i="156"/>
  <c r="AF13" i="156" s="1"/>
  <c r="AF16" i="156" s="1"/>
  <c r="AE10" i="156"/>
  <c r="AE13" i="156" s="1"/>
  <c r="AE16" i="156" s="1"/>
  <c r="AD10" i="156"/>
  <c r="AD13" i="156" s="1"/>
  <c r="AD16" i="156" s="1"/>
  <c r="AI8" i="156"/>
  <c r="W88" i="156"/>
  <c r="W86" i="156"/>
  <c r="W82" i="156"/>
  <c r="Y80" i="156"/>
  <c r="W79" i="156"/>
  <c r="W78" i="156"/>
  <c r="W77" i="156"/>
  <c r="W76" i="156"/>
  <c r="W75" i="156"/>
  <c r="W74" i="156"/>
  <c r="Y70" i="156"/>
  <c r="T70" i="156"/>
  <c r="S70" i="156"/>
  <c r="R70" i="156"/>
  <c r="Q70" i="156"/>
  <c r="W69" i="156"/>
  <c r="W68" i="156"/>
  <c r="W63" i="156"/>
  <c r="W60" i="156"/>
  <c r="M53" i="167" s="1"/>
  <c r="Y56" i="156"/>
  <c r="U56" i="156"/>
  <c r="T56" i="156"/>
  <c r="S56" i="156"/>
  <c r="R56" i="156"/>
  <c r="Q56" i="156"/>
  <c r="W55" i="156"/>
  <c r="M50" i="167" s="1"/>
  <c r="W54" i="156"/>
  <c r="M49" i="167" s="1"/>
  <c r="W53" i="156"/>
  <c r="M48" i="167" s="1"/>
  <c r="W52" i="156"/>
  <c r="M47" i="167" s="1"/>
  <c r="W49" i="156"/>
  <c r="M44" i="167" s="1"/>
  <c r="W48" i="156"/>
  <c r="M43" i="167" s="1"/>
  <c r="W47" i="156"/>
  <c r="M42" i="167" s="1"/>
  <c r="W46" i="156"/>
  <c r="M41" i="167" s="1"/>
  <c r="W45" i="156"/>
  <c r="M40" i="167" s="1"/>
  <c r="W44" i="156"/>
  <c r="M39" i="167" s="1"/>
  <c r="W43" i="156"/>
  <c r="M38" i="167" s="1"/>
  <c r="W42" i="156"/>
  <c r="M37" i="167" s="1"/>
  <c r="W41" i="156"/>
  <c r="M36" i="167" s="1"/>
  <c r="W40" i="156"/>
  <c r="M35" i="167" s="1"/>
  <c r="W39" i="156"/>
  <c r="M34" i="167" s="1"/>
  <c r="W38" i="156"/>
  <c r="M33" i="167" s="1"/>
  <c r="W37" i="156"/>
  <c r="M32" i="167" s="1"/>
  <c r="W36" i="156"/>
  <c r="M31" i="167" s="1"/>
  <c r="Y33" i="156"/>
  <c r="U33" i="156"/>
  <c r="T33" i="156"/>
  <c r="S33" i="156"/>
  <c r="R33" i="156"/>
  <c r="Q33" i="156"/>
  <c r="W32" i="156"/>
  <c r="M28" i="167" s="1"/>
  <c r="W31" i="156"/>
  <c r="M27" i="167" s="1"/>
  <c r="W30" i="156"/>
  <c r="M26" i="167" s="1"/>
  <c r="W29" i="156"/>
  <c r="M25" i="167" s="1"/>
  <c r="Y24" i="156"/>
  <c r="U24" i="156"/>
  <c r="T24" i="156"/>
  <c r="S24" i="156"/>
  <c r="R24" i="156"/>
  <c r="W64" i="156"/>
  <c r="Y10" i="156"/>
  <c r="Y13" i="156" s="1"/>
  <c r="Y16" i="156" s="1"/>
  <c r="U10" i="156"/>
  <c r="U13" i="156" s="1"/>
  <c r="U16" i="156" s="1"/>
  <c r="T10" i="156"/>
  <c r="T13" i="156" s="1"/>
  <c r="T16" i="156" s="1"/>
  <c r="S10" i="156"/>
  <c r="S13" i="156" s="1"/>
  <c r="S16" i="156" s="1"/>
  <c r="R10" i="156"/>
  <c r="R13" i="156" s="1"/>
  <c r="R16" i="156" s="1"/>
  <c r="W8" i="156"/>
  <c r="A13" i="230"/>
  <c r="A12" i="229"/>
  <c r="G283" i="228"/>
  <c r="H283" i="228"/>
  <c r="I283" i="228"/>
  <c r="J283" i="228"/>
  <c r="K283" i="228"/>
  <c r="L283" i="228"/>
  <c r="M283" i="228"/>
  <c r="N283" i="228"/>
  <c r="O283" i="228"/>
  <c r="P283" i="228"/>
  <c r="Q283" i="228"/>
  <c r="R283" i="228"/>
  <c r="A271" i="228"/>
  <c r="A272" i="228" s="1"/>
  <c r="A273" i="228" s="1"/>
  <c r="A274" i="228" s="1"/>
  <c r="A275" i="228" s="1"/>
  <c r="A276" i="228" s="1"/>
  <c r="A277" i="228" s="1"/>
  <c r="A278" i="228" s="1"/>
  <c r="A279" i="228" s="1"/>
  <c r="A280" i="228" s="1"/>
  <c r="A281" i="228" s="1"/>
  <c r="A283" i="228" s="1"/>
  <c r="H271" i="228"/>
  <c r="I271" i="228"/>
  <c r="L271" i="228"/>
  <c r="M271" i="228"/>
  <c r="N271" i="228"/>
  <c r="P271" i="228"/>
  <c r="Q271" i="228"/>
  <c r="R271" i="228"/>
  <c r="J272" i="228"/>
  <c r="J273" i="228"/>
  <c r="J274" i="228"/>
  <c r="J275" i="228"/>
  <c r="J276" i="228"/>
  <c r="J277" i="228"/>
  <c r="J278" i="228"/>
  <c r="J279" i="228"/>
  <c r="J280" i="228"/>
  <c r="J281" i="228"/>
  <c r="H6" i="228"/>
  <c r="I6" i="228"/>
  <c r="L6" i="228"/>
  <c r="M6" i="228"/>
  <c r="N6" i="228"/>
  <c r="P6" i="228"/>
  <c r="Q6" i="228"/>
  <c r="R6" i="228"/>
  <c r="A271" i="180"/>
  <c r="A272" i="180" s="1"/>
  <c r="A273" i="180" s="1"/>
  <c r="A274" i="180" s="1"/>
  <c r="A275" i="180" s="1"/>
  <c r="J275" i="180"/>
  <c r="J276" i="180"/>
  <c r="J277" i="180"/>
  <c r="J278" i="180"/>
  <c r="J279" i="180"/>
  <c r="J280" i="180"/>
  <c r="J281" i="180"/>
  <c r="D24" i="221" l="1"/>
  <c r="D33" i="221" s="1"/>
  <c r="Q11" i="200"/>
  <c r="P55" i="167"/>
  <c r="K11" i="200"/>
  <c r="M55" i="167"/>
  <c r="P61" i="167"/>
  <c r="Q61" i="167" s="1"/>
  <c r="Q12" i="200"/>
  <c r="U12" i="200" s="1"/>
  <c r="K12" i="200"/>
  <c r="O12" i="200" s="1"/>
  <c r="M61" i="167"/>
  <c r="N61" i="167" s="1"/>
  <c r="P29" i="167"/>
  <c r="M29" i="167"/>
  <c r="E18" i="221"/>
  <c r="E14" i="221"/>
  <c r="E24" i="221"/>
  <c r="E9" i="221"/>
  <c r="A21" i="242"/>
  <c r="A22" i="242" s="1"/>
  <c r="A23" i="242" s="1"/>
  <c r="R84" i="156"/>
  <c r="K6" i="200" s="1"/>
  <c r="AK84" i="156"/>
  <c r="J271" i="228"/>
  <c r="AI56" i="156"/>
  <c r="Y84" i="156"/>
  <c r="AE84" i="156"/>
  <c r="Q7" i="200" s="1"/>
  <c r="S84" i="156"/>
  <c r="K7" i="200" s="1"/>
  <c r="AF84" i="156"/>
  <c r="Q8" i="200" s="1"/>
  <c r="W56" i="156"/>
  <c r="AD84" i="156"/>
  <c r="Q6" i="200" s="1"/>
  <c r="T84" i="156"/>
  <c r="K8" i="200" s="1"/>
  <c r="AK58" i="156"/>
  <c r="AK61" i="156" s="1"/>
  <c r="Y58" i="156"/>
  <c r="Y61" i="156" s="1"/>
  <c r="AI33" i="156"/>
  <c r="W33" i="156"/>
  <c r="AD58" i="156"/>
  <c r="AD61" i="156" s="1"/>
  <c r="AE58" i="156"/>
  <c r="AE61" i="156" s="1"/>
  <c r="AF58" i="156"/>
  <c r="AF61" i="156" s="1"/>
  <c r="AG58" i="156"/>
  <c r="AG91" i="156" s="1"/>
  <c r="R58" i="156"/>
  <c r="R61" i="156" s="1"/>
  <c r="S58" i="156"/>
  <c r="S61" i="156" s="1"/>
  <c r="T58" i="156"/>
  <c r="T61" i="156" s="1"/>
  <c r="U58" i="156"/>
  <c r="U91" i="156" s="1"/>
  <c r="M259" i="194" l="1"/>
  <c r="Q181" i="194"/>
  <c r="K259" i="194"/>
  <c r="M258" i="194"/>
  <c r="K258" i="194"/>
  <c r="Q180" i="194"/>
  <c r="AG61" i="156"/>
  <c r="U61" i="156"/>
  <c r="E33" i="221"/>
  <c r="J8" i="167" s="1"/>
  <c r="E22" i="200" s="1"/>
  <c r="C34" i="247"/>
  <c r="G34" i="247" s="1"/>
  <c r="C19" i="247"/>
  <c r="G19" i="247" s="1"/>
  <c r="C14" i="247"/>
  <c r="G9" i="247"/>
  <c r="M51" i="167"/>
  <c r="A24" i="242"/>
  <c r="A276" i="180"/>
  <c r="A277" i="180" s="1"/>
  <c r="A278" i="180" s="1"/>
  <c r="A279" i="180" s="1"/>
  <c r="A280" i="180" s="1"/>
  <c r="A281" i="180" s="1"/>
  <c r="A283" i="180" s="1"/>
  <c r="Q21" i="242" l="1"/>
  <c r="Q21" i="156"/>
  <c r="Q22" i="156"/>
  <c r="Q22" i="242"/>
  <c r="W22" i="242" s="1"/>
  <c r="Q23" i="156"/>
  <c r="Q23" i="242"/>
  <c r="W23" i="242" s="1"/>
  <c r="AC22" i="156"/>
  <c r="AC22" i="242"/>
  <c r="AI22" i="242" s="1"/>
  <c r="AC21" i="242"/>
  <c r="AC21" i="156"/>
  <c r="AC23" i="156"/>
  <c r="AC23" i="242"/>
  <c r="AI23" i="242" s="1"/>
  <c r="K8" i="167"/>
  <c r="E22" i="243" s="1"/>
  <c r="I22" i="243" s="1"/>
  <c r="F8" i="242"/>
  <c r="F8" i="156"/>
  <c r="C24" i="247"/>
  <c r="G14" i="247"/>
  <c r="Q34" i="247"/>
  <c r="O34" i="247"/>
  <c r="Q9" i="247"/>
  <c r="O9" i="247"/>
  <c r="Q19" i="247"/>
  <c r="O19" i="247"/>
  <c r="A26" i="242"/>
  <c r="A28" i="242" s="1"/>
  <c r="H59" i="150"/>
  <c r="I59" i="150"/>
  <c r="H57" i="150"/>
  <c r="I57" i="150"/>
  <c r="F15" i="161"/>
  <c r="H15" i="161"/>
  <c r="J15" i="161"/>
  <c r="A16" i="161"/>
  <c r="A7" i="161"/>
  <c r="D24" i="247" l="1"/>
  <c r="C29" i="247"/>
  <c r="P21" i="167"/>
  <c r="Q21" i="167" s="1"/>
  <c r="AI23" i="156"/>
  <c r="AC24" i="242"/>
  <c r="AC7" i="242" s="1"/>
  <c r="AI7" i="242" s="1"/>
  <c r="AI21" i="242"/>
  <c r="AI24" i="242" s="1"/>
  <c r="AI58" i="242" s="1"/>
  <c r="AI61" i="242" s="1"/>
  <c r="AI84" i="242" s="1"/>
  <c r="P19" i="167"/>
  <c r="AI21" i="156"/>
  <c r="AC24" i="156"/>
  <c r="P20" i="167"/>
  <c r="Q20" i="167" s="1"/>
  <c r="AI22" i="156"/>
  <c r="M21" i="167"/>
  <c r="N21" i="167" s="1"/>
  <c r="W23" i="156"/>
  <c r="M20" i="167"/>
  <c r="N20" i="167" s="1"/>
  <c r="W22" i="156"/>
  <c r="M19" i="167"/>
  <c r="Q24" i="156"/>
  <c r="W21" i="156"/>
  <c r="W21" i="242"/>
  <c r="Q24" i="242"/>
  <c r="Q12" i="242"/>
  <c r="M12" i="167"/>
  <c r="Q12" i="156"/>
  <c r="AC12" i="242"/>
  <c r="AC12" i="156"/>
  <c r="P12" i="167"/>
  <c r="F12" i="242"/>
  <c r="L12" i="242" s="1"/>
  <c r="J12" i="167"/>
  <c r="F12" i="156"/>
  <c r="L8" i="242"/>
  <c r="K7" i="167"/>
  <c r="Q14" i="247"/>
  <c r="O14" i="247"/>
  <c r="G24" i="247"/>
  <c r="A29" i="242"/>
  <c r="A8" i="161"/>
  <c r="A9" i="161" s="1"/>
  <c r="G29" i="247" l="1"/>
  <c r="O29" i="247" s="1"/>
  <c r="Q29" i="247"/>
  <c r="AI24" i="156"/>
  <c r="AI58" i="156" s="1"/>
  <c r="AI61" i="156" s="1"/>
  <c r="AC7" i="156"/>
  <c r="AI7" i="156" s="1"/>
  <c r="AC58" i="156"/>
  <c r="AC61" i="156" s="1"/>
  <c r="AC84" i="156"/>
  <c r="Q7" i="242"/>
  <c r="W7" i="242" s="1"/>
  <c r="Q58" i="242"/>
  <c r="Q61" i="242" s="1"/>
  <c r="Q84" i="242" s="1"/>
  <c r="W24" i="242"/>
  <c r="W58" i="242" s="1"/>
  <c r="W61" i="242" s="1"/>
  <c r="W84" i="242" s="1"/>
  <c r="Q19" i="167"/>
  <c r="Q22" i="167" s="1"/>
  <c r="P22" i="167"/>
  <c r="P7" i="167" s="1"/>
  <c r="Q4" i="200" s="1"/>
  <c r="Q23" i="200" s="1"/>
  <c r="W24" i="156"/>
  <c r="W58" i="156" s="1"/>
  <c r="W61" i="156" s="1"/>
  <c r="Q7" i="156"/>
  <c r="W7" i="156" s="1"/>
  <c r="Q58" i="156"/>
  <c r="Q61" i="156" s="1"/>
  <c r="Q84" i="156"/>
  <c r="N19" i="167"/>
  <c r="N22" i="167" s="1"/>
  <c r="M22" i="167"/>
  <c r="M7" i="167" s="1"/>
  <c r="K4" i="200" s="1"/>
  <c r="K23" i="200" s="1"/>
  <c r="J9" i="167"/>
  <c r="J10" i="167" s="1"/>
  <c r="J13" i="167" s="1"/>
  <c r="J14" i="167"/>
  <c r="G35" i="247"/>
  <c r="Q24" i="247"/>
  <c r="F9" i="156"/>
  <c r="Q12" i="167"/>
  <c r="Q25" i="243"/>
  <c r="U25" i="243" s="1"/>
  <c r="Q25" i="200"/>
  <c r="J5" i="215" s="1"/>
  <c r="K25" i="200"/>
  <c r="H5" i="215" s="1"/>
  <c r="N12" i="167"/>
  <c r="K25" i="243" s="1"/>
  <c r="O25" i="243" s="1"/>
  <c r="E25" i="200"/>
  <c r="F5" i="215" s="1"/>
  <c r="K12" i="167"/>
  <c r="E25" i="243" s="1"/>
  <c r="I25" i="243" s="1"/>
  <c r="W12" i="242"/>
  <c r="AI12" i="156"/>
  <c r="W12" i="156"/>
  <c r="O24" i="247"/>
  <c r="E23" i="243"/>
  <c r="A30" i="242"/>
  <c r="A7" i="222"/>
  <c r="A8" i="222"/>
  <c r="A9" i="222" s="1"/>
  <c r="A12" i="222"/>
  <c r="A19" i="222"/>
  <c r="E25" i="222"/>
  <c r="G25" i="222"/>
  <c r="I25" i="222"/>
  <c r="K25" i="222"/>
  <c r="A26" i="222"/>
  <c r="E36" i="222"/>
  <c r="G36" i="222"/>
  <c r="I36" i="222"/>
  <c r="K36" i="222"/>
  <c r="M36" i="222"/>
  <c r="O36" i="222"/>
  <c r="A37" i="222"/>
  <c r="O42" i="222"/>
  <c r="E42" i="222"/>
  <c r="G42" i="222"/>
  <c r="I42" i="222"/>
  <c r="K42" i="222"/>
  <c r="M42" i="222"/>
  <c r="A43" i="222"/>
  <c r="E52" i="222"/>
  <c r="G52" i="222"/>
  <c r="I52" i="222"/>
  <c r="K52" i="222"/>
  <c r="M52" i="222"/>
  <c r="O52" i="222"/>
  <c r="A53" i="222"/>
  <c r="O62" i="222"/>
  <c r="E62" i="222"/>
  <c r="G62" i="222"/>
  <c r="I62" i="222"/>
  <c r="K62" i="222"/>
  <c r="M62" i="222"/>
  <c r="A63" i="222"/>
  <c r="E72" i="222"/>
  <c r="G72" i="222"/>
  <c r="I72" i="222"/>
  <c r="K72" i="222"/>
  <c r="M72" i="222"/>
  <c r="O72" i="222"/>
  <c r="A73" i="222"/>
  <c r="O82" i="222"/>
  <c r="E82" i="222"/>
  <c r="G82" i="222"/>
  <c r="I82" i="222"/>
  <c r="K82" i="222"/>
  <c r="M82" i="222"/>
  <c r="A83" i="222"/>
  <c r="E92" i="222"/>
  <c r="G92" i="222"/>
  <c r="I92" i="222"/>
  <c r="K92" i="222"/>
  <c r="M92" i="222"/>
  <c r="O92" i="222"/>
  <c r="A93" i="222"/>
  <c r="O98" i="222"/>
  <c r="E98" i="222"/>
  <c r="G98" i="222"/>
  <c r="I98" i="222"/>
  <c r="K98" i="222"/>
  <c r="M98" i="222"/>
  <c r="A99" i="222"/>
  <c r="E106" i="222"/>
  <c r="G106" i="222"/>
  <c r="I106" i="222"/>
  <c r="K106" i="222"/>
  <c r="M106" i="222"/>
  <c r="O106" i="222"/>
  <c r="A107" i="222"/>
  <c r="O112" i="222"/>
  <c r="E112" i="222"/>
  <c r="G112" i="222"/>
  <c r="I112" i="222"/>
  <c r="K112" i="222"/>
  <c r="M112" i="222"/>
  <c r="A113" i="222"/>
  <c r="O121" i="222"/>
  <c r="E121" i="222"/>
  <c r="G121" i="222"/>
  <c r="I121" i="222"/>
  <c r="K121" i="222"/>
  <c r="M121" i="222"/>
  <c r="Q7" i="167" l="1"/>
  <c r="Q4" i="243" s="1"/>
  <c r="Q56" i="167"/>
  <c r="N7" i="167"/>
  <c r="K4" i="243" s="1"/>
  <c r="N56" i="167"/>
  <c r="E16" i="200"/>
  <c r="K14" i="167"/>
  <c r="E16" i="243" s="1"/>
  <c r="M14" i="167"/>
  <c r="N14" i="167"/>
  <c r="F14" i="156"/>
  <c r="Q14" i="156" s="1"/>
  <c r="F9" i="242"/>
  <c r="Q9" i="156"/>
  <c r="F35" i="215"/>
  <c r="F37" i="215" s="1"/>
  <c r="F15" i="215"/>
  <c r="F17" i="215" s="1"/>
  <c r="F25" i="215"/>
  <c r="H15" i="215"/>
  <c r="H17" i="215" s="1"/>
  <c r="H35" i="215"/>
  <c r="H37" i="215" s="1"/>
  <c r="H25" i="215"/>
  <c r="J35" i="215"/>
  <c r="J37" i="215" s="1"/>
  <c r="J25" i="215"/>
  <c r="J15" i="215"/>
  <c r="J17" i="215" s="1"/>
  <c r="E24" i="200"/>
  <c r="K9" i="167"/>
  <c r="M9" i="167" s="1"/>
  <c r="I23" i="243"/>
  <c r="A31" i="242"/>
  <c r="A15" i="161"/>
  <c r="A10" i="222"/>
  <c r="A11" i="222" s="1"/>
  <c r="A13" i="222" s="1"/>
  <c r="A14" i="222" s="1"/>
  <c r="K23" i="243" l="1"/>
  <c r="O23" i="243" s="1"/>
  <c r="K13" i="243"/>
  <c r="O4" i="243"/>
  <c r="O13" i="243" s="1"/>
  <c r="Q23" i="243"/>
  <c r="U23" i="243" s="1"/>
  <c r="Q13" i="243"/>
  <c r="U4" i="243"/>
  <c r="U13" i="243" s="1"/>
  <c r="K16" i="243"/>
  <c r="Q14" i="167"/>
  <c r="K16" i="200"/>
  <c r="P14" i="167"/>
  <c r="AC9" i="156"/>
  <c r="W9" i="156"/>
  <c r="W10" i="156" s="1"/>
  <c r="W13" i="156" s="1"/>
  <c r="Q10" i="156"/>
  <c r="Q13" i="156" s="1"/>
  <c r="Q16" i="156" s="1"/>
  <c r="F10" i="242"/>
  <c r="F13" i="242" s="1"/>
  <c r="L9" i="242"/>
  <c r="L10" i="242" s="1"/>
  <c r="L13" i="242" s="1"/>
  <c r="Q9" i="242"/>
  <c r="F14" i="242"/>
  <c r="AC14" i="156"/>
  <c r="AI14" i="156" s="1"/>
  <c r="W14" i="156"/>
  <c r="J15" i="167"/>
  <c r="M10" i="167"/>
  <c r="M13" i="167" s="1"/>
  <c r="K24" i="200"/>
  <c r="N9" i="167"/>
  <c r="E24" i="243"/>
  <c r="K10" i="167"/>
  <c r="K13" i="167" s="1"/>
  <c r="A32" i="242"/>
  <c r="A15" i="222"/>
  <c r="A16" i="222"/>
  <c r="A17" i="222" s="1"/>
  <c r="A18" i="222" s="1"/>
  <c r="A20" i="222" s="1"/>
  <c r="A21" i="222" s="1"/>
  <c r="Q16" i="200" l="1"/>
  <c r="Q16" i="243"/>
  <c r="W16" i="156"/>
  <c r="F16" i="242"/>
  <c r="W9" i="242"/>
  <c r="W10" i="242" s="1"/>
  <c r="W13" i="242" s="1"/>
  <c r="W16" i="242" s="1"/>
  <c r="AA16" i="242" s="1"/>
  <c r="Q10" i="242"/>
  <c r="Q13" i="242" s="1"/>
  <c r="AC9" i="242"/>
  <c r="L14" i="242"/>
  <c r="L16" i="242" s="1"/>
  <c r="Q14" i="242"/>
  <c r="AC14" i="242" s="1"/>
  <c r="AI9" i="156"/>
  <c r="AI10" i="156" s="1"/>
  <c r="AI13" i="156" s="1"/>
  <c r="AI16" i="156" s="1"/>
  <c r="AC10" i="156"/>
  <c r="AC13" i="156" s="1"/>
  <c r="AC16" i="156" s="1"/>
  <c r="K24" i="243"/>
  <c r="K17" i="243"/>
  <c r="K19" i="243" s="1"/>
  <c r="O16" i="243"/>
  <c r="O17" i="243" s="1"/>
  <c r="O19" i="243" s="1"/>
  <c r="I16" i="243"/>
  <c r="I17" i="243" s="1"/>
  <c r="E17" i="243"/>
  <c r="E19" i="243" s="1"/>
  <c r="N10" i="167"/>
  <c r="N13" i="167" s="1"/>
  <c r="P9" i="167"/>
  <c r="M15" i="167"/>
  <c r="K15" i="167"/>
  <c r="I24" i="243"/>
  <c r="I26" i="243" s="1"/>
  <c r="E26" i="243"/>
  <c r="A33" i="242"/>
  <c r="A22" i="222"/>
  <c r="A23" i="222"/>
  <c r="A24" i="222" s="1"/>
  <c r="A25" i="222" s="1"/>
  <c r="A27" i="222" s="1"/>
  <c r="A28" i="222" s="1"/>
  <c r="A29" i="222" s="1"/>
  <c r="A30" i="222" s="1"/>
  <c r="AI9" i="242" l="1"/>
  <c r="AI10" i="242" s="1"/>
  <c r="AI13" i="242" s="1"/>
  <c r="AI16" i="242" s="1"/>
  <c r="AM16" i="242" s="1"/>
  <c r="AC10" i="242"/>
  <c r="AC13" i="242" s="1"/>
  <c r="AC16" i="242" s="1"/>
  <c r="Q16" i="242"/>
  <c r="Q24" i="243"/>
  <c r="U16" i="243"/>
  <c r="U17" i="243" s="1"/>
  <c r="U19" i="243" s="1"/>
  <c r="Q17" i="243"/>
  <c r="Q19" i="243" s="1"/>
  <c r="K26" i="243"/>
  <c r="K28" i="243" s="1"/>
  <c r="O24" i="243"/>
  <c r="O26" i="243" s="1"/>
  <c r="Q24" i="200"/>
  <c r="Q9" i="167"/>
  <c r="P10" i="167"/>
  <c r="P13" i="167" s="1"/>
  <c r="N15" i="167"/>
  <c r="A34" i="242"/>
  <c r="A31" i="222"/>
  <c r="A32" i="222"/>
  <c r="A33" i="222" s="1"/>
  <c r="A34" i="222" s="1"/>
  <c r="A35" i="222" s="1"/>
  <c r="A36" i="222" s="1"/>
  <c r="A38" i="222" s="1"/>
  <c r="A39" i="222" s="1"/>
  <c r="N62" i="167" l="1"/>
  <c r="N64" i="167" s="1"/>
  <c r="N65" i="167" s="1"/>
  <c r="O28" i="243"/>
  <c r="O32" i="243" s="1"/>
  <c r="O33" i="243" s="1"/>
  <c r="K32" i="243"/>
  <c r="K33" i="243" s="1"/>
  <c r="P15" i="167"/>
  <c r="U24" i="243"/>
  <c r="U26" i="243" s="1"/>
  <c r="Q26" i="243"/>
  <c r="Q28" i="243" s="1"/>
  <c r="Q10" i="167"/>
  <c r="Q13" i="167" s="1"/>
  <c r="A35" i="242"/>
  <c r="A36" i="242" s="1"/>
  <c r="A40" i="222"/>
  <c r="A41" i="222"/>
  <c r="A42" i="222" s="1"/>
  <c r="U28" i="243" l="1"/>
  <c r="U32" i="243" s="1"/>
  <c r="U33" i="243" s="1"/>
  <c r="Q32" i="243"/>
  <c r="Q33" i="243" s="1"/>
  <c r="Q15" i="167"/>
  <c r="A37" i="242"/>
  <c r="A44" i="222"/>
  <c r="A45" i="222" s="1"/>
  <c r="A46" i="222"/>
  <c r="A47" i="222"/>
  <c r="A48" i="222" s="1"/>
  <c r="Q62" i="167" l="1"/>
  <c r="Q64" i="167" s="1"/>
  <c r="Q65" i="167" s="1"/>
  <c r="A38" i="242"/>
  <c r="A49" i="222"/>
  <c r="A50" i="222"/>
  <c r="A51" i="222" s="1"/>
  <c r="A52" i="222" s="1"/>
  <c r="A39" i="242" l="1"/>
  <c r="A56" i="222"/>
  <c r="A54" i="222"/>
  <c r="A55" i="222" s="1"/>
  <c r="A57" i="222"/>
  <c r="A58" i="222" s="1"/>
  <c r="A40" i="242" l="1"/>
  <c r="A41" i="242" s="1"/>
  <c r="A60" i="222"/>
  <c r="A61" i="222" s="1"/>
  <c r="A62" i="222" s="1"/>
  <c r="A59" i="222"/>
  <c r="A42" i="242" l="1"/>
  <c r="A67" i="222"/>
  <c r="A68" i="222" s="1"/>
  <c r="A64" i="222"/>
  <c r="A65" i="222" s="1"/>
  <c r="A66" i="222"/>
  <c r="A43" i="242" l="1"/>
  <c r="A70" i="222"/>
  <c r="A71" i="222" s="1"/>
  <c r="A72" i="222" s="1"/>
  <c r="A69" i="222"/>
  <c r="A44" i="242" l="1"/>
  <c r="A45" i="242" s="1"/>
  <c r="A74" i="222"/>
  <c r="A75" i="222" s="1"/>
  <c r="A76" i="222"/>
  <c r="A77" i="222"/>
  <c r="A78" i="222" s="1"/>
  <c r="A46" i="242" l="1"/>
  <c r="A79" i="222"/>
  <c r="A80" i="222"/>
  <c r="A81" i="222" s="1"/>
  <c r="A82" i="222" s="1"/>
  <c r="A47" i="242" l="1"/>
  <c r="A87" i="222"/>
  <c r="A88" i="222" s="1"/>
  <c r="A86" i="222"/>
  <c r="A84" i="222"/>
  <c r="A85" i="222" s="1"/>
  <c r="A48" i="242" l="1"/>
  <c r="A90" i="222"/>
  <c r="A91" i="222" s="1"/>
  <c r="A92" i="222" s="1"/>
  <c r="A94" i="222" s="1"/>
  <c r="A95" i="222" s="1"/>
  <c r="A89" i="222"/>
  <c r="A49" i="242" l="1"/>
  <c r="A50" i="242" s="1"/>
  <c r="A51" i="242" s="1"/>
  <c r="A97" i="222"/>
  <c r="A98" i="222" s="1"/>
  <c r="A100" i="222" s="1"/>
  <c r="A101" i="222" s="1"/>
  <c r="A102" i="222" s="1"/>
  <c r="A103" i="222" s="1"/>
  <c r="A104" i="222" s="1"/>
  <c r="A105" i="222" s="1"/>
  <c r="A106" i="222" s="1"/>
  <c r="A108" i="222" s="1"/>
  <c r="A109" i="222" s="1"/>
  <c r="A96" i="222"/>
  <c r="A52" i="242" l="1"/>
  <c r="A110" i="222"/>
  <c r="A111" i="222"/>
  <c r="A112" i="222" s="1"/>
  <c r="A53" i="242" l="1"/>
  <c r="A116" i="222"/>
  <c r="A117" i="222"/>
  <c r="A118" i="222" s="1"/>
  <c r="A114" i="222"/>
  <c r="A115" i="222" s="1"/>
  <c r="A54" i="242" l="1"/>
  <c r="A119" i="222"/>
  <c r="A120" i="222"/>
  <c r="A121" i="222" s="1"/>
  <c r="A55" i="242" l="1"/>
  <c r="A11" i="173"/>
  <c r="A13" i="181"/>
  <c r="H283" i="180"/>
  <c r="K283" i="180"/>
  <c r="O283" i="180"/>
  <c r="I283" i="180"/>
  <c r="L283" i="180"/>
  <c r="M283" i="180"/>
  <c r="P283" i="180"/>
  <c r="Q283" i="180"/>
  <c r="S17" i="200"/>
  <c r="Q17" i="200"/>
  <c r="U8" i="200"/>
  <c r="U7" i="200"/>
  <c r="U6" i="200"/>
  <c r="S13" i="200"/>
  <c r="M17" i="200"/>
  <c r="K17" i="200"/>
  <c r="O8" i="200"/>
  <c r="O7" i="200"/>
  <c r="O6" i="200"/>
  <c r="M13" i="200"/>
  <c r="AM82" i="156"/>
  <c r="AM77" i="156"/>
  <c r="AM76" i="156"/>
  <c r="AM69" i="156"/>
  <c r="AM60" i="156"/>
  <c r="AM53" i="156"/>
  <c r="AM52" i="156"/>
  <c r="AM48" i="156"/>
  <c r="AM47" i="156"/>
  <c r="AM44" i="156"/>
  <c r="AM43" i="156"/>
  <c r="AM40" i="156"/>
  <c r="AM39" i="156"/>
  <c r="AM32" i="156"/>
  <c r="AM23" i="156"/>
  <c r="AM14" i="156"/>
  <c r="AM64" i="156"/>
  <c r="AM9" i="156"/>
  <c r="AM8" i="156"/>
  <c r="AA78" i="156"/>
  <c r="AA77" i="156"/>
  <c r="AA74" i="156"/>
  <c r="AA54" i="156"/>
  <c r="AA53" i="156"/>
  <c r="AA49" i="156"/>
  <c r="AA48" i="156"/>
  <c r="AA45" i="156"/>
  <c r="AA44" i="156"/>
  <c r="AA41" i="156"/>
  <c r="AA40" i="156"/>
  <c r="AA37" i="156"/>
  <c r="AA30" i="156"/>
  <c r="AA14" i="156"/>
  <c r="AA9" i="156"/>
  <c r="R68" i="167"/>
  <c r="BT91" i="219"/>
  <c r="BN91" i="219"/>
  <c r="BI91" i="219"/>
  <c r="BD91" i="219"/>
  <c r="AW91" i="219"/>
  <c r="AQ91" i="219"/>
  <c r="AL91" i="219"/>
  <c r="AG91" i="219"/>
  <c r="Z91" i="219"/>
  <c r="T91" i="219"/>
  <c r="O91" i="219"/>
  <c r="J91" i="219"/>
  <c r="BT84" i="219"/>
  <c r="BN84" i="219"/>
  <c r="BI84" i="219"/>
  <c r="BD84" i="219"/>
  <c r="AW84" i="219"/>
  <c r="AQ84" i="219"/>
  <c r="AL84" i="219"/>
  <c r="AG84" i="219"/>
  <c r="Z84" i="219"/>
  <c r="T84" i="219"/>
  <c r="O84" i="219"/>
  <c r="J84" i="219"/>
  <c r="BJ81" i="219"/>
  <c r="AI81" i="219"/>
  <c r="R81" i="219"/>
  <c r="BM80" i="219"/>
  <c r="BE80" i="219"/>
  <c r="AF80" i="219"/>
  <c r="AB80" i="219"/>
  <c r="BT79" i="219"/>
  <c r="BN79" i="219"/>
  <c r="BI79" i="219"/>
  <c r="BD79" i="219"/>
  <c r="AW79" i="219"/>
  <c r="AQ79" i="219"/>
  <c r="AL79" i="219"/>
  <c r="AG79" i="219"/>
  <c r="Z79" i="219"/>
  <c r="T79" i="219"/>
  <c r="O79" i="219"/>
  <c r="J79" i="219"/>
  <c r="BR78" i="219"/>
  <c r="BQ78" i="219"/>
  <c r="BP78" i="219"/>
  <c r="BO78" i="219"/>
  <c r="BM78" i="219"/>
  <c r="BL78" i="219"/>
  <c r="BK78" i="219"/>
  <c r="BJ78" i="219"/>
  <c r="BI78" i="219"/>
  <c r="BH78" i="219"/>
  <c r="BG78" i="219"/>
  <c r="BF78" i="219"/>
  <c r="BE78" i="219"/>
  <c r="BC78" i="219"/>
  <c r="BB78" i="219"/>
  <c r="BA78" i="219"/>
  <c r="AZ78" i="219"/>
  <c r="AY78" i="219"/>
  <c r="AU78" i="219"/>
  <c r="AT78" i="219"/>
  <c r="AS78" i="219"/>
  <c r="AR78" i="219"/>
  <c r="AP78" i="219"/>
  <c r="AO78" i="219"/>
  <c r="AN78" i="219"/>
  <c r="AM78" i="219"/>
  <c r="AK78" i="219"/>
  <c r="AJ78" i="219"/>
  <c r="AI78" i="219"/>
  <c r="AH78" i="219"/>
  <c r="AF78" i="219"/>
  <c r="AE78" i="219"/>
  <c r="AD78" i="219"/>
  <c r="AC78" i="219"/>
  <c r="AB78" i="219"/>
  <c r="Y78" i="219"/>
  <c r="X78" i="219"/>
  <c r="W78" i="219"/>
  <c r="V78" i="219"/>
  <c r="U78" i="219"/>
  <c r="S78" i="219"/>
  <c r="R78" i="219"/>
  <c r="Q78" i="219"/>
  <c r="P78" i="219"/>
  <c r="N78" i="219"/>
  <c r="M78" i="219"/>
  <c r="L78" i="219"/>
  <c r="K78" i="219"/>
  <c r="K80" i="219" s="1"/>
  <c r="I78" i="219"/>
  <c r="H78" i="219"/>
  <c r="G78" i="219"/>
  <c r="F78" i="219"/>
  <c r="E78" i="219"/>
  <c r="BT74" i="219"/>
  <c r="BN74" i="219"/>
  <c r="BI74" i="219"/>
  <c r="BD74" i="219"/>
  <c r="AW74" i="219"/>
  <c r="AQ74" i="219"/>
  <c r="AL74" i="219"/>
  <c r="AG74" i="219"/>
  <c r="Z74" i="219"/>
  <c r="T74" i="219"/>
  <c r="O74" i="219"/>
  <c r="J74" i="219"/>
  <c r="BT73" i="219"/>
  <c r="BN73" i="219"/>
  <c r="BI73" i="219"/>
  <c r="BD73" i="219"/>
  <c r="AW73" i="219"/>
  <c r="AQ73" i="219"/>
  <c r="AL73" i="219"/>
  <c r="AL78" i="219" s="1"/>
  <c r="AG73" i="219"/>
  <c r="Z73" i="219"/>
  <c r="T73" i="219"/>
  <c r="O73" i="219"/>
  <c r="J73" i="219"/>
  <c r="BT72" i="219"/>
  <c r="BN72" i="219"/>
  <c r="BI72" i="219"/>
  <c r="BD72" i="219"/>
  <c r="AW72" i="219"/>
  <c r="AQ72" i="219"/>
  <c r="AL72" i="219"/>
  <c r="AG72" i="219"/>
  <c r="Z72" i="219"/>
  <c r="T72" i="219"/>
  <c r="O72" i="219"/>
  <c r="J72" i="219"/>
  <c r="BS78" i="219"/>
  <c r="BN71" i="219"/>
  <c r="BI71" i="219"/>
  <c r="BD71" i="219"/>
  <c r="BD78" i="219" s="1"/>
  <c r="AW71" i="219"/>
  <c r="AQ71" i="219"/>
  <c r="AL71" i="219"/>
  <c r="AG71" i="219"/>
  <c r="Z71" i="219"/>
  <c r="Z78" i="219" s="1"/>
  <c r="T71" i="219"/>
  <c r="O71" i="219"/>
  <c r="O78" i="219" s="1"/>
  <c r="J71" i="219"/>
  <c r="J78" i="219" s="1"/>
  <c r="B69" i="219"/>
  <c r="BS68" i="219"/>
  <c r="BR68" i="219"/>
  <c r="BQ68" i="219"/>
  <c r="BP68" i="219"/>
  <c r="BO68" i="219"/>
  <c r="BM68" i="219"/>
  <c r="BL68" i="219"/>
  <c r="BK68" i="219"/>
  <c r="BJ68" i="219"/>
  <c r="BH68" i="219"/>
  <c r="BG68" i="219"/>
  <c r="BF68" i="219"/>
  <c r="BE68" i="219"/>
  <c r="BC68" i="219"/>
  <c r="BB68" i="219"/>
  <c r="BA68" i="219"/>
  <c r="AZ68" i="219"/>
  <c r="AV68" i="219"/>
  <c r="AU68" i="219"/>
  <c r="AT68" i="219"/>
  <c r="AS68" i="219"/>
  <c r="AR68" i="219"/>
  <c r="AP68" i="219"/>
  <c r="AO68" i="219"/>
  <c r="AN68" i="219"/>
  <c r="AM68" i="219"/>
  <c r="AL68" i="219"/>
  <c r="AK68" i="219"/>
  <c r="AJ68" i="219"/>
  <c r="AI68" i="219"/>
  <c r="AH68" i="219"/>
  <c r="AF68" i="219"/>
  <c r="AE68" i="219"/>
  <c r="AD68" i="219"/>
  <c r="AC68" i="219"/>
  <c r="AB68" i="219"/>
  <c r="Y68" i="219"/>
  <c r="X68" i="219"/>
  <c r="W68" i="219"/>
  <c r="V68" i="219"/>
  <c r="U68" i="219"/>
  <c r="S68" i="219"/>
  <c r="R68" i="219"/>
  <c r="Q68" i="219"/>
  <c r="P68" i="219"/>
  <c r="N68" i="219"/>
  <c r="M68" i="219"/>
  <c r="L68" i="219"/>
  <c r="K68" i="219"/>
  <c r="I68" i="219"/>
  <c r="H68" i="219"/>
  <c r="G68" i="219"/>
  <c r="F68" i="219"/>
  <c r="BT67" i="219"/>
  <c r="BN67" i="219"/>
  <c r="BI67" i="219"/>
  <c r="BI68" i="219" s="1"/>
  <c r="BD67" i="219"/>
  <c r="AW67" i="219"/>
  <c r="AQ67" i="219"/>
  <c r="AL67" i="219"/>
  <c r="AG67" i="219"/>
  <c r="Z67" i="219"/>
  <c r="T67" i="219"/>
  <c r="O67" i="219"/>
  <c r="J67" i="219"/>
  <c r="BT66" i="219"/>
  <c r="BN66" i="219"/>
  <c r="BI66" i="219"/>
  <c r="BD66" i="219"/>
  <c r="AW66" i="219"/>
  <c r="AQ66" i="219"/>
  <c r="AL66" i="219"/>
  <c r="AG66" i="219"/>
  <c r="Z66" i="219"/>
  <c r="T66" i="219"/>
  <c r="O66" i="219"/>
  <c r="J66" i="219"/>
  <c r="BN65" i="219"/>
  <c r="BI65" i="219"/>
  <c r="BD65" i="219"/>
  <c r="AY65" i="219"/>
  <c r="AY68" i="219" s="1"/>
  <c r="AQ65" i="219"/>
  <c r="AQ68" i="219" s="1"/>
  <c r="AL65" i="219"/>
  <c r="AG65" i="219"/>
  <c r="T65" i="219"/>
  <c r="O65" i="219"/>
  <c r="J65" i="219"/>
  <c r="E65" i="219"/>
  <c r="E68" i="219" s="1"/>
  <c r="BT64" i="219"/>
  <c r="BN64" i="219"/>
  <c r="BN68" i="219" s="1"/>
  <c r="BI64" i="219"/>
  <c r="BD64" i="219"/>
  <c r="BD68" i="219" s="1"/>
  <c r="AW64" i="219"/>
  <c r="AQ64" i="219"/>
  <c r="AL64" i="219"/>
  <c r="AG64" i="219"/>
  <c r="AG68" i="219" s="1"/>
  <c r="Z64" i="219"/>
  <c r="T64" i="219"/>
  <c r="T68" i="219" s="1"/>
  <c r="O64" i="219"/>
  <c r="J64" i="219"/>
  <c r="J68" i="219" s="1"/>
  <c r="B63" i="219"/>
  <c r="BM62" i="219"/>
  <c r="BL62" i="219"/>
  <c r="BK62" i="219"/>
  <c r="BJ62" i="219"/>
  <c r="BH62" i="219"/>
  <c r="BG62" i="219"/>
  <c r="BF62" i="219"/>
  <c r="BE62" i="219"/>
  <c r="BC62" i="219"/>
  <c r="BB62" i="219"/>
  <c r="BA62" i="219"/>
  <c r="AZ62" i="219"/>
  <c r="AP62" i="219"/>
  <c r="AO62" i="219"/>
  <c r="AN62" i="219"/>
  <c r="AM62" i="219"/>
  <c r="AK62" i="219"/>
  <c r="AJ62" i="219"/>
  <c r="AI62" i="219"/>
  <c r="AH62" i="219"/>
  <c r="AF62" i="219"/>
  <c r="AE62" i="219"/>
  <c r="AD62" i="219"/>
  <c r="AC62" i="219"/>
  <c r="S62" i="219"/>
  <c r="R62" i="219"/>
  <c r="Q62" i="219"/>
  <c r="P62" i="219"/>
  <c r="N62" i="219"/>
  <c r="M62" i="219"/>
  <c r="L62" i="219"/>
  <c r="K62" i="219"/>
  <c r="I62" i="219"/>
  <c r="H62" i="219"/>
  <c r="G62" i="219"/>
  <c r="F62" i="219"/>
  <c r="BT61" i="219"/>
  <c r="BN61" i="219"/>
  <c r="BI61" i="219"/>
  <c r="BD61" i="219"/>
  <c r="AY61" i="219"/>
  <c r="AW61" i="219"/>
  <c r="AQ61" i="219"/>
  <c r="AL61" i="219"/>
  <c r="AG61" i="219"/>
  <c r="AB61" i="219"/>
  <c r="AB65" i="219" s="1"/>
  <c r="Z61" i="219"/>
  <c r="T61" i="219"/>
  <c r="O61" i="219"/>
  <c r="J61" i="219"/>
  <c r="E61" i="219"/>
  <c r="BM59" i="219"/>
  <c r="BL59" i="219"/>
  <c r="BK59" i="219"/>
  <c r="BJ59" i="219"/>
  <c r="BH59" i="219"/>
  <c r="BH81" i="219" s="1"/>
  <c r="BG59" i="219"/>
  <c r="BF59" i="219"/>
  <c r="BE59" i="219"/>
  <c r="BC59" i="219"/>
  <c r="BB59" i="219"/>
  <c r="BA59" i="219"/>
  <c r="AZ59" i="219"/>
  <c r="AZ81" i="219" s="1"/>
  <c r="AY59" i="219"/>
  <c r="AP59" i="219"/>
  <c r="AO59" i="219"/>
  <c r="AN59" i="219"/>
  <c r="AM59" i="219"/>
  <c r="AK59" i="219"/>
  <c r="AJ59" i="219"/>
  <c r="AI59" i="219"/>
  <c r="AH59" i="219"/>
  <c r="AF59" i="219"/>
  <c r="AE59" i="219"/>
  <c r="AD59" i="219"/>
  <c r="AC59" i="219"/>
  <c r="AB59" i="219"/>
  <c r="S59" i="219"/>
  <c r="R59" i="219"/>
  <c r="Q59" i="219"/>
  <c r="P59" i="219"/>
  <c r="N59" i="219"/>
  <c r="M59" i="219"/>
  <c r="L59" i="219"/>
  <c r="K59" i="219"/>
  <c r="I59" i="219"/>
  <c r="H59" i="219"/>
  <c r="H81" i="219" s="1"/>
  <c r="G59" i="219"/>
  <c r="F59" i="219"/>
  <c r="E59" i="219"/>
  <c r="BN58" i="219"/>
  <c r="BI58" i="219"/>
  <c r="BD58" i="219"/>
  <c r="AQ58" i="219"/>
  <c r="AL58" i="219"/>
  <c r="AG58" i="219"/>
  <c r="T58" i="219"/>
  <c r="O58" i="219"/>
  <c r="J58" i="219"/>
  <c r="BT57" i="219"/>
  <c r="BN57" i="219"/>
  <c r="BI57" i="219"/>
  <c r="BD57" i="219"/>
  <c r="AW57" i="219"/>
  <c r="AQ57" i="219"/>
  <c r="AL57" i="219"/>
  <c r="AG57" i="219"/>
  <c r="Z57" i="219"/>
  <c r="T57" i="219"/>
  <c r="O57" i="219"/>
  <c r="J57" i="219"/>
  <c r="BT56" i="219"/>
  <c r="BN56" i="219"/>
  <c r="BI56" i="219"/>
  <c r="BD56" i="219"/>
  <c r="AW56" i="219"/>
  <c r="AQ56" i="219"/>
  <c r="AL56" i="219"/>
  <c r="AG56" i="219"/>
  <c r="Z56" i="219"/>
  <c r="T56" i="219"/>
  <c r="O56" i="219"/>
  <c r="J56" i="219"/>
  <c r="BT55" i="219"/>
  <c r="BN55" i="219"/>
  <c r="BI55" i="219"/>
  <c r="BD55" i="219"/>
  <c r="AW55" i="219"/>
  <c r="AQ55" i="219"/>
  <c r="AL55" i="219"/>
  <c r="AG55" i="219"/>
  <c r="Z55" i="219"/>
  <c r="T55" i="219"/>
  <c r="O55" i="219"/>
  <c r="J55" i="219"/>
  <c r="BT54" i="219"/>
  <c r="BN54" i="219"/>
  <c r="BI54" i="219"/>
  <c r="BD54" i="219"/>
  <c r="AW54" i="219"/>
  <c r="AQ54" i="219"/>
  <c r="AL54" i="219"/>
  <c r="AG54" i="219"/>
  <c r="Z54" i="219"/>
  <c r="T54" i="219"/>
  <c r="O54" i="219"/>
  <c r="J54" i="219"/>
  <c r="J59" i="219" s="1"/>
  <c r="BT53" i="219"/>
  <c r="BN53" i="219"/>
  <c r="BI53" i="219"/>
  <c r="BD53" i="219"/>
  <c r="AW53" i="219"/>
  <c r="AQ53" i="219"/>
  <c r="AL53" i="219"/>
  <c r="AG53" i="219"/>
  <c r="Z53" i="219"/>
  <c r="T53" i="219"/>
  <c r="O53" i="219"/>
  <c r="J53" i="219"/>
  <c r="BT52" i="219"/>
  <c r="BN52" i="219"/>
  <c r="BN59" i="219" s="1"/>
  <c r="BI52" i="219"/>
  <c r="BD52" i="219"/>
  <c r="BD59" i="219" s="1"/>
  <c r="AW52" i="219"/>
  <c r="AQ52" i="219"/>
  <c r="AL52" i="219"/>
  <c r="AG52" i="219"/>
  <c r="Z52" i="219"/>
  <c r="T52" i="219"/>
  <c r="T59" i="219" s="1"/>
  <c r="O52" i="219"/>
  <c r="J52" i="219"/>
  <c r="BN51" i="219"/>
  <c r="BI51" i="219"/>
  <c r="BD51" i="219"/>
  <c r="AW51" i="219"/>
  <c r="AQ51" i="219"/>
  <c r="AL51" i="219"/>
  <c r="AG51" i="219"/>
  <c r="Z51" i="219"/>
  <c r="T51" i="219"/>
  <c r="O51" i="219"/>
  <c r="J51" i="219"/>
  <c r="BN50" i="219"/>
  <c r="BI50" i="219"/>
  <c r="BD50" i="219"/>
  <c r="AQ50" i="219"/>
  <c r="AL50" i="219"/>
  <c r="AG50" i="219"/>
  <c r="T50" i="219"/>
  <c r="O50" i="219"/>
  <c r="J50" i="219"/>
  <c r="BN49" i="219"/>
  <c r="BI49" i="219"/>
  <c r="BD49" i="219"/>
  <c r="AQ49" i="219"/>
  <c r="AL49" i="219"/>
  <c r="AG49" i="219"/>
  <c r="T49" i="219"/>
  <c r="O49" i="219"/>
  <c r="J49" i="219"/>
  <c r="BN48" i="219"/>
  <c r="BI48" i="219"/>
  <c r="BD48" i="219"/>
  <c r="AQ48" i="219"/>
  <c r="AL48" i="219"/>
  <c r="AG48" i="219"/>
  <c r="Z48" i="219"/>
  <c r="T48" i="219"/>
  <c r="O48" i="219"/>
  <c r="J48" i="219"/>
  <c r="BN47" i="219"/>
  <c r="BI47" i="219"/>
  <c r="BD47" i="219"/>
  <c r="AQ47" i="219"/>
  <c r="AL47" i="219"/>
  <c r="AG47" i="219"/>
  <c r="Z47" i="219"/>
  <c r="T47" i="219"/>
  <c r="O47" i="219"/>
  <c r="J47" i="219"/>
  <c r="BN46" i="219"/>
  <c r="BI46" i="219"/>
  <c r="BD46" i="219"/>
  <c r="AQ46" i="219"/>
  <c r="AL46" i="219"/>
  <c r="AG46" i="219"/>
  <c r="T46" i="219"/>
  <c r="O46" i="219"/>
  <c r="J46" i="219"/>
  <c r="BN45" i="219"/>
  <c r="BI45" i="219"/>
  <c r="BD45" i="219"/>
  <c r="AQ45" i="219"/>
  <c r="AL45" i="219"/>
  <c r="AG45" i="219"/>
  <c r="T45" i="219"/>
  <c r="O45" i="219"/>
  <c r="J45" i="219"/>
  <c r="BN44" i="219"/>
  <c r="BI44" i="219"/>
  <c r="BD44" i="219"/>
  <c r="AQ44" i="219"/>
  <c r="AL44" i="219"/>
  <c r="AG44" i="219"/>
  <c r="Z44" i="219"/>
  <c r="T44" i="219"/>
  <c r="O44" i="219"/>
  <c r="J44" i="219"/>
  <c r="BN43" i="219"/>
  <c r="BI43" i="219"/>
  <c r="BD43" i="219"/>
  <c r="AQ43" i="219"/>
  <c r="AL43" i="219"/>
  <c r="AG43" i="219"/>
  <c r="Z43" i="219"/>
  <c r="T43" i="219"/>
  <c r="O43" i="219"/>
  <c r="J43" i="219"/>
  <c r="BN42" i="219"/>
  <c r="BI42" i="219"/>
  <c r="BD42" i="219"/>
  <c r="AQ42" i="219"/>
  <c r="AL42" i="219"/>
  <c r="AG42" i="219"/>
  <c r="T42" i="219"/>
  <c r="O42" i="219"/>
  <c r="J42" i="219"/>
  <c r="BN41" i="219"/>
  <c r="BI41" i="219"/>
  <c r="BD41" i="219"/>
  <c r="AQ41" i="219"/>
  <c r="AQ59" i="219" s="1"/>
  <c r="AL41" i="219"/>
  <c r="AG41" i="219"/>
  <c r="T41" i="219"/>
  <c r="O41" i="219"/>
  <c r="J41" i="219"/>
  <c r="BN40" i="219"/>
  <c r="BI40" i="219"/>
  <c r="BD40" i="219"/>
  <c r="AV59" i="219"/>
  <c r="AQ40" i="219"/>
  <c r="AL40" i="219"/>
  <c r="AL59" i="219" s="1"/>
  <c r="AG40" i="219"/>
  <c r="AG59" i="219" s="1"/>
  <c r="T40" i="219"/>
  <c r="O40" i="219"/>
  <c r="O59" i="219" s="1"/>
  <c r="J40" i="219"/>
  <c r="BQ37" i="219"/>
  <c r="BM37" i="219"/>
  <c r="BL37" i="219"/>
  <c r="BL80" i="219" s="1"/>
  <c r="BK37" i="219"/>
  <c r="BK80" i="219" s="1"/>
  <c r="BJ37" i="219"/>
  <c r="BJ80" i="219" s="1"/>
  <c r="BI37" i="219"/>
  <c r="BH37" i="219"/>
  <c r="BG37" i="219"/>
  <c r="BG80" i="219" s="1"/>
  <c r="BF37" i="219"/>
  <c r="BF80" i="219" s="1"/>
  <c r="BE37" i="219"/>
  <c r="BC37" i="219"/>
  <c r="BC80" i="219" s="1"/>
  <c r="BB37" i="219"/>
  <c r="BB80" i="219" s="1"/>
  <c r="BA37" i="219"/>
  <c r="BA80" i="219" s="1"/>
  <c r="AZ37" i="219"/>
  <c r="AY37" i="219"/>
  <c r="AY80" i="219" s="1"/>
  <c r="AQ37" i="219"/>
  <c r="AP37" i="219"/>
  <c r="AP80" i="219" s="1"/>
  <c r="AO37" i="219"/>
  <c r="AN37" i="219"/>
  <c r="AN80" i="219" s="1"/>
  <c r="AM37" i="219"/>
  <c r="AK37" i="219"/>
  <c r="AK80" i="219" s="1"/>
  <c r="AJ37" i="219"/>
  <c r="AJ80" i="219" s="1"/>
  <c r="AI37" i="219"/>
  <c r="AI80" i="219" s="1"/>
  <c r="AH37" i="219"/>
  <c r="AH80" i="219" s="1"/>
  <c r="AF37" i="219"/>
  <c r="AE37" i="219"/>
  <c r="AE80" i="219" s="1"/>
  <c r="AD37" i="219"/>
  <c r="AD80" i="219" s="1"/>
  <c r="AC37" i="219"/>
  <c r="AC80" i="219" s="1"/>
  <c r="AB37" i="219"/>
  <c r="S37" i="219"/>
  <c r="S80" i="219" s="1"/>
  <c r="R37" i="219"/>
  <c r="R80" i="219" s="1"/>
  <c r="Q37" i="219"/>
  <c r="Q80" i="219" s="1"/>
  <c r="P37" i="219"/>
  <c r="N37" i="219"/>
  <c r="N80" i="219" s="1"/>
  <c r="M37" i="219"/>
  <c r="M80" i="219" s="1"/>
  <c r="L37" i="219"/>
  <c r="L80" i="219" s="1"/>
  <c r="K37" i="219"/>
  <c r="I37" i="219"/>
  <c r="I80" i="219" s="1"/>
  <c r="H37" i="219"/>
  <c r="G37" i="219"/>
  <c r="G80" i="219" s="1"/>
  <c r="F37" i="219"/>
  <c r="E37" i="219"/>
  <c r="E80" i="219" s="1"/>
  <c r="BN36" i="219"/>
  <c r="BI36" i="219"/>
  <c r="BD36" i="219"/>
  <c r="AQ36" i="219"/>
  <c r="AL36" i="219"/>
  <c r="AG36" i="219"/>
  <c r="T36" i="219"/>
  <c r="O36" i="219"/>
  <c r="J36" i="219"/>
  <c r="BN35" i="219"/>
  <c r="BI35" i="219"/>
  <c r="BD35" i="219"/>
  <c r="AQ35" i="219"/>
  <c r="AL35" i="219"/>
  <c r="AG35" i="219"/>
  <c r="T35" i="219"/>
  <c r="O35" i="219"/>
  <c r="J35" i="219"/>
  <c r="BN34" i="219"/>
  <c r="BI34" i="219"/>
  <c r="BD34" i="219"/>
  <c r="AQ34" i="219"/>
  <c r="AL34" i="219"/>
  <c r="AG34" i="219"/>
  <c r="T34" i="219"/>
  <c r="O34" i="219"/>
  <c r="J34" i="219"/>
  <c r="BS37" i="219"/>
  <c r="BR37" i="219"/>
  <c r="BO37" i="219"/>
  <c r="BN33" i="219"/>
  <c r="BI33" i="219"/>
  <c r="BD33" i="219"/>
  <c r="AU37" i="219"/>
  <c r="AS37" i="219"/>
  <c r="AQ33" i="219"/>
  <c r="AL33" i="219"/>
  <c r="AL37" i="219" s="1"/>
  <c r="AL80" i="219" s="1"/>
  <c r="AG33" i="219"/>
  <c r="AG37" i="219" s="1"/>
  <c r="Y37" i="219"/>
  <c r="W37" i="219"/>
  <c r="U37" i="219"/>
  <c r="T33" i="219"/>
  <c r="T37" i="219" s="1"/>
  <c r="O33" i="219"/>
  <c r="O37" i="219" s="1"/>
  <c r="O80" i="219" s="1"/>
  <c r="J33" i="219"/>
  <c r="J37" i="219" s="1"/>
  <c r="B30" i="219"/>
  <c r="BS29" i="219"/>
  <c r="BR29" i="219"/>
  <c r="BQ29" i="219"/>
  <c r="BP29" i="219"/>
  <c r="BO29" i="219"/>
  <c r="BM29" i="219"/>
  <c r="BM81" i="219" s="1"/>
  <c r="BL29" i="219"/>
  <c r="BL81" i="219" s="1"/>
  <c r="BK29" i="219"/>
  <c r="BJ29" i="219"/>
  <c r="BI29" i="219"/>
  <c r="BH29" i="219"/>
  <c r="BG29" i="219"/>
  <c r="BG81" i="219" s="1"/>
  <c r="BF29" i="219"/>
  <c r="BF81" i="219" s="1"/>
  <c r="BE29" i="219"/>
  <c r="BE81" i="219" s="1"/>
  <c r="BC29" i="219"/>
  <c r="BB29" i="219"/>
  <c r="BB81" i="219" s="1"/>
  <c r="BA29" i="219"/>
  <c r="AZ29" i="219"/>
  <c r="AY29" i="219"/>
  <c r="AV29" i="219"/>
  <c r="AU29" i="219"/>
  <c r="AT29" i="219"/>
  <c r="AS29" i="219"/>
  <c r="AR29" i="219"/>
  <c r="AP29" i="219"/>
  <c r="AP81" i="219" s="1"/>
  <c r="AO29" i="219"/>
  <c r="AO81" i="219" s="1"/>
  <c r="AN29" i="219"/>
  <c r="AM29" i="219"/>
  <c r="AK29" i="219"/>
  <c r="AK81" i="219" s="1"/>
  <c r="AJ29" i="219"/>
  <c r="AI29" i="219"/>
  <c r="AH29" i="219"/>
  <c r="AH81" i="219" s="1"/>
  <c r="AG29" i="219"/>
  <c r="AF29" i="219"/>
  <c r="AF81" i="219" s="1"/>
  <c r="AE29" i="219"/>
  <c r="AE81" i="219" s="1"/>
  <c r="AD29" i="219"/>
  <c r="AC29" i="219"/>
  <c r="AC81" i="219" s="1"/>
  <c r="AB29" i="219"/>
  <c r="Y29" i="219"/>
  <c r="X29" i="219"/>
  <c r="W29" i="219"/>
  <c r="V29" i="219"/>
  <c r="U29" i="219"/>
  <c r="S29" i="219"/>
  <c r="R29" i="219"/>
  <c r="Q29" i="219"/>
  <c r="P29" i="219"/>
  <c r="P81" i="219" s="1"/>
  <c r="O29" i="219"/>
  <c r="O60" i="219" s="1"/>
  <c r="O62" i="219" s="1"/>
  <c r="N29" i="219"/>
  <c r="N81" i="219" s="1"/>
  <c r="M29" i="219"/>
  <c r="L29" i="219"/>
  <c r="L81" i="219" s="1"/>
  <c r="K29" i="219"/>
  <c r="I29" i="219"/>
  <c r="I81" i="219" s="1"/>
  <c r="H29" i="219"/>
  <c r="G29" i="219"/>
  <c r="G81" i="219" s="1"/>
  <c r="F29" i="219"/>
  <c r="F81" i="219" s="1"/>
  <c r="E29" i="219"/>
  <c r="BT28" i="219"/>
  <c r="BN28" i="219"/>
  <c r="BI28" i="219"/>
  <c r="BD28" i="219"/>
  <c r="AW28" i="219"/>
  <c r="AQ28" i="219"/>
  <c r="AL28" i="219"/>
  <c r="AL29" i="219" s="1"/>
  <c r="AG28" i="219"/>
  <c r="Z28" i="219"/>
  <c r="T28" i="219"/>
  <c r="O28" i="219"/>
  <c r="J28" i="219"/>
  <c r="BT27" i="219"/>
  <c r="BN27" i="219"/>
  <c r="BI27" i="219"/>
  <c r="BD27" i="219"/>
  <c r="AW27" i="219"/>
  <c r="AQ27" i="219"/>
  <c r="AL27" i="219"/>
  <c r="AG27" i="219"/>
  <c r="Z27" i="219"/>
  <c r="T27" i="219"/>
  <c r="O27" i="219"/>
  <c r="J27" i="219"/>
  <c r="BT26" i="219"/>
  <c r="BT29" i="219" s="1"/>
  <c r="BN26" i="219"/>
  <c r="BN29" i="219" s="1"/>
  <c r="BI26" i="219"/>
  <c r="BD26" i="219"/>
  <c r="BD29" i="219" s="1"/>
  <c r="AW26" i="219"/>
  <c r="AW29" i="219" s="1"/>
  <c r="AQ26" i="219"/>
  <c r="AL26" i="219"/>
  <c r="AG26" i="219"/>
  <c r="Z26" i="219"/>
  <c r="Z29" i="219" s="1"/>
  <c r="T26" i="219"/>
  <c r="T29" i="219" s="1"/>
  <c r="O26" i="219"/>
  <c r="J26" i="219"/>
  <c r="J29" i="219" s="1"/>
  <c r="B24" i="219"/>
  <c r="B22" i="219"/>
  <c r="BS21" i="219"/>
  <c r="BO21" i="219"/>
  <c r="BK21" i="219"/>
  <c r="BC21" i="219"/>
  <c r="AY21" i="219"/>
  <c r="AT21" i="219"/>
  <c r="AH21" i="219"/>
  <c r="AH83" i="219" s="1"/>
  <c r="AH85" i="219" s="1"/>
  <c r="AD21" i="219"/>
  <c r="V21" i="219"/>
  <c r="U21" i="219"/>
  <c r="M21" i="219"/>
  <c r="K21" i="219"/>
  <c r="BT20" i="219"/>
  <c r="BN20" i="219"/>
  <c r="BI20" i="219"/>
  <c r="BD20" i="219"/>
  <c r="AW20" i="219"/>
  <c r="AQ20" i="219"/>
  <c r="AL20" i="219"/>
  <c r="AG20" i="219"/>
  <c r="Z20" i="219"/>
  <c r="T20" i="219"/>
  <c r="O20" i="219"/>
  <c r="J20" i="219"/>
  <c r="BT19" i="219"/>
  <c r="BN19" i="219"/>
  <c r="BI19" i="219"/>
  <c r="BD19" i="219"/>
  <c r="AW19" i="219"/>
  <c r="AQ19" i="219"/>
  <c r="AL19" i="219"/>
  <c r="AG19" i="219"/>
  <c r="Z19" i="219"/>
  <c r="T19" i="219"/>
  <c r="O19" i="219"/>
  <c r="J19" i="219"/>
  <c r="BR18" i="219"/>
  <c r="BR21" i="219" s="1"/>
  <c r="BJ18" i="219"/>
  <c r="BJ21" i="219" s="1"/>
  <c r="BJ83" i="219" s="1"/>
  <c r="BJ85" i="219" s="1"/>
  <c r="BB18" i="219"/>
  <c r="BB21" i="219" s="1"/>
  <c r="AZ18" i="219"/>
  <c r="AZ21" i="219" s="1"/>
  <c r="AM18" i="219"/>
  <c r="AM21" i="219" s="1"/>
  <c r="AK18" i="219"/>
  <c r="AK21" i="219" s="1"/>
  <c r="AC18" i="219"/>
  <c r="AC21" i="219" s="1"/>
  <c r="AB18" i="219"/>
  <c r="AB21" i="219" s="1"/>
  <c r="V18" i="219"/>
  <c r="S18" i="219"/>
  <c r="S21" i="219" s="1"/>
  <c r="R18" i="219"/>
  <c r="R21" i="219" s="1"/>
  <c r="R83" i="219" s="1"/>
  <c r="R85" i="219" s="1"/>
  <c r="Q18" i="219"/>
  <c r="Q21" i="219" s="1"/>
  <c r="M18" i="219"/>
  <c r="K18" i="219"/>
  <c r="I18" i="219"/>
  <c r="I21" i="219" s="1"/>
  <c r="I83" i="219" s="1"/>
  <c r="I85" i="219" s="1"/>
  <c r="E18" i="219"/>
  <c r="E21" i="219" s="1"/>
  <c r="BT17" i="219"/>
  <c r="BN17" i="219"/>
  <c r="BI17" i="219"/>
  <c r="BD17" i="219"/>
  <c r="AW17" i="219"/>
  <c r="AQ17" i="219"/>
  <c r="AL17" i="219"/>
  <c r="AG17" i="219"/>
  <c r="Z17" i="219"/>
  <c r="T17" i="219"/>
  <c r="O17" i="219"/>
  <c r="J17" i="219"/>
  <c r="BT16" i="219"/>
  <c r="BN16" i="219"/>
  <c r="BI16" i="219"/>
  <c r="BD16" i="219"/>
  <c r="AW16" i="219"/>
  <c r="AQ16" i="219"/>
  <c r="AL16" i="219"/>
  <c r="AG16" i="219"/>
  <c r="Z16" i="219"/>
  <c r="T16" i="219"/>
  <c r="O16" i="219"/>
  <c r="J16" i="219"/>
  <c r="BS15" i="219"/>
  <c r="BS18" i="219" s="1"/>
  <c r="BR15" i="219"/>
  <c r="BQ15" i="219"/>
  <c r="BQ18" i="219" s="1"/>
  <c r="BQ21" i="219" s="1"/>
  <c r="BP15" i="219"/>
  <c r="BP18" i="219" s="1"/>
  <c r="BP21" i="219" s="1"/>
  <c r="BO15" i="219"/>
  <c r="BO18" i="219" s="1"/>
  <c r="BM15" i="219"/>
  <c r="BM18" i="219" s="1"/>
  <c r="BM21" i="219" s="1"/>
  <c r="BM83" i="219" s="1"/>
  <c r="BM85" i="219" s="1"/>
  <c r="BL15" i="219"/>
  <c r="BL18" i="219" s="1"/>
  <c r="BL21" i="219" s="1"/>
  <c r="BL83" i="219" s="1"/>
  <c r="BL85" i="219" s="1"/>
  <c r="BK15" i="219"/>
  <c r="BK18" i="219" s="1"/>
  <c r="BJ15" i="219"/>
  <c r="BH15" i="219"/>
  <c r="BH18" i="219" s="1"/>
  <c r="BH21" i="219" s="1"/>
  <c r="BH83" i="219" s="1"/>
  <c r="BH85" i="219" s="1"/>
  <c r="BG15" i="219"/>
  <c r="BG18" i="219" s="1"/>
  <c r="BG21" i="219" s="1"/>
  <c r="BG83" i="219" s="1"/>
  <c r="BG85" i="219" s="1"/>
  <c r="BF15" i="219"/>
  <c r="BF18" i="219" s="1"/>
  <c r="BF21" i="219" s="1"/>
  <c r="BF83" i="219" s="1"/>
  <c r="BF85" i="219" s="1"/>
  <c r="BE15" i="219"/>
  <c r="BE18" i="219" s="1"/>
  <c r="BE21" i="219" s="1"/>
  <c r="BE83" i="219" s="1"/>
  <c r="BE85" i="219" s="1"/>
  <c r="BC15" i="219"/>
  <c r="BC18" i="219" s="1"/>
  <c r="BB15" i="219"/>
  <c r="BA15" i="219"/>
  <c r="BA18" i="219" s="1"/>
  <c r="BA21" i="219" s="1"/>
  <c r="AZ15" i="219"/>
  <c r="AY15" i="219"/>
  <c r="AY18" i="219" s="1"/>
  <c r="AV15" i="219"/>
  <c r="AV18" i="219" s="1"/>
  <c r="AV21" i="219" s="1"/>
  <c r="AU15" i="219"/>
  <c r="AU18" i="219" s="1"/>
  <c r="AU21" i="219" s="1"/>
  <c r="AT15" i="219"/>
  <c r="AT18" i="219" s="1"/>
  <c r="AS15" i="219"/>
  <c r="AS18" i="219" s="1"/>
  <c r="AS21" i="219" s="1"/>
  <c r="AR15" i="219"/>
  <c r="AR18" i="219" s="1"/>
  <c r="AR21" i="219" s="1"/>
  <c r="AQ15" i="219"/>
  <c r="AQ18" i="219" s="1"/>
  <c r="AQ21" i="219" s="1"/>
  <c r="AP15" i="219"/>
  <c r="AP18" i="219" s="1"/>
  <c r="AP21" i="219" s="1"/>
  <c r="AP83" i="219" s="1"/>
  <c r="AP85" i="219" s="1"/>
  <c r="AO15" i="219"/>
  <c r="AO18" i="219" s="1"/>
  <c r="AO21" i="219" s="1"/>
  <c r="AN15" i="219"/>
  <c r="AN18" i="219" s="1"/>
  <c r="AN21" i="219" s="1"/>
  <c r="AM15" i="219"/>
  <c r="AK15" i="219"/>
  <c r="AJ15" i="219"/>
  <c r="AJ18" i="219" s="1"/>
  <c r="AJ21" i="219" s="1"/>
  <c r="AI15" i="219"/>
  <c r="AI18" i="219" s="1"/>
  <c r="AI21" i="219" s="1"/>
  <c r="AI83" i="219" s="1"/>
  <c r="AI85" i="219" s="1"/>
  <c r="AH15" i="219"/>
  <c r="AH18" i="219" s="1"/>
  <c r="AF15" i="219"/>
  <c r="AF18" i="219" s="1"/>
  <c r="AF21" i="219" s="1"/>
  <c r="AF83" i="219" s="1"/>
  <c r="AF85" i="219" s="1"/>
  <c r="AE15" i="219"/>
  <c r="AE18" i="219" s="1"/>
  <c r="AE21" i="219" s="1"/>
  <c r="AE83" i="219" s="1"/>
  <c r="AE85" i="219" s="1"/>
  <c r="AD15" i="219"/>
  <c r="AD18" i="219" s="1"/>
  <c r="AC15" i="219"/>
  <c r="AB15" i="219"/>
  <c r="Z15" i="219"/>
  <c r="Z18" i="219" s="1"/>
  <c r="Z21" i="219" s="1"/>
  <c r="Y15" i="219"/>
  <c r="Y18" i="219" s="1"/>
  <c r="Y21" i="219" s="1"/>
  <c r="X15" i="219"/>
  <c r="X18" i="219" s="1"/>
  <c r="X21" i="219" s="1"/>
  <c r="W15" i="219"/>
  <c r="W18" i="219" s="1"/>
  <c r="W21" i="219" s="1"/>
  <c r="V15" i="219"/>
  <c r="U15" i="219"/>
  <c r="U18" i="219" s="1"/>
  <c r="S15" i="219"/>
  <c r="R15" i="219"/>
  <c r="Q15" i="219"/>
  <c r="P15" i="219"/>
  <c r="P18" i="219" s="1"/>
  <c r="P21" i="219" s="1"/>
  <c r="P83" i="219" s="1"/>
  <c r="P85" i="219" s="1"/>
  <c r="N15" i="219"/>
  <c r="N18" i="219" s="1"/>
  <c r="N21" i="219" s="1"/>
  <c r="N83" i="219" s="1"/>
  <c r="N85" i="219" s="1"/>
  <c r="M15" i="219"/>
  <c r="L15" i="219"/>
  <c r="L18" i="219" s="1"/>
  <c r="L21" i="219" s="1"/>
  <c r="L83" i="219" s="1"/>
  <c r="L85" i="219" s="1"/>
  <c r="K15" i="219"/>
  <c r="I15" i="219"/>
  <c r="H15" i="219"/>
  <c r="H18" i="219" s="1"/>
  <c r="H21" i="219" s="1"/>
  <c r="H83" i="219" s="1"/>
  <c r="H85" i="219" s="1"/>
  <c r="G15" i="219"/>
  <c r="G18" i="219" s="1"/>
  <c r="G21" i="219" s="1"/>
  <c r="G83" i="219" s="1"/>
  <c r="G85" i="219" s="1"/>
  <c r="F15" i="219"/>
  <c r="F18" i="219" s="1"/>
  <c r="F21" i="219" s="1"/>
  <c r="E15" i="219"/>
  <c r="BT14" i="219"/>
  <c r="BN14" i="219"/>
  <c r="BI14" i="219"/>
  <c r="BD14" i="219"/>
  <c r="AW14" i="219"/>
  <c r="AW15" i="219" s="1"/>
  <c r="AW18" i="219" s="1"/>
  <c r="AW21" i="219" s="1"/>
  <c r="AQ14" i="219"/>
  <c r="AL14" i="219"/>
  <c r="AG14" i="219"/>
  <c r="Z14" i="219"/>
  <c r="T14" i="219"/>
  <c r="O14" i="219"/>
  <c r="J14" i="219"/>
  <c r="J15" i="219" s="1"/>
  <c r="J18" i="219" s="1"/>
  <c r="J21" i="219" s="1"/>
  <c r="BT13" i="219"/>
  <c r="BT15" i="219" s="1"/>
  <c r="BT18" i="219" s="1"/>
  <c r="BT21" i="219" s="1"/>
  <c r="BN13" i="219"/>
  <c r="BI13" i="219"/>
  <c r="BD13" i="219"/>
  <c r="AW13" i="219"/>
  <c r="AQ13" i="219"/>
  <c r="AL13" i="219"/>
  <c r="AG13" i="219"/>
  <c r="AG15" i="219" s="1"/>
  <c r="AG18" i="219" s="1"/>
  <c r="AG21" i="219" s="1"/>
  <c r="Z13" i="219"/>
  <c r="T13" i="219"/>
  <c r="O13" i="219"/>
  <c r="J13" i="219"/>
  <c r="BT12" i="219"/>
  <c r="BN12" i="219"/>
  <c r="BN15" i="219" s="1"/>
  <c r="BN18" i="219" s="1"/>
  <c r="BN21" i="219" s="1"/>
  <c r="BI12" i="219"/>
  <c r="BI15" i="219" s="1"/>
  <c r="BI18" i="219" s="1"/>
  <c r="BI21" i="219" s="1"/>
  <c r="BD12" i="219"/>
  <c r="BD15" i="219" s="1"/>
  <c r="BD18" i="219" s="1"/>
  <c r="BD21" i="219" s="1"/>
  <c r="AW12" i="219"/>
  <c r="AQ12" i="219"/>
  <c r="AL12" i="219"/>
  <c r="AL15" i="219" s="1"/>
  <c r="AL18" i="219" s="1"/>
  <c r="AL21" i="219" s="1"/>
  <c r="AG12" i="219"/>
  <c r="Z12" i="219"/>
  <c r="T12" i="219"/>
  <c r="T15" i="219" s="1"/>
  <c r="T18" i="219" s="1"/>
  <c r="T21" i="219" s="1"/>
  <c r="O12" i="219"/>
  <c r="O15" i="219" s="1"/>
  <c r="O18" i="219" s="1"/>
  <c r="O21" i="219" s="1"/>
  <c r="J12" i="219"/>
  <c r="B11" i="219"/>
  <c r="B12" i="219" s="1"/>
  <c r="BT91" i="211"/>
  <c r="BN91" i="211"/>
  <c r="BI91" i="211"/>
  <c r="BD91" i="211"/>
  <c r="AW91" i="211"/>
  <c r="AQ91" i="211"/>
  <c r="AL91" i="211"/>
  <c r="AG91" i="211"/>
  <c r="Z91" i="211"/>
  <c r="T91" i="211"/>
  <c r="O91" i="211"/>
  <c r="J91" i="211"/>
  <c r="BT84" i="211"/>
  <c r="BN84" i="211"/>
  <c r="BI84" i="211"/>
  <c r="BD84" i="211"/>
  <c r="AW84" i="211"/>
  <c r="AQ84" i="211"/>
  <c r="AL84" i="211"/>
  <c r="AG84" i="211"/>
  <c r="Z84" i="211"/>
  <c r="T84" i="211"/>
  <c r="O84" i="211"/>
  <c r="J84" i="211"/>
  <c r="AJ80" i="211"/>
  <c r="BT79" i="211"/>
  <c r="BN79" i="211"/>
  <c r="BI79" i="211"/>
  <c r="BD79" i="211"/>
  <c r="AW79" i="211"/>
  <c r="AQ79" i="211"/>
  <c r="AL79" i="211"/>
  <c r="AG79" i="211"/>
  <c r="Z79" i="211"/>
  <c r="T79" i="211"/>
  <c r="O79" i="211"/>
  <c r="J79" i="211"/>
  <c r="BR78" i="211"/>
  <c r="BQ78" i="211"/>
  <c r="BP78" i="211"/>
  <c r="BO78" i="211"/>
  <c r="BM78" i="211"/>
  <c r="BL78" i="211"/>
  <c r="BK78" i="211"/>
  <c r="BK80" i="211" s="1"/>
  <c r="BJ78" i="211"/>
  <c r="BI78" i="211"/>
  <c r="BH78" i="211"/>
  <c r="BG78" i="211"/>
  <c r="BF78" i="211"/>
  <c r="BE78" i="211"/>
  <c r="BC78" i="211"/>
  <c r="BC80" i="211" s="1"/>
  <c r="BB78" i="211"/>
  <c r="BA78" i="211"/>
  <c r="BA80" i="211" s="1"/>
  <c r="AZ78" i="211"/>
  <c r="AY78" i="211"/>
  <c r="AU78" i="211"/>
  <c r="AT78" i="211"/>
  <c r="AS78" i="211"/>
  <c r="AR78" i="211"/>
  <c r="AP78" i="211"/>
  <c r="AO78" i="211"/>
  <c r="AN78" i="211"/>
  <c r="AM78" i="211"/>
  <c r="AK78" i="211"/>
  <c r="AJ78" i="211"/>
  <c r="AI78" i="211"/>
  <c r="AH78" i="211"/>
  <c r="AF78" i="211"/>
  <c r="AE78" i="211"/>
  <c r="AD78" i="211"/>
  <c r="AD80" i="211" s="1"/>
  <c r="AC78" i="211"/>
  <c r="AB78" i="211"/>
  <c r="Y78" i="211"/>
  <c r="X78" i="211"/>
  <c r="W78" i="211"/>
  <c r="V78" i="211"/>
  <c r="U78" i="211"/>
  <c r="S78" i="211"/>
  <c r="R78" i="211"/>
  <c r="Q78" i="211"/>
  <c r="P78" i="211"/>
  <c r="N78" i="211"/>
  <c r="M78" i="211"/>
  <c r="M80" i="211" s="1"/>
  <c r="L78" i="211"/>
  <c r="K78" i="211"/>
  <c r="I78" i="211"/>
  <c r="H78" i="211"/>
  <c r="G78" i="211"/>
  <c r="F78" i="211"/>
  <c r="E78" i="211"/>
  <c r="E80" i="211" s="1"/>
  <c r="BT74" i="211"/>
  <c r="BN74" i="211"/>
  <c r="BI74" i="211"/>
  <c r="BD74" i="211"/>
  <c r="AW74" i="211"/>
  <c r="AQ74" i="211"/>
  <c r="AL74" i="211"/>
  <c r="AG74" i="211"/>
  <c r="Z74" i="211"/>
  <c r="T74" i="211"/>
  <c r="O74" i="211"/>
  <c r="J74" i="211"/>
  <c r="BT73" i="211"/>
  <c r="BN73" i="211"/>
  <c r="BI73" i="211"/>
  <c r="BD73" i="211"/>
  <c r="AW73" i="211"/>
  <c r="AQ73" i="211"/>
  <c r="AL73" i="211"/>
  <c r="AG73" i="211"/>
  <c r="Z73" i="211"/>
  <c r="T73" i="211"/>
  <c r="O73" i="211"/>
  <c r="J73" i="211"/>
  <c r="BT72" i="211"/>
  <c r="BN72" i="211"/>
  <c r="BI72" i="211"/>
  <c r="BD72" i="211"/>
  <c r="AW72" i="211"/>
  <c r="AQ72" i="211"/>
  <c r="AL72" i="211"/>
  <c r="AG72" i="211"/>
  <c r="Z72" i="211"/>
  <c r="T72" i="211"/>
  <c r="O72" i="211"/>
  <c r="J72" i="211"/>
  <c r="BT71" i="211"/>
  <c r="BT78" i="211" s="1"/>
  <c r="BN71" i="211"/>
  <c r="BN78" i="211" s="1"/>
  <c r="BI71" i="211"/>
  <c r="BD71" i="211"/>
  <c r="BD78" i="211" s="1"/>
  <c r="AQ71" i="211"/>
  <c r="AQ78" i="211" s="1"/>
  <c r="AL71" i="211"/>
  <c r="AL78" i="211" s="1"/>
  <c r="AG71" i="211"/>
  <c r="AG78" i="211" s="1"/>
  <c r="Z71" i="211"/>
  <c r="Z78" i="211" s="1"/>
  <c r="T71" i="211"/>
  <c r="T78" i="211" s="1"/>
  <c r="O71" i="211"/>
  <c r="O78" i="211" s="1"/>
  <c r="J71" i="211"/>
  <c r="J78" i="211" s="1"/>
  <c r="B69" i="211"/>
  <c r="BS68" i="211"/>
  <c r="BR68" i="211"/>
  <c r="BQ68" i="211"/>
  <c r="BP68" i="211"/>
  <c r="BO68" i="211"/>
  <c r="BM68" i="211"/>
  <c r="BL68" i="211"/>
  <c r="BK68" i="211"/>
  <c r="BJ68" i="211"/>
  <c r="BH68" i="211"/>
  <c r="BG68" i="211"/>
  <c r="BF68" i="211"/>
  <c r="BE68" i="211"/>
  <c r="BC68" i="211"/>
  <c r="BB68" i="211"/>
  <c r="BA68" i="211"/>
  <c r="AZ68" i="211"/>
  <c r="AV68" i="211"/>
  <c r="AU68" i="211"/>
  <c r="AT68" i="211"/>
  <c r="AS68" i="211"/>
  <c r="AR68" i="211"/>
  <c r="AP68" i="211"/>
  <c r="AO68" i="211"/>
  <c r="AN68" i="211"/>
  <c r="AM68" i="211"/>
  <c r="AK68" i="211"/>
  <c r="AJ68" i="211"/>
  <c r="AI68" i="211"/>
  <c r="AH68" i="211"/>
  <c r="AF68" i="211"/>
  <c r="AE68" i="211"/>
  <c r="AD68" i="211"/>
  <c r="AC68" i="211"/>
  <c r="Y68" i="211"/>
  <c r="X68" i="211"/>
  <c r="W68" i="211"/>
  <c r="U68" i="211"/>
  <c r="T68" i="211"/>
  <c r="S68" i="211"/>
  <c r="R68" i="211"/>
  <c r="Q68" i="211"/>
  <c r="P68" i="211"/>
  <c r="N68" i="211"/>
  <c r="M68" i="211"/>
  <c r="L68" i="211"/>
  <c r="K68" i="211"/>
  <c r="I68" i="211"/>
  <c r="H68" i="211"/>
  <c r="G68" i="211"/>
  <c r="F68" i="211"/>
  <c r="BT67" i="211"/>
  <c r="BN67" i="211"/>
  <c r="BI67" i="211"/>
  <c r="BD67" i="211"/>
  <c r="AW67" i="211"/>
  <c r="AQ67" i="211"/>
  <c r="AL67" i="211"/>
  <c r="AG67" i="211"/>
  <c r="Z67" i="211"/>
  <c r="T67" i="211"/>
  <c r="O67" i="211"/>
  <c r="J67" i="211"/>
  <c r="BT66" i="211"/>
  <c r="BN66" i="211"/>
  <c r="BI66" i="211"/>
  <c r="BD66" i="211"/>
  <c r="AW66" i="211"/>
  <c r="AQ66" i="211"/>
  <c r="AL66" i="211"/>
  <c r="AG66" i="211"/>
  <c r="Z66" i="211"/>
  <c r="T66" i="211"/>
  <c r="O66" i="211"/>
  <c r="J66" i="211"/>
  <c r="BN65" i="211"/>
  <c r="BI65" i="211"/>
  <c r="BD65" i="211"/>
  <c r="AQ65" i="211"/>
  <c r="AL65" i="211"/>
  <c r="AG65" i="211"/>
  <c r="T65" i="211"/>
  <c r="O65" i="211"/>
  <c r="J65" i="211"/>
  <c r="E65" i="211"/>
  <c r="E68" i="211" s="1"/>
  <c r="BT64" i="211"/>
  <c r="BN64" i="211"/>
  <c r="BN68" i="211" s="1"/>
  <c r="BI64" i="211"/>
  <c r="BI68" i="211" s="1"/>
  <c r="BD64" i="211"/>
  <c r="BD68" i="211" s="1"/>
  <c r="AW64" i="211"/>
  <c r="AQ64" i="211"/>
  <c r="AL64" i="211"/>
  <c r="AL68" i="211" s="1"/>
  <c r="AG64" i="211"/>
  <c r="Z64" i="211"/>
  <c r="T64" i="211"/>
  <c r="O64" i="211"/>
  <c r="O68" i="211" s="1"/>
  <c r="J64" i="211"/>
  <c r="J68" i="211" s="1"/>
  <c r="B63" i="211"/>
  <c r="BM62" i="211"/>
  <c r="BL62" i="211"/>
  <c r="BK62" i="211"/>
  <c r="BJ62" i="211"/>
  <c r="BH62" i="211"/>
  <c r="BG62" i="211"/>
  <c r="BF62" i="211"/>
  <c r="BE62" i="211"/>
  <c r="BC62" i="211"/>
  <c r="BB62" i="211"/>
  <c r="BA62" i="211"/>
  <c r="AZ62" i="211"/>
  <c r="AP62" i="211"/>
  <c r="AO62" i="211"/>
  <c r="AN62" i="211"/>
  <c r="AM62" i="211"/>
  <c r="AK62" i="211"/>
  <c r="AJ62" i="211"/>
  <c r="AI62" i="211"/>
  <c r="AH62" i="211"/>
  <c r="AF62" i="211"/>
  <c r="AE62" i="211"/>
  <c r="AD62" i="211"/>
  <c r="AC62" i="211"/>
  <c r="S62" i="211"/>
  <c r="R62" i="211"/>
  <c r="Q62" i="211"/>
  <c r="P62" i="211"/>
  <c r="N62" i="211"/>
  <c r="M62" i="211"/>
  <c r="L62" i="211"/>
  <c r="K62" i="211"/>
  <c r="I62" i="211"/>
  <c r="H62" i="211"/>
  <c r="G62" i="211"/>
  <c r="F62" i="211"/>
  <c r="BT61" i="211"/>
  <c r="BN61" i="211"/>
  <c r="BI61" i="211"/>
  <c r="BD61" i="211"/>
  <c r="AY61" i="211"/>
  <c r="AY65" i="211" s="1"/>
  <c r="AY68" i="211" s="1"/>
  <c r="AW61" i="211"/>
  <c r="AQ61" i="211"/>
  <c r="AL61" i="211"/>
  <c r="AG61" i="211"/>
  <c r="AB61" i="211"/>
  <c r="AB65" i="211" s="1"/>
  <c r="AB68" i="211" s="1"/>
  <c r="Z61" i="211"/>
  <c r="T61" i="211"/>
  <c r="O61" i="211"/>
  <c r="J61" i="211"/>
  <c r="E61" i="211"/>
  <c r="AY60" i="211"/>
  <c r="AY62" i="211" s="1"/>
  <c r="BM59" i="211"/>
  <c r="BL59" i="211"/>
  <c r="BK59" i="211"/>
  <c r="BJ59" i="211"/>
  <c r="BH59" i="211"/>
  <c r="BG59" i="211"/>
  <c r="BF59" i="211"/>
  <c r="BF81" i="211" s="1"/>
  <c r="BE59" i="211"/>
  <c r="BC59" i="211"/>
  <c r="BB59" i="211"/>
  <c r="BA59" i="211"/>
  <c r="AZ59" i="211"/>
  <c r="AY59" i="211"/>
  <c r="AP59" i="211"/>
  <c r="AO59" i="211"/>
  <c r="AO81" i="211" s="1"/>
  <c r="AN59" i="211"/>
  <c r="AM59" i="211"/>
  <c r="AK59" i="211"/>
  <c r="AJ59" i="211"/>
  <c r="AI59" i="211"/>
  <c r="AH59" i="211"/>
  <c r="AF59" i="211"/>
  <c r="AE59" i="211"/>
  <c r="AD59" i="211"/>
  <c r="AC59" i="211"/>
  <c r="AB59" i="211"/>
  <c r="S59" i="211"/>
  <c r="R59" i="211"/>
  <c r="Q59" i="211"/>
  <c r="P59" i="211"/>
  <c r="P81" i="211" s="1"/>
  <c r="N59" i="211"/>
  <c r="M59" i="211"/>
  <c r="L59" i="211"/>
  <c r="K59" i="211"/>
  <c r="I59" i="211"/>
  <c r="H59" i="211"/>
  <c r="H81" i="211" s="1"/>
  <c r="G59" i="211"/>
  <c r="F59" i="211"/>
  <c r="E59" i="211"/>
  <c r="BN58" i="211"/>
  <c r="BI58" i="211"/>
  <c r="BD58" i="211"/>
  <c r="AQ58" i="211"/>
  <c r="AL58" i="211"/>
  <c r="AG58" i="211"/>
  <c r="T58" i="211"/>
  <c r="O58" i="211"/>
  <c r="J58" i="211"/>
  <c r="BT57" i="211"/>
  <c r="BN57" i="211"/>
  <c r="BI57" i="211"/>
  <c r="BD57" i="211"/>
  <c r="AW57" i="211"/>
  <c r="AQ57" i="211"/>
  <c r="AL57" i="211"/>
  <c r="AG57" i="211"/>
  <c r="Z57" i="211"/>
  <c r="T57" i="211"/>
  <c r="O57" i="211"/>
  <c r="J57" i="211"/>
  <c r="BT56" i="211"/>
  <c r="BN56" i="211"/>
  <c r="BN59" i="211" s="1"/>
  <c r="BI56" i="211"/>
  <c r="BD56" i="211"/>
  <c r="AW56" i="211"/>
  <c r="AQ56" i="211"/>
  <c r="AL56" i="211"/>
  <c r="AG56" i="211"/>
  <c r="Z56" i="211"/>
  <c r="T56" i="211"/>
  <c r="O56" i="211"/>
  <c r="J56" i="211"/>
  <c r="BT55" i="211"/>
  <c r="BN55" i="211"/>
  <c r="BI55" i="211"/>
  <c r="BD55" i="211"/>
  <c r="AW55" i="211"/>
  <c r="AQ55" i="211"/>
  <c r="AL55" i="211"/>
  <c r="AG55" i="211"/>
  <c r="Z55" i="211"/>
  <c r="T55" i="211"/>
  <c r="O55" i="211"/>
  <c r="J55" i="211"/>
  <c r="BT54" i="211"/>
  <c r="BN54" i="211"/>
  <c r="BI54" i="211"/>
  <c r="BD54" i="211"/>
  <c r="AW54" i="211"/>
  <c r="AQ54" i="211"/>
  <c r="AL54" i="211"/>
  <c r="AG54" i="211"/>
  <c r="Z54" i="211"/>
  <c r="T54" i="211"/>
  <c r="O54" i="211"/>
  <c r="J54" i="211"/>
  <c r="BT53" i="211"/>
  <c r="BN53" i="211"/>
  <c r="BI53" i="211"/>
  <c r="BD53" i="211"/>
  <c r="AW53" i="211"/>
  <c r="AQ53" i="211"/>
  <c r="AL53" i="211"/>
  <c r="AG53" i="211"/>
  <c r="Z53" i="211"/>
  <c r="T53" i="211"/>
  <c r="O53" i="211"/>
  <c r="J53" i="211"/>
  <c r="BT52" i="211"/>
  <c r="BN52" i="211"/>
  <c r="BI52" i="211"/>
  <c r="BD52" i="211"/>
  <c r="BD59" i="211" s="1"/>
  <c r="AW52" i="211"/>
  <c r="AQ52" i="211"/>
  <c r="AL52" i="211"/>
  <c r="AG52" i="211"/>
  <c r="Z52" i="211"/>
  <c r="T52" i="211"/>
  <c r="T59" i="211" s="1"/>
  <c r="O52" i="211"/>
  <c r="J52" i="211"/>
  <c r="BN51" i="211"/>
  <c r="BI51" i="211"/>
  <c r="BD51" i="211"/>
  <c r="AQ51" i="211"/>
  <c r="AL51" i="211"/>
  <c r="AG51" i="211"/>
  <c r="T51" i="211"/>
  <c r="O51" i="211"/>
  <c r="J51" i="211"/>
  <c r="BN50" i="211"/>
  <c r="BI50" i="211"/>
  <c r="BD50" i="211"/>
  <c r="AQ50" i="211"/>
  <c r="AL50" i="211"/>
  <c r="AG50" i="211"/>
  <c r="T50" i="211"/>
  <c r="O50" i="211"/>
  <c r="J50" i="211"/>
  <c r="BN49" i="211"/>
  <c r="BI49" i="211"/>
  <c r="BD49" i="211"/>
  <c r="AQ49" i="211"/>
  <c r="AL49" i="211"/>
  <c r="AG49" i="211"/>
  <c r="T49" i="211"/>
  <c r="O49" i="211"/>
  <c r="J49" i="211"/>
  <c r="BN48" i="211"/>
  <c r="BI48" i="211"/>
  <c r="BD48" i="211"/>
  <c r="AQ48" i="211"/>
  <c r="AL48" i="211"/>
  <c r="AG48" i="211"/>
  <c r="T48" i="211"/>
  <c r="O48" i="211"/>
  <c r="J48" i="211"/>
  <c r="BN47" i="211"/>
  <c r="BI47" i="211"/>
  <c r="BD47" i="211"/>
  <c r="AQ47" i="211"/>
  <c r="AL47" i="211"/>
  <c r="AG47" i="211"/>
  <c r="T47" i="211"/>
  <c r="O47" i="211"/>
  <c r="J47" i="211"/>
  <c r="BN46" i="211"/>
  <c r="BI46" i="211"/>
  <c r="BD46" i="211"/>
  <c r="AQ46" i="211"/>
  <c r="AL46" i="211"/>
  <c r="AG46" i="211"/>
  <c r="T46" i="211"/>
  <c r="O46" i="211"/>
  <c r="J46" i="211"/>
  <c r="BN45" i="211"/>
  <c r="BI45" i="211"/>
  <c r="BD45" i="211"/>
  <c r="AQ45" i="211"/>
  <c r="AL45" i="211"/>
  <c r="AG45" i="211"/>
  <c r="T45" i="211"/>
  <c r="O45" i="211"/>
  <c r="J45" i="211"/>
  <c r="BN44" i="211"/>
  <c r="BI44" i="211"/>
  <c r="BD44" i="211"/>
  <c r="AQ44" i="211"/>
  <c r="AL44" i="211"/>
  <c r="AG44" i="211"/>
  <c r="T44" i="211"/>
  <c r="O44" i="211"/>
  <c r="J44" i="211"/>
  <c r="BN43" i="211"/>
  <c r="BI43" i="211"/>
  <c r="BD43" i="211"/>
  <c r="AQ43" i="211"/>
  <c r="AL43" i="211"/>
  <c r="AG43" i="211"/>
  <c r="T43" i="211"/>
  <c r="O43" i="211"/>
  <c r="J43" i="211"/>
  <c r="BN42" i="211"/>
  <c r="BI42" i="211"/>
  <c r="BD42" i="211"/>
  <c r="AQ42" i="211"/>
  <c r="AL42" i="211"/>
  <c r="AG42" i="211"/>
  <c r="T42" i="211"/>
  <c r="O42" i="211"/>
  <c r="J42" i="211"/>
  <c r="BN41" i="211"/>
  <c r="BI41" i="211"/>
  <c r="BD41" i="211"/>
  <c r="AQ41" i="211"/>
  <c r="AL41" i="211"/>
  <c r="AG41" i="211"/>
  <c r="T41" i="211"/>
  <c r="O41" i="211"/>
  <c r="J41" i="211"/>
  <c r="BR59" i="211"/>
  <c r="BQ59" i="211"/>
  <c r="BN40" i="211"/>
  <c r="BI40" i="211"/>
  <c r="BD40" i="211"/>
  <c r="AQ40" i="211"/>
  <c r="AL40" i="211"/>
  <c r="AG40" i="211"/>
  <c r="AG59" i="211" s="1"/>
  <c r="T40" i="211"/>
  <c r="O40" i="211"/>
  <c r="J40" i="211"/>
  <c r="J59" i="211" s="1"/>
  <c r="BM37" i="211"/>
  <c r="BM80" i="211" s="1"/>
  <c r="BL37" i="211"/>
  <c r="BL80" i="211" s="1"/>
  <c r="BK37" i="211"/>
  <c r="BJ37" i="211"/>
  <c r="BH37" i="211"/>
  <c r="BH80" i="211" s="1"/>
  <c r="BG37" i="211"/>
  <c r="BG80" i="211" s="1"/>
  <c r="BF37" i="211"/>
  <c r="BF80" i="211" s="1"/>
  <c r="BE37" i="211"/>
  <c r="BE80" i="211" s="1"/>
  <c r="BC37" i="211"/>
  <c r="BB37" i="211"/>
  <c r="BB80" i="211" s="1"/>
  <c r="BA37" i="211"/>
  <c r="AZ37" i="211"/>
  <c r="AZ80" i="211" s="1"/>
  <c r="AY37" i="211"/>
  <c r="AY80" i="211" s="1"/>
  <c r="AP37" i="211"/>
  <c r="AP80" i="211" s="1"/>
  <c r="AO37" i="211"/>
  <c r="AO80" i="211" s="1"/>
  <c r="AN37" i="211"/>
  <c r="AN80" i="211" s="1"/>
  <c r="AM37" i="211"/>
  <c r="AM80" i="211" s="1"/>
  <c r="AK37" i="211"/>
  <c r="AJ37" i="211"/>
  <c r="AI37" i="211"/>
  <c r="AI80" i="211" s="1"/>
  <c r="AH37" i="211"/>
  <c r="AH80" i="211" s="1"/>
  <c r="AF37" i="211"/>
  <c r="AF80" i="211" s="1"/>
  <c r="AE37" i="211"/>
  <c r="AD37" i="211"/>
  <c r="AC37" i="211"/>
  <c r="AB37" i="211"/>
  <c r="AB80" i="211" s="1"/>
  <c r="S37" i="211"/>
  <c r="S80" i="211" s="1"/>
  <c r="R37" i="211"/>
  <c r="R80" i="211" s="1"/>
  <c r="Q37" i="211"/>
  <c r="Q80" i="211" s="1"/>
  <c r="P37" i="211"/>
  <c r="O37" i="211"/>
  <c r="N37" i="211"/>
  <c r="N80" i="211" s="1"/>
  <c r="M37" i="211"/>
  <c r="L37" i="211"/>
  <c r="L80" i="211" s="1"/>
  <c r="K37" i="211"/>
  <c r="K80" i="211" s="1"/>
  <c r="I37" i="211"/>
  <c r="I80" i="211" s="1"/>
  <c r="H37" i="211"/>
  <c r="G37" i="211"/>
  <c r="G80" i="211" s="1"/>
  <c r="F37" i="211"/>
  <c r="E37" i="211"/>
  <c r="BN36" i="211"/>
  <c r="BI36" i="211"/>
  <c r="BD36" i="211"/>
  <c r="AQ36" i="211"/>
  <c r="AL36" i="211"/>
  <c r="AG36" i="211"/>
  <c r="T36" i="211"/>
  <c r="O36" i="211"/>
  <c r="J36" i="211"/>
  <c r="BN35" i="211"/>
  <c r="BI35" i="211"/>
  <c r="BD35" i="211"/>
  <c r="AQ35" i="211"/>
  <c r="AL35" i="211"/>
  <c r="AG35" i="211"/>
  <c r="T35" i="211"/>
  <c r="O35" i="211"/>
  <c r="J35" i="211"/>
  <c r="BN34" i="211"/>
  <c r="BI34" i="211"/>
  <c r="BI37" i="211" s="1"/>
  <c r="BD34" i="211"/>
  <c r="AQ34" i="211"/>
  <c r="AL34" i="211"/>
  <c r="AG34" i="211"/>
  <c r="T34" i="211"/>
  <c r="O34" i="211"/>
  <c r="J34" i="211"/>
  <c r="BR37" i="211"/>
  <c r="BQ37" i="211"/>
  <c r="BP37" i="211"/>
  <c r="BO37" i="211"/>
  <c r="BN33" i="211"/>
  <c r="BN37" i="211" s="1"/>
  <c r="BI33" i="211"/>
  <c r="BD33" i="211"/>
  <c r="AS37" i="211"/>
  <c r="AQ33" i="211"/>
  <c r="AQ37" i="211" s="1"/>
  <c r="AL33" i="211"/>
  <c r="AG33" i="211"/>
  <c r="AG37" i="211" s="1"/>
  <c r="Y37" i="211"/>
  <c r="T33" i="211"/>
  <c r="T37" i="211" s="1"/>
  <c r="T80" i="211" s="1"/>
  <c r="O33" i="211"/>
  <c r="J33" i="211"/>
  <c r="B30" i="211"/>
  <c r="BS29" i="211"/>
  <c r="BR29" i="211"/>
  <c r="BQ29" i="211"/>
  <c r="BP29" i="211"/>
  <c r="BO29" i="211"/>
  <c r="BM29" i="211"/>
  <c r="BM81" i="211" s="1"/>
  <c r="BL29" i="211"/>
  <c r="BL81" i="211" s="1"/>
  <c r="BK29" i="211"/>
  <c r="BK81" i="211" s="1"/>
  <c r="BJ29" i="211"/>
  <c r="BH29" i="211"/>
  <c r="BH81" i="211" s="1"/>
  <c r="BG29" i="211"/>
  <c r="BF29" i="211"/>
  <c r="BE29" i="211"/>
  <c r="BC29" i="211"/>
  <c r="BC81" i="211" s="1"/>
  <c r="BB29" i="211"/>
  <c r="BB81" i="211" s="1"/>
  <c r="BA29" i="211"/>
  <c r="AZ29" i="211"/>
  <c r="AZ81" i="211" s="1"/>
  <c r="AY29" i="211"/>
  <c r="AV29" i="211"/>
  <c r="AU29" i="211"/>
  <c r="AT29" i="211"/>
  <c r="AS29" i="211"/>
  <c r="AR29" i="211"/>
  <c r="AP29" i="211"/>
  <c r="AO29" i="211"/>
  <c r="AN29" i="211"/>
  <c r="AN81" i="211" s="1"/>
  <c r="AM29" i="211"/>
  <c r="AM81" i="211" s="1"/>
  <c r="AK29" i="211"/>
  <c r="AK81" i="211" s="1"/>
  <c r="AJ29" i="211"/>
  <c r="AI29" i="211"/>
  <c r="AI81" i="211" s="1"/>
  <c r="AH29" i="211"/>
  <c r="AF29" i="211"/>
  <c r="AE29" i="211"/>
  <c r="AD29" i="211"/>
  <c r="AD81" i="211" s="1"/>
  <c r="AC29" i="211"/>
  <c r="AB29" i="211"/>
  <c r="AB60" i="211" s="1"/>
  <c r="AB62" i="211" s="1"/>
  <c r="Y29" i="211"/>
  <c r="X29" i="211"/>
  <c r="W29" i="211"/>
  <c r="V29" i="211"/>
  <c r="U29" i="211"/>
  <c r="S29" i="211"/>
  <c r="R29" i="211"/>
  <c r="R81" i="211" s="1"/>
  <c r="Q29" i="211"/>
  <c r="P29" i="211"/>
  <c r="N29" i="211"/>
  <c r="N81" i="211" s="1"/>
  <c r="M29" i="211"/>
  <c r="M81" i="211" s="1"/>
  <c r="L29" i="211"/>
  <c r="L81" i="211" s="1"/>
  <c r="K29" i="211"/>
  <c r="J29" i="211"/>
  <c r="I29" i="211"/>
  <c r="I81" i="211" s="1"/>
  <c r="H29" i="211"/>
  <c r="G29" i="211"/>
  <c r="G81" i="211" s="1"/>
  <c r="F29" i="211"/>
  <c r="E29" i="211"/>
  <c r="E60" i="211" s="1"/>
  <c r="E62" i="211" s="1"/>
  <c r="BT28" i="211"/>
  <c r="BN28" i="211"/>
  <c r="BI28" i="211"/>
  <c r="BD28" i="211"/>
  <c r="AW28" i="211"/>
  <c r="AQ28" i="211"/>
  <c r="AL28" i="211"/>
  <c r="AL29" i="211" s="1"/>
  <c r="AG28" i="211"/>
  <c r="Z28" i="211"/>
  <c r="T28" i="211"/>
  <c r="O28" i="211"/>
  <c r="J28" i="211"/>
  <c r="BT27" i="211"/>
  <c r="BN27" i="211"/>
  <c r="BI27" i="211"/>
  <c r="BD27" i="211"/>
  <c r="AW27" i="211"/>
  <c r="AQ27" i="211"/>
  <c r="AQ29" i="211" s="1"/>
  <c r="AL27" i="211"/>
  <c r="AG27" i="211"/>
  <c r="Z27" i="211"/>
  <c r="T27" i="211"/>
  <c r="O27" i="211"/>
  <c r="J27" i="211"/>
  <c r="BT26" i="211"/>
  <c r="BT29" i="211" s="1"/>
  <c r="BN26" i="211"/>
  <c r="BI26" i="211"/>
  <c r="BD26" i="211"/>
  <c r="BD29" i="211" s="1"/>
  <c r="AW26" i="211"/>
  <c r="AQ26" i="211"/>
  <c r="AL26" i="211"/>
  <c r="AG26" i="211"/>
  <c r="Z26" i="211"/>
  <c r="Z29" i="211" s="1"/>
  <c r="T26" i="211"/>
  <c r="O26" i="211"/>
  <c r="O29" i="211" s="1"/>
  <c r="J26" i="211"/>
  <c r="B24" i="211"/>
  <c r="B22" i="211"/>
  <c r="U21" i="211"/>
  <c r="E21" i="211"/>
  <c r="BT20" i="211"/>
  <c r="BN20" i="211"/>
  <c r="BI20" i="211"/>
  <c r="BD20" i="211"/>
  <c r="AW20" i="211"/>
  <c r="AQ20" i="211"/>
  <c r="AL20" i="211"/>
  <c r="AG20" i="211"/>
  <c r="Z20" i="211"/>
  <c r="T20" i="211"/>
  <c r="O20" i="211"/>
  <c r="J20" i="211"/>
  <c r="BT19" i="211"/>
  <c r="BN19" i="211"/>
  <c r="BI19" i="211"/>
  <c r="BD19" i="211"/>
  <c r="AW19" i="211"/>
  <c r="AQ19" i="211"/>
  <c r="AL19" i="211"/>
  <c r="AG19" i="211"/>
  <c r="Z19" i="211"/>
  <c r="T19" i="211"/>
  <c r="O19" i="211"/>
  <c r="J19" i="211"/>
  <c r="BK18" i="211"/>
  <c r="BK21" i="211" s="1"/>
  <c r="BK83" i="211" s="1"/>
  <c r="BK85" i="211" s="1"/>
  <c r="AT18" i="211"/>
  <c r="AT21" i="211" s="1"/>
  <c r="AP18" i="211"/>
  <c r="AP21" i="211" s="1"/>
  <c r="AN18" i="211"/>
  <c r="AN21" i="211" s="1"/>
  <c r="AN83" i="211" s="1"/>
  <c r="AN85" i="211" s="1"/>
  <c r="AH18" i="211"/>
  <c r="AH21" i="211" s="1"/>
  <c r="AF18" i="211"/>
  <c r="AF21" i="211" s="1"/>
  <c r="AD18" i="211"/>
  <c r="AD21" i="211" s="1"/>
  <c r="AD83" i="211" s="1"/>
  <c r="AD85" i="211" s="1"/>
  <c r="Y18" i="211"/>
  <c r="Y21" i="211" s="1"/>
  <c r="W18" i="211"/>
  <c r="W21" i="211" s="1"/>
  <c r="U18" i="211"/>
  <c r="Q18" i="211"/>
  <c r="Q21" i="211" s="1"/>
  <c r="M18" i="211"/>
  <c r="M21" i="211" s="1"/>
  <c r="M83" i="211" s="1"/>
  <c r="M85" i="211" s="1"/>
  <c r="I18" i="211"/>
  <c r="I21" i="211" s="1"/>
  <c r="I83" i="211" s="1"/>
  <c r="I85" i="211" s="1"/>
  <c r="G18" i="211"/>
  <c r="G21" i="211" s="1"/>
  <c r="G83" i="211" s="1"/>
  <c r="G85" i="211" s="1"/>
  <c r="E18" i="211"/>
  <c r="BT17" i="211"/>
  <c r="BN17" i="211"/>
  <c r="BI17" i="211"/>
  <c r="BD17" i="211"/>
  <c r="AW17" i="211"/>
  <c r="AQ17" i="211"/>
  <c r="AL17" i="211"/>
  <c r="AG17" i="211"/>
  <c r="Z17" i="211"/>
  <c r="T17" i="211"/>
  <c r="O17" i="211"/>
  <c r="J17" i="211"/>
  <c r="BT16" i="211"/>
  <c r="BN16" i="211"/>
  <c r="BI16" i="211"/>
  <c r="BD16" i="211"/>
  <c r="AW16" i="211"/>
  <c r="AQ16" i="211"/>
  <c r="AL16" i="211"/>
  <c r="AG16" i="211"/>
  <c r="Z16" i="211"/>
  <c r="T16" i="211"/>
  <c r="O16" i="211"/>
  <c r="J16" i="211"/>
  <c r="BS15" i="211"/>
  <c r="BS18" i="211" s="1"/>
  <c r="BS21" i="211" s="1"/>
  <c r="BR15" i="211"/>
  <c r="BR18" i="211" s="1"/>
  <c r="BR21" i="211" s="1"/>
  <c r="BQ15" i="211"/>
  <c r="BQ18" i="211" s="1"/>
  <c r="BQ21" i="211" s="1"/>
  <c r="BP15" i="211"/>
  <c r="BP18" i="211" s="1"/>
  <c r="BP21" i="211" s="1"/>
  <c r="BO15" i="211"/>
  <c r="BO18" i="211" s="1"/>
  <c r="BO21" i="211" s="1"/>
  <c r="BM15" i="211"/>
  <c r="BM18" i="211" s="1"/>
  <c r="BM21" i="211" s="1"/>
  <c r="BM83" i="211" s="1"/>
  <c r="BM85" i="211" s="1"/>
  <c r="BL15" i="211"/>
  <c r="BL18" i="211" s="1"/>
  <c r="BL21" i="211" s="1"/>
  <c r="BL83" i="211" s="1"/>
  <c r="BL85" i="211" s="1"/>
  <c r="BK15" i="211"/>
  <c r="BJ15" i="211"/>
  <c r="BJ18" i="211" s="1"/>
  <c r="BJ21" i="211" s="1"/>
  <c r="BH15" i="211"/>
  <c r="BH18" i="211" s="1"/>
  <c r="BH21" i="211" s="1"/>
  <c r="BH83" i="211" s="1"/>
  <c r="BH85" i="211" s="1"/>
  <c r="BG15" i="211"/>
  <c r="BG18" i="211" s="1"/>
  <c r="BG21" i="211" s="1"/>
  <c r="BF15" i="211"/>
  <c r="BF18" i="211" s="1"/>
  <c r="BF21" i="211" s="1"/>
  <c r="BF83" i="211" s="1"/>
  <c r="BF85" i="211" s="1"/>
  <c r="BE15" i="211"/>
  <c r="BE18" i="211" s="1"/>
  <c r="BE21" i="211" s="1"/>
  <c r="BC15" i="211"/>
  <c r="BC18" i="211" s="1"/>
  <c r="BC21" i="211" s="1"/>
  <c r="BC83" i="211" s="1"/>
  <c r="BC85" i="211" s="1"/>
  <c r="BB15" i="211"/>
  <c r="BB18" i="211" s="1"/>
  <c r="BB21" i="211" s="1"/>
  <c r="BB83" i="211" s="1"/>
  <c r="BB85" i="211" s="1"/>
  <c r="BA15" i="211"/>
  <c r="BA18" i="211" s="1"/>
  <c r="BA21" i="211" s="1"/>
  <c r="AZ15" i="211"/>
  <c r="AZ18" i="211" s="1"/>
  <c r="AZ21" i="211" s="1"/>
  <c r="AZ83" i="211" s="1"/>
  <c r="AZ85" i="211" s="1"/>
  <c r="AY15" i="211"/>
  <c r="AY18" i="211" s="1"/>
  <c r="AY21" i="211" s="1"/>
  <c r="AV15" i="211"/>
  <c r="AV18" i="211" s="1"/>
  <c r="AV21" i="211" s="1"/>
  <c r="AU15" i="211"/>
  <c r="AU18" i="211" s="1"/>
  <c r="AU21" i="211" s="1"/>
  <c r="AT15" i="211"/>
  <c r="AS15" i="211"/>
  <c r="AS18" i="211" s="1"/>
  <c r="AS21" i="211" s="1"/>
  <c r="AR15" i="211"/>
  <c r="AR18" i="211" s="1"/>
  <c r="AR21" i="211" s="1"/>
  <c r="AP15" i="211"/>
  <c r="AO15" i="211"/>
  <c r="AO18" i="211" s="1"/>
  <c r="AO21" i="211" s="1"/>
  <c r="AO83" i="211" s="1"/>
  <c r="AO85" i="211" s="1"/>
  <c r="AN15" i="211"/>
  <c r="AM15" i="211"/>
  <c r="AM18" i="211" s="1"/>
  <c r="AM21" i="211" s="1"/>
  <c r="AM83" i="211" s="1"/>
  <c r="AM85" i="211" s="1"/>
  <c r="AK15" i="211"/>
  <c r="AK18" i="211" s="1"/>
  <c r="AK21" i="211" s="1"/>
  <c r="AK83" i="211" s="1"/>
  <c r="AK85" i="211" s="1"/>
  <c r="AJ15" i="211"/>
  <c r="AJ18" i="211" s="1"/>
  <c r="AJ21" i="211" s="1"/>
  <c r="AI15" i="211"/>
  <c r="AI18" i="211" s="1"/>
  <c r="AI21" i="211" s="1"/>
  <c r="AI83" i="211" s="1"/>
  <c r="AI85" i="211" s="1"/>
  <c r="AH15" i="211"/>
  <c r="AF15" i="211"/>
  <c r="AE15" i="211"/>
  <c r="AE18" i="211" s="1"/>
  <c r="AE21" i="211" s="1"/>
  <c r="AD15" i="211"/>
  <c r="AC15" i="211"/>
  <c r="AC18" i="211" s="1"/>
  <c r="AC21" i="211" s="1"/>
  <c r="AB15" i="211"/>
  <c r="AB18" i="211" s="1"/>
  <c r="AB21" i="211" s="1"/>
  <c r="Y15" i="211"/>
  <c r="X15" i="211"/>
  <c r="X18" i="211" s="1"/>
  <c r="X21" i="211" s="1"/>
  <c r="W15" i="211"/>
  <c r="V15" i="211"/>
  <c r="V18" i="211" s="1"/>
  <c r="V21" i="211" s="1"/>
  <c r="U15" i="211"/>
  <c r="T15" i="211"/>
  <c r="T18" i="211" s="1"/>
  <c r="T21" i="211" s="1"/>
  <c r="S15" i="211"/>
  <c r="S18" i="211" s="1"/>
  <c r="S21" i="211" s="1"/>
  <c r="R15" i="211"/>
  <c r="R18" i="211" s="1"/>
  <c r="R21" i="211" s="1"/>
  <c r="R83" i="211" s="1"/>
  <c r="R85" i="211" s="1"/>
  <c r="Q15" i="211"/>
  <c r="P15" i="211"/>
  <c r="P18" i="211" s="1"/>
  <c r="P21" i="211" s="1"/>
  <c r="P83" i="211" s="1"/>
  <c r="P85" i="211" s="1"/>
  <c r="N15" i="211"/>
  <c r="N18" i="211" s="1"/>
  <c r="N21" i="211" s="1"/>
  <c r="N83" i="211" s="1"/>
  <c r="N85" i="211" s="1"/>
  <c r="M15" i="211"/>
  <c r="L15" i="211"/>
  <c r="L18" i="211" s="1"/>
  <c r="L21" i="211" s="1"/>
  <c r="L83" i="211" s="1"/>
  <c r="L85" i="211" s="1"/>
  <c r="K15" i="211"/>
  <c r="K18" i="211" s="1"/>
  <c r="K21" i="211" s="1"/>
  <c r="I15" i="211"/>
  <c r="H15" i="211"/>
  <c r="H18" i="211" s="1"/>
  <c r="H21" i="211" s="1"/>
  <c r="H83" i="211" s="1"/>
  <c r="H85" i="211" s="1"/>
  <c r="G15" i="211"/>
  <c r="F15" i="211"/>
  <c r="F18" i="211" s="1"/>
  <c r="F21" i="211" s="1"/>
  <c r="E15" i="211"/>
  <c r="BT14" i="211"/>
  <c r="BN14" i="211"/>
  <c r="BI14" i="211"/>
  <c r="BD14" i="211"/>
  <c r="AW14" i="211"/>
  <c r="AQ14" i="211"/>
  <c r="AL14" i="211"/>
  <c r="AG14" i="211"/>
  <c r="Z14" i="211"/>
  <c r="T14" i="211"/>
  <c r="O14" i="211"/>
  <c r="J14" i="211"/>
  <c r="BT13" i="211"/>
  <c r="BT15" i="211" s="1"/>
  <c r="BT18" i="211" s="1"/>
  <c r="BT21" i="211" s="1"/>
  <c r="BN13" i="211"/>
  <c r="BI13" i="211"/>
  <c r="BD13" i="211"/>
  <c r="AW13" i="211"/>
  <c r="AW15" i="211" s="1"/>
  <c r="AW18" i="211" s="1"/>
  <c r="AW21" i="211" s="1"/>
  <c r="AQ13" i="211"/>
  <c r="AL13" i="211"/>
  <c r="AG13" i="211"/>
  <c r="Z13" i="211"/>
  <c r="Z15" i="211" s="1"/>
  <c r="Z18" i="211" s="1"/>
  <c r="Z21" i="211" s="1"/>
  <c r="T13" i="211"/>
  <c r="O13" i="211"/>
  <c r="J13" i="211"/>
  <c r="BT12" i="211"/>
  <c r="BN12" i="211"/>
  <c r="BN15" i="211" s="1"/>
  <c r="BN18" i="211" s="1"/>
  <c r="BN21" i="211" s="1"/>
  <c r="BI12" i="211"/>
  <c r="BI15" i="211" s="1"/>
  <c r="BI18" i="211" s="1"/>
  <c r="BI21" i="211" s="1"/>
  <c r="BD12" i="211"/>
  <c r="BD15" i="211" s="1"/>
  <c r="BD18" i="211" s="1"/>
  <c r="BD21" i="211" s="1"/>
  <c r="AW12" i="211"/>
  <c r="AQ12" i="211"/>
  <c r="AQ15" i="211" s="1"/>
  <c r="AQ18" i="211" s="1"/>
  <c r="AQ21" i="211" s="1"/>
  <c r="AL12" i="211"/>
  <c r="AL15" i="211" s="1"/>
  <c r="AL18" i="211" s="1"/>
  <c r="AL21" i="211" s="1"/>
  <c r="AG12" i="211"/>
  <c r="AG15" i="211" s="1"/>
  <c r="AG18" i="211" s="1"/>
  <c r="AG21" i="211" s="1"/>
  <c r="Z12" i="211"/>
  <c r="T12" i="211"/>
  <c r="O12" i="211"/>
  <c r="O15" i="211" s="1"/>
  <c r="O18" i="211" s="1"/>
  <c r="O21" i="211" s="1"/>
  <c r="J12" i="211"/>
  <c r="J15" i="211" s="1"/>
  <c r="J18" i="211" s="1"/>
  <c r="J21" i="211" s="1"/>
  <c r="B11" i="211"/>
  <c r="A56" i="242" l="1"/>
  <c r="A58" i="242"/>
  <c r="AA12" i="156"/>
  <c r="AA22" i="156"/>
  <c r="AA31" i="156"/>
  <c r="AA38" i="156"/>
  <c r="AA42" i="156"/>
  <c r="AA46" i="156"/>
  <c r="AA55" i="156"/>
  <c r="AA68" i="156"/>
  <c r="AA75" i="156"/>
  <c r="AA79" i="156"/>
  <c r="AA88" i="156"/>
  <c r="AM30" i="156"/>
  <c r="AM37" i="156"/>
  <c r="AM41" i="156"/>
  <c r="AM45" i="156"/>
  <c r="AM49" i="156"/>
  <c r="AM54" i="156"/>
  <c r="AM74" i="156"/>
  <c r="AM78" i="156"/>
  <c r="AA86" i="156"/>
  <c r="AM86" i="156"/>
  <c r="AA8" i="156"/>
  <c r="AA64" i="156"/>
  <c r="AA23" i="156"/>
  <c r="AA39" i="156"/>
  <c r="AA43" i="156"/>
  <c r="AA47" i="156"/>
  <c r="AA52" i="156"/>
  <c r="AA60" i="156"/>
  <c r="AA69" i="156"/>
  <c r="AA76" i="156"/>
  <c r="AA82" i="156"/>
  <c r="AM12" i="156"/>
  <c r="AM22" i="156"/>
  <c r="AM31" i="156"/>
  <c r="AM38" i="156"/>
  <c r="AM42" i="156"/>
  <c r="AM46" i="156"/>
  <c r="AM55" i="156"/>
  <c r="AM68" i="156"/>
  <c r="AM75" i="156"/>
  <c r="AM79" i="156"/>
  <c r="AM88" i="156"/>
  <c r="AA32" i="156"/>
  <c r="U11" i="200"/>
  <c r="U24" i="200"/>
  <c r="O25" i="200"/>
  <c r="U41" i="200"/>
  <c r="S26" i="200"/>
  <c r="U25" i="200"/>
  <c r="AW51" i="211"/>
  <c r="BT34" i="211"/>
  <c r="BT35" i="211"/>
  <c r="Z36" i="211"/>
  <c r="BT36" i="211"/>
  <c r="AW42" i="211"/>
  <c r="BT51" i="211"/>
  <c r="O11" i="200"/>
  <c r="O41" i="200"/>
  <c r="V59" i="219"/>
  <c r="A7" i="173"/>
  <c r="J283" i="180"/>
  <c r="R283" i="180"/>
  <c r="N283" i="180"/>
  <c r="Q26" i="200"/>
  <c r="U23" i="200"/>
  <c r="S19" i="200"/>
  <c r="U4" i="200"/>
  <c r="U16" i="200"/>
  <c r="U17" i="200" s="1"/>
  <c r="U22" i="200"/>
  <c r="O23" i="200"/>
  <c r="O24" i="200"/>
  <c r="M26" i="200"/>
  <c r="K26" i="200"/>
  <c r="M19" i="200"/>
  <c r="O4" i="200"/>
  <c r="O16" i="200"/>
  <c r="O17" i="200" s="1"/>
  <c r="O22" i="200"/>
  <c r="AM21" i="156"/>
  <c r="AM7" i="156"/>
  <c r="AM10" i="156" s="1"/>
  <c r="AM29" i="156"/>
  <c r="AM63" i="156"/>
  <c r="AM36" i="156"/>
  <c r="AA21" i="156"/>
  <c r="AA7" i="156"/>
  <c r="AA29" i="156"/>
  <c r="AA36" i="156"/>
  <c r="AA63" i="156"/>
  <c r="W37" i="211"/>
  <c r="Z34" i="211"/>
  <c r="AW48" i="211"/>
  <c r="BQ80" i="211"/>
  <c r="BP59" i="219"/>
  <c r="BR80" i="211"/>
  <c r="BT41" i="211"/>
  <c r="AW48" i="219"/>
  <c r="AW33" i="219"/>
  <c r="AW47" i="211"/>
  <c r="BT36" i="219"/>
  <c r="X59" i="211"/>
  <c r="AW50" i="219"/>
  <c r="AV78" i="219"/>
  <c r="BP59" i="211"/>
  <c r="BP81" i="211" s="1"/>
  <c r="BP83" i="211" s="1"/>
  <c r="BP85" i="211" s="1"/>
  <c r="BT42" i="211"/>
  <c r="BT43" i="211"/>
  <c r="BT44" i="211"/>
  <c r="BT45" i="211"/>
  <c r="BT46" i="211"/>
  <c r="BT47" i="211"/>
  <c r="BT48" i="211"/>
  <c r="BT49" i="211"/>
  <c r="BT50" i="211"/>
  <c r="Z58" i="211"/>
  <c r="AW41" i="219"/>
  <c r="AW44" i="219"/>
  <c r="BT51" i="219"/>
  <c r="AW58" i="219"/>
  <c r="AW40" i="219"/>
  <c r="AR37" i="211"/>
  <c r="BT34" i="219"/>
  <c r="BT33" i="211"/>
  <c r="AR59" i="211"/>
  <c r="BS59" i="211"/>
  <c r="V59" i="211"/>
  <c r="BS78" i="211"/>
  <c r="BT35" i="219"/>
  <c r="BT42" i="219"/>
  <c r="BT71" i="219"/>
  <c r="BT78" i="219" s="1"/>
  <c r="BS37" i="211"/>
  <c r="AW35" i="211"/>
  <c r="AS59" i="211"/>
  <c r="AS60" i="211" s="1"/>
  <c r="AS62" i="211" s="1"/>
  <c r="AW41" i="211"/>
  <c r="BT58" i="211"/>
  <c r="BT46" i="219"/>
  <c r="Z35" i="219"/>
  <c r="AW45" i="219"/>
  <c r="Z34" i="219"/>
  <c r="AW49" i="219"/>
  <c r="AU37" i="211"/>
  <c r="AT59" i="211"/>
  <c r="AW43" i="211"/>
  <c r="AW44" i="211"/>
  <c r="AW45" i="211"/>
  <c r="AW46" i="211"/>
  <c r="BT50" i="219"/>
  <c r="Z58" i="219"/>
  <c r="U37" i="211"/>
  <c r="AW36" i="211"/>
  <c r="AU59" i="211"/>
  <c r="AW49" i="211"/>
  <c r="AW50" i="211"/>
  <c r="AW35" i="219"/>
  <c r="AW36" i="219"/>
  <c r="AR59" i="219"/>
  <c r="BR59" i="219"/>
  <c r="BR60" i="219" s="1"/>
  <c r="BR62" i="219" s="1"/>
  <c r="V37" i="211"/>
  <c r="AV37" i="211"/>
  <c r="AV60" i="211" s="1"/>
  <c r="AV62" i="211" s="1"/>
  <c r="Z40" i="211"/>
  <c r="AV59" i="211"/>
  <c r="AT37" i="219"/>
  <c r="BS59" i="219"/>
  <c r="BS80" i="219" s="1"/>
  <c r="Z36" i="219"/>
  <c r="BR60" i="211"/>
  <c r="BR62" i="211" s="1"/>
  <c r="Z35" i="211"/>
  <c r="Z45" i="211"/>
  <c r="Z47" i="211"/>
  <c r="AW34" i="219"/>
  <c r="AT59" i="219"/>
  <c r="AW42" i="219"/>
  <c r="AW43" i="219"/>
  <c r="X59" i="219"/>
  <c r="Z50" i="211"/>
  <c r="Z51" i="211"/>
  <c r="AV37" i="219"/>
  <c r="AV81" i="219" s="1"/>
  <c r="AV83" i="219" s="1"/>
  <c r="AV85" i="219" s="1"/>
  <c r="AU59" i="219"/>
  <c r="AU81" i="219" s="1"/>
  <c r="AU83" i="219" s="1"/>
  <c r="AU85" i="219" s="1"/>
  <c r="AW46" i="219"/>
  <c r="AW47" i="219"/>
  <c r="AL60" i="219"/>
  <c r="AL62" i="219" s="1"/>
  <c r="AL81" i="219"/>
  <c r="AL83" i="219" s="1"/>
  <c r="AL85" i="219" s="1"/>
  <c r="Q83" i="219"/>
  <c r="Q85" i="219" s="1"/>
  <c r="AZ83" i="219"/>
  <c r="AZ85" i="219" s="1"/>
  <c r="AZ86" i="219"/>
  <c r="AO83" i="219"/>
  <c r="AO85" i="219" s="1"/>
  <c r="S83" i="219"/>
  <c r="S85" i="219" s="1"/>
  <c r="F83" i="219"/>
  <c r="F85" i="219" s="1"/>
  <c r="F86" i="219"/>
  <c r="B13" i="219"/>
  <c r="BA83" i="219"/>
  <c r="BA85" i="219" s="1"/>
  <c r="E83" i="219"/>
  <c r="E85" i="219" s="1"/>
  <c r="T60" i="219"/>
  <c r="T62" i="219" s="1"/>
  <c r="T81" i="219"/>
  <c r="T83" i="219" s="1"/>
  <c r="T85" i="219" s="1"/>
  <c r="BN60" i="219"/>
  <c r="BN62" i="219" s="1"/>
  <c r="BT33" i="219"/>
  <c r="E60" i="219"/>
  <c r="E62" i="219" s="1"/>
  <c r="Q81" i="219"/>
  <c r="AR81" i="219"/>
  <c r="AR83" i="219" s="1"/>
  <c r="AR85" i="219" s="1"/>
  <c r="BA81" i="219"/>
  <c r="F80" i="219"/>
  <c r="BI59" i="219"/>
  <c r="BI60" i="219" s="1"/>
  <c r="BI62" i="219" s="1"/>
  <c r="BT43" i="219"/>
  <c r="BT47" i="219"/>
  <c r="BT58" i="219"/>
  <c r="BN78" i="219"/>
  <c r="AY81" i="219"/>
  <c r="AY83" i="219" s="1"/>
  <c r="AY85" i="219" s="1"/>
  <c r="AY60" i="219"/>
  <c r="AY62" i="219" s="1"/>
  <c r="AC83" i="219"/>
  <c r="AC85" i="219" s="1"/>
  <c r="AC86" i="219"/>
  <c r="BD37" i="219"/>
  <c r="BD80" i="219" s="1"/>
  <c r="BB83" i="219"/>
  <c r="BB85" i="219" s="1"/>
  <c r="AB81" i="219"/>
  <c r="AB83" i="219" s="1"/>
  <c r="AB85" i="219" s="1"/>
  <c r="AJ81" i="219"/>
  <c r="AJ83" i="219" s="1"/>
  <c r="AJ85" i="219" s="1"/>
  <c r="BK81" i="219"/>
  <c r="BK83" i="219" s="1"/>
  <c r="BK85" i="219" s="1"/>
  <c r="BS60" i="219"/>
  <c r="BS62" i="219" s="1"/>
  <c r="V37" i="219"/>
  <c r="V80" i="219" s="1"/>
  <c r="BN37" i="219"/>
  <c r="BN81" i="219" s="1"/>
  <c r="BN83" i="219" s="1"/>
  <c r="BN85" i="219" s="1"/>
  <c r="P80" i="219"/>
  <c r="Z40" i="219"/>
  <c r="U59" i="219"/>
  <c r="U81" i="219" s="1"/>
  <c r="U83" i="219" s="1"/>
  <c r="U85" i="219" s="1"/>
  <c r="K83" i="219"/>
  <c r="K85" i="219" s="1"/>
  <c r="J60" i="219"/>
  <c r="J62" i="219" s="1"/>
  <c r="T80" i="219"/>
  <c r="AR37" i="219"/>
  <c r="K81" i="219"/>
  <c r="S81" i="219"/>
  <c r="BC81" i="219"/>
  <c r="BC83" i="219" s="1"/>
  <c r="BC85" i="219" s="1"/>
  <c r="H80" i="219"/>
  <c r="AM80" i="219"/>
  <c r="AS59" i="219"/>
  <c r="AS81" i="219" s="1"/>
  <c r="AS83" i="219" s="1"/>
  <c r="AS85" i="219" s="1"/>
  <c r="BO59" i="219"/>
  <c r="BO60" i="219" s="1"/>
  <c r="BO62" i="219" s="1"/>
  <c r="BT40" i="219"/>
  <c r="BT44" i="219"/>
  <c r="BT48" i="219"/>
  <c r="AG78" i="219"/>
  <c r="AG80" i="219" s="1"/>
  <c r="J81" i="219"/>
  <c r="J83" i="219" s="1"/>
  <c r="J85" i="219" s="1"/>
  <c r="AD81" i="219"/>
  <c r="AD83" i="219" s="1"/>
  <c r="AD85" i="219" s="1"/>
  <c r="X37" i="219"/>
  <c r="BP37" i="219"/>
  <c r="BH80" i="219"/>
  <c r="W59" i="219"/>
  <c r="W80" i="219" s="1"/>
  <c r="Z41" i="219"/>
  <c r="Z45" i="219"/>
  <c r="Z49" i="219"/>
  <c r="AB60" i="219"/>
  <c r="AB62" i="219" s="1"/>
  <c r="AG60" i="219"/>
  <c r="AG62" i="219" s="1"/>
  <c r="BD60" i="219"/>
  <c r="BD62" i="219" s="1"/>
  <c r="M81" i="219"/>
  <c r="M83" i="219" s="1"/>
  <c r="M85" i="219" s="1"/>
  <c r="AM81" i="219"/>
  <c r="AM83" i="219" s="1"/>
  <c r="AM85" i="219" s="1"/>
  <c r="AO80" i="219"/>
  <c r="AZ80" i="219"/>
  <c r="BQ59" i="219"/>
  <c r="BQ80" i="219" s="1"/>
  <c r="BT41" i="219"/>
  <c r="BT45" i="219"/>
  <c r="BT49" i="219"/>
  <c r="AQ78" i="219"/>
  <c r="AQ80" i="219" s="1"/>
  <c r="AK83" i="219"/>
  <c r="AK85" i="219" s="1"/>
  <c r="AQ29" i="219"/>
  <c r="E81" i="219"/>
  <c r="AN81" i="219"/>
  <c r="AN83" i="219" s="1"/>
  <c r="AN85" i="219" s="1"/>
  <c r="J80" i="219"/>
  <c r="Z33" i="219"/>
  <c r="Y59" i="219"/>
  <c r="Y60" i="219" s="1"/>
  <c r="Y62" i="219" s="1"/>
  <c r="Z42" i="219"/>
  <c r="Z46" i="219"/>
  <c r="Z50" i="219"/>
  <c r="O68" i="219"/>
  <c r="O81" i="219" s="1"/>
  <c r="O83" i="219" s="1"/>
  <c r="O85" i="219" s="1"/>
  <c r="AW78" i="219"/>
  <c r="T78" i="219"/>
  <c r="AU60" i="219"/>
  <c r="AU62" i="219" s="1"/>
  <c r="BA83" i="211"/>
  <c r="BA85" i="211" s="1"/>
  <c r="F83" i="211"/>
  <c r="F85" i="211" s="1"/>
  <c r="AJ83" i="211"/>
  <c r="AJ85" i="211" s="1"/>
  <c r="BD83" i="211"/>
  <c r="BD85" i="211" s="1"/>
  <c r="S83" i="211"/>
  <c r="S85" i="211" s="1"/>
  <c r="T29" i="211"/>
  <c r="BN29" i="211"/>
  <c r="Q81" i="211"/>
  <c r="Q83" i="211" s="1"/>
  <c r="Q85" i="211" s="1"/>
  <c r="AJ81" i="211"/>
  <c r="X37" i="211"/>
  <c r="AQ59" i="211"/>
  <c r="AQ81" i="211" s="1"/>
  <c r="AQ83" i="211" s="1"/>
  <c r="AQ85" i="211" s="1"/>
  <c r="BI59" i="211"/>
  <c r="BI80" i="211" s="1"/>
  <c r="AV78" i="211"/>
  <c r="AW71" i="211"/>
  <c r="AW78" i="211" s="1"/>
  <c r="B12" i="211"/>
  <c r="B13" i="211" s="1"/>
  <c r="AG29" i="211"/>
  <c r="K81" i="211"/>
  <c r="K83" i="211" s="1"/>
  <c r="K85" i="211" s="1"/>
  <c r="S81" i="211"/>
  <c r="AC81" i="211"/>
  <c r="AC83" i="211" s="1"/>
  <c r="AC85" i="211" s="1"/>
  <c r="BE81" i="211"/>
  <c r="BE83" i="211" s="1"/>
  <c r="BE85" i="211" s="1"/>
  <c r="J37" i="211"/>
  <c r="J80" i="211" s="1"/>
  <c r="AG80" i="211"/>
  <c r="BD37" i="211"/>
  <c r="BD80" i="211" s="1"/>
  <c r="BO59" i="211"/>
  <c r="BO80" i="211" s="1"/>
  <c r="BT40" i="211"/>
  <c r="Z41" i="211"/>
  <c r="Z46" i="211"/>
  <c r="AG68" i="211"/>
  <c r="J81" i="211"/>
  <c r="J83" i="211" s="1"/>
  <c r="J85" i="211" s="1"/>
  <c r="BP60" i="211"/>
  <c r="BP62" i="211" s="1"/>
  <c r="AL37" i="211"/>
  <c r="AL81" i="211" s="1"/>
  <c r="AL83" i="211" s="1"/>
  <c r="AL85" i="211" s="1"/>
  <c r="F80" i="211"/>
  <c r="AK80" i="211"/>
  <c r="W59" i="211"/>
  <c r="E81" i="211"/>
  <c r="E83" i="211" s="1"/>
  <c r="E85" i="211" s="1"/>
  <c r="AE81" i="211"/>
  <c r="AE83" i="211" s="1"/>
  <c r="AE85" i="211" s="1"/>
  <c r="BG81" i="211"/>
  <c r="BQ60" i="211"/>
  <c r="BQ62" i="211" s="1"/>
  <c r="AQ80" i="211"/>
  <c r="BN80" i="211"/>
  <c r="P80" i="211"/>
  <c r="AC80" i="211"/>
  <c r="Z42" i="211"/>
  <c r="AW58" i="211"/>
  <c r="AQ68" i="211"/>
  <c r="AW29" i="211"/>
  <c r="F81" i="211"/>
  <c r="AF81" i="211"/>
  <c r="AF83" i="211" s="1"/>
  <c r="AF85" i="211" s="1"/>
  <c r="AY81" i="211"/>
  <c r="AW33" i="211"/>
  <c r="H80" i="211"/>
  <c r="BJ80" i="211"/>
  <c r="Y59" i="211"/>
  <c r="Y60" i="211" s="1"/>
  <c r="Y62" i="211" s="1"/>
  <c r="Z43" i="211"/>
  <c r="Z48" i="211"/>
  <c r="AY83" i="211"/>
  <c r="AY85" i="211" s="1"/>
  <c r="BG83" i="211"/>
  <c r="BG85" i="211" s="1"/>
  <c r="BD81" i="211"/>
  <c r="BD60" i="211"/>
  <c r="BD62" i="211" s="1"/>
  <c r="AH81" i="211"/>
  <c r="AH83" i="211" s="1"/>
  <c r="AH85" i="211" s="1"/>
  <c r="AP81" i="211"/>
  <c r="AP83" i="211" s="1"/>
  <c r="AP85" i="211" s="1"/>
  <c r="BJ81" i="211"/>
  <c r="BJ83" i="211" s="1"/>
  <c r="BJ85" i="211" s="1"/>
  <c r="BP80" i="211"/>
  <c r="AE80" i="211"/>
  <c r="AW40" i="211"/>
  <c r="Z49" i="211"/>
  <c r="BI29" i="211"/>
  <c r="BA81" i="211"/>
  <c r="AT37" i="211"/>
  <c r="AW34" i="211"/>
  <c r="O59" i="211"/>
  <c r="O60" i="211" s="1"/>
  <c r="O62" i="211" s="1"/>
  <c r="AL59" i="211"/>
  <c r="Z44" i="211"/>
  <c r="U59" i="211"/>
  <c r="AB81" i="211"/>
  <c r="AB83" i="211" s="1"/>
  <c r="AB85" i="211" s="1"/>
  <c r="BQ81" i="211"/>
  <c r="BQ83" i="211" s="1"/>
  <c r="BQ85" i="211" s="1"/>
  <c r="Z33" i="211"/>
  <c r="BR81" i="211"/>
  <c r="BR83" i="211" s="1"/>
  <c r="BR85" i="211" s="1"/>
  <c r="A60" i="242" l="1"/>
  <c r="A61" i="242"/>
  <c r="AA10" i="156"/>
  <c r="AA13" i="156" s="1"/>
  <c r="AA16" i="156" s="1"/>
  <c r="AS80" i="211"/>
  <c r="AS81" i="211"/>
  <c r="AS83" i="211" s="1"/>
  <c r="AS85" i="211" s="1"/>
  <c r="V60" i="211"/>
  <c r="V62" i="211" s="1"/>
  <c r="V65" i="211" s="1"/>
  <c r="V68" i="211" s="1"/>
  <c r="AM33" i="156"/>
  <c r="AM13" i="156"/>
  <c r="AM16" i="156" s="1"/>
  <c r="AM24" i="156"/>
  <c r="AM56" i="156"/>
  <c r="AA33" i="156"/>
  <c r="AA56" i="156"/>
  <c r="AA24" i="156"/>
  <c r="M32" i="200"/>
  <c r="S32" i="200"/>
  <c r="U26" i="200"/>
  <c r="W81" i="219"/>
  <c r="W83" i="219" s="1"/>
  <c r="W85" i="219" s="1"/>
  <c r="BT37" i="211"/>
  <c r="AU80" i="219"/>
  <c r="AT60" i="219"/>
  <c r="AT62" i="219" s="1"/>
  <c r="A8" i="173"/>
  <c r="O26" i="200"/>
  <c r="X81" i="219"/>
  <c r="X83" i="219" s="1"/>
  <c r="X85" i="219" s="1"/>
  <c r="W60" i="219"/>
  <c r="W62" i="219" s="1"/>
  <c r="AU60" i="211"/>
  <c r="AU62" i="211" s="1"/>
  <c r="AS60" i="219"/>
  <c r="AS62" i="219" s="1"/>
  <c r="U80" i="219"/>
  <c r="AR60" i="211"/>
  <c r="AR62" i="211" s="1"/>
  <c r="BR81" i="219"/>
  <c r="BR83" i="219" s="1"/>
  <c r="BR85" i="219" s="1"/>
  <c r="BR80" i="219"/>
  <c r="AW37" i="219"/>
  <c r="V81" i="211"/>
  <c r="V83" i="211" s="1"/>
  <c r="V85" i="211" s="1"/>
  <c r="AU80" i="211"/>
  <c r="U60" i="219"/>
  <c r="U62" i="219" s="1"/>
  <c r="U81" i="211"/>
  <c r="U83" i="211" s="1"/>
  <c r="U85" i="211" s="1"/>
  <c r="AR80" i="219"/>
  <c r="BS81" i="219"/>
  <c r="BS83" i="219" s="1"/>
  <c r="BS85" i="219" s="1"/>
  <c r="BT37" i="219"/>
  <c r="Z37" i="211"/>
  <c r="AW59" i="219"/>
  <c r="AT81" i="219"/>
  <c r="AT83" i="219" s="1"/>
  <c r="AT85" i="219" s="1"/>
  <c r="V80" i="211"/>
  <c r="AU81" i="211"/>
  <c r="AU83" i="211" s="1"/>
  <c r="AU85" i="211" s="1"/>
  <c r="BS81" i="211"/>
  <c r="BS83" i="211" s="1"/>
  <c r="BS85" i="211" s="1"/>
  <c r="AV81" i="211"/>
  <c r="AV83" i="211" s="1"/>
  <c r="AV85" i="211" s="1"/>
  <c r="BT59" i="211"/>
  <c r="BT80" i="211" s="1"/>
  <c r="AR80" i="211"/>
  <c r="BO80" i="219"/>
  <c r="Y80" i="219"/>
  <c r="W60" i="211"/>
  <c r="W62" i="211" s="1"/>
  <c r="AV60" i="219"/>
  <c r="AV62" i="219" s="1"/>
  <c r="AV80" i="219"/>
  <c r="AR81" i="211"/>
  <c r="AR83" i="211" s="1"/>
  <c r="AR85" i="211" s="1"/>
  <c r="X60" i="211"/>
  <c r="X62" i="211" s="1"/>
  <c r="X80" i="219"/>
  <c r="Y81" i="211"/>
  <c r="Y83" i="211" s="1"/>
  <c r="Y85" i="211" s="1"/>
  <c r="W81" i="211"/>
  <c r="W83" i="211" s="1"/>
  <c r="W85" i="211" s="1"/>
  <c r="AT80" i="219"/>
  <c r="BQ60" i="219"/>
  <c r="BQ62" i="219" s="1"/>
  <c r="BO81" i="219"/>
  <c r="BO83" i="219" s="1"/>
  <c r="BO85" i="219" s="1"/>
  <c r="BS60" i="211"/>
  <c r="BS62" i="211" s="1"/>
  <c r="AV80" i="211"/>
  <c r="Z59" i="211"/>
  <c r="Z80" i="211" s="1"/>
  <c r="Z37" i="219"/>
  <c r="AT80" i="211"/>
  <c r="BS80" i="211"/>
  <c r="V60" i="219"/>
  <c r="V62" i="219" s="1"/>
  <c r="AR60" i="219"/>
  <c r="AR62" i="219" s="1"/>
  <c r="BP80" i="219"/>
  <c r="BP81" i="219"/>
  <c r="BP83" i="219" s="1"/>
  <c r="BP85" i="219" s="1"/>
  <c r="Y81" i="219"/>
  <c r="Y83" i="219" s="1"/>
  <c r="Y85" i="219" s="1"/>
  <c r="BI80" i="219"/>
  <c r="AS80" i="219"/>
  <c r="V81" i="219"/>
  <c r="V83" i="219" s="1"/>
  <c r="V85" i="219" s="1"/>
  <c r="AQ60" i="219"/>
  <c r="AQ62" i="219" s="1"/>
  <c r="AQ81" i="219"/>
  <c r="AQ83" i="219" s="1"/>
  <c r="AQ85" i="219" s="1"/>
  <c r="X60" i="219"/>
  <c r="X62" i="219" s="1"/>
  <c r="BT59" i="219"/>
  <c r="B14" i="219"/>
  <c r="AG81" i="219"/>
  <c r="AG83" i="219" s="1"/>
  <c r="AG85" i="219" s="1"/>
  <c r="Z59" i="219"/>
  <c r="BI81" i="219"/>
  <c r="BI83" i="219" s="1"/>
  <c r="BI85" i="219" s="1"/>
  <c r="BQ81" i="219"/>
  <c r="BQ83" i="219" s="1"/>
  <c r="BQ85" i="219" s="1"/>
  <c r="BP60" i="219"/>
  <c r="BP62" i="219" s="1"/>
  <c r="BD81" i="219"/>
  <c r="BD83" i="219" s="1"/>
  <c r="BD85" i="219" s="1"/>
  <c r="BN80" i="219"/>
  <c r="AW80" i="219"/>
  <c r="AW60" i="219"/>
  <c r="AW62" i="219" s="1"/>
  <c r="AW65" i="219" s="1"/>
  <c r="AW68" i="219" s="1"/>
  <c r="AW81" i="219" s="1"/>
  <c r="AW83" i="219" s="1"/>
  <c r="AW85" i="219" s="1"/>
  <c r="AW59" i="211"/>
  <c r="W80" i="211"/>
  <c r="B14" i="211"/>
  <c r="T60" i="211"/>
  <c r="T62" i="211" s="1"/>
  <c r="T81" i="211"/>
  <c r="T83" i="211" s="1"/>
  <c r="T85" i="211" s="1"/>
  <c r="AW37" i="211"/>
  <c r="U60" i="211"/>
  <c r="U62" i="211" s="1"/>
  <c r="AQ60" i="211"/>
  <c r="AQ62" i="211" s="1"/>
  <c r="Y80" i="211"/>
  <c r="U80" i="211"/>
  <c r="J60" i="211"/>
  <c r="J62" i="211" s="1"/>
  <c r="AG60" i="211"/>
  <c r="AG62" i="211" s="1"/>
  <c r="AG81" i="211"/>
  <c r="AG83" i="211" s="1"/>
  <c r="AG85" i="211" s="1"/>
  <c r="X80" i="211"/>
  <c r="X81" i="211"/>
  <c r="X83" i="211" s="1"/>
  <c r="X85" i="211" s="1"/>
  <c r="AT60" i="211"/>
  <c r="AT62" i="211" s="1"/>
  <c r="O80" i="211"/>
  <c r="BO81" i="211"/>
  <c r="BO83" i="211" s="1"/>
  <c r="BO85" i="211" s="1"/>
  <c r="AL60" i="211"/>
  <c r="AL62" i="211" s="1"/>
  <c r="BO60" i="211"/>
  <c r="BO62" i="211" s="1"/>
  <c r="BI81" i="211"/>
  <c r="BI83" i="211" s="1"/>
  <c r="BI85" i="211" s="1"/>
  <c r="BI60" i="211"/>
  <c r="BI62" i="211" s="1"/>
  <c r="O81" i="211"/>
  <c r="O83" i="211" s="1"/>
  <c r="O85" i="211" s="1"/>
  <c r="AL80" i="211"/>
  <c r="AT81" i="211"/>
  <c r="AT83" i="211" s="1"/>
  <c r="AT85" i="211" s="1"/>
  <c r="BN60" i="211"/>
  <c r="BN62" i="211" s="1"/>
  <c r="BN81" i="211"/>
  <c r="BN83" i="211" s="1"/>
  <c r="BN85" i="211" s="1"/>
  <c r="P51" i="167" l="1"/>
  <c r="A63" i="242"/>
  <c r="AW80" i="211"/>
  <c r="AM58" i="156"/>
  <c r="AM61" i="156" s="1"/>
  <c r="AA58" i="156"/>
  <c r="AA61" i="156" s="1"/>
  <c r="A9" i="173"/>
  <c r="A10" i="173" s="1"/>
  <c r="A12" i="173" s="1"/>
  <c r="A14" i="173" s="1"/>
  <c r="BT60" i="211"/>
  <c r="BT62" i="211" s="1"/>
  <c r="BT65" i="211" s="1"/>
  <c r="BT68" i="211" s="1"/>
  <c r="BT81" i="211" s="1"/>
  <c r="BT83" i="211" s="1"/>
  <c r="BT85" i="211" s="1"/>
  <c r="Z80" i="219"/>
  <c r="Z60" i="211"/>
  <c r="Z62" i="211" s="1"/>
  <c r="Z60" i="219"/>
  <c r="Z68" i="219" s="1"/>
  <c r="Z81" i="219" s="1"/>
  <c r="Z83" i="219" s="1"/>
  <c r="Z85" i="219" s="1"/>
  <c r="BT60" i="219"/>
  <c r="BT62" i="219" s="1"/>
  <c r="BT65" i="219" s="1"/>
  <c r="BT68" i="219" s="1"/>
  <c r="BT81" i="219" s="1"/>
  <c r="BT83" i="219" s="1"/>
  <c r="BT85" i="219" s="1"/>
  <c r="BT80" i="219"/>
  <c r="B16" i="219"/>
  <c r="B15" i="219"/>
  <c r="AW60" i="211"/>
  <c r="AW62" i="211" s="1"/>
  <c r="AW65" i="211" s="1"/>
  <c r="AW68" i="211" s="1"/>
  <c r="AW81" i="211" s="1"/>
  <c r="AW83" i="211" s="1"/>
  <c r="AW85" i="211" s="1"/>
  <c r="B15" i="211"/>
  <c r="A64" i="242" l="1"/>
  <c r="A65" i="242" s="1"/>
  <c r="A67" i="242" s="1"/>
  <c r="Z65" i="211"/>
  <c r="Z68" i="211" s="1"/>
  <c r="Z81" i="211" s="1"/>
  <c r="Z83" i="211" s="1"/>
  <c r="Z85" i="211" s="1"/>
  <c r="A15" i="173"/>
  <c r="A16" i="173" s="1"/>
  <c r="A17" i="173" s="1"/>
  <c r="B17" i="219"/>
  <c r="B18" i="219" s="1"/>
  <c r="B16" i="211"/>
  <c r="A66" i="242" l="1"/>
  <c r="A68" i="242"/>
  <c r="A69" i="242" s="1"/>
  <c r="A18" i="173"/>
  <c r="A19" i="173" s="1"/>
  <c r="A20" i="173" s="1"/>
  <c r="A21" i="173" s="1"/>
  <c r="A22" i="173" s="1"/>
  <c r="A23" i="173" s="1"/>
  <c r="A25" i="173" s="1"/>
  <c r="A26" i="173" s="1"/>
  <c r="B19" i="219"/>
  <c r="B17" i="211"/>
  <c r="B18" i="211"/>
  <c r="A70" i="242" l="1"/>
  <c r="A28" i="173"/>
  <c r="A29" i="173" s="1"/>
  <c r="A27" i="173"/>
  <c r="B21" i="219"/>
  <c r="B23" i="219" s="1"/>
  <c r="B20" i="219"/>
  <c r="B19" i="211"/>
  <c r="B20" i="211" s="1"/>
  <c r="A72" i="242" l="1"/>
  <c r="A31" i="173"/>
  <c r="A32" i="173" s="1"/>
  <c r="A34" i="173" s="1"/>
  <c r="A35" i="173" s="1"/>
  <c r="A30" i="173"/>
  <c r="B25" i="219"/>
  <c r="B26" i="219" s="1"/>
  <c r="B21" i="211"/>
  <c r="B23" i="211" s="1"/>
  <c r="A73" i="242" l="1"/>
  <c r="A74" i="242" s="1"/>
  <c r="A37" i="173"/>
  <c r="A36" i="173"/>
  <c r="B28" i="219"/>
  <c r="B27" i="219"/>
  <c r="B29" i="219" s="1"/>
  <c r="B25" i="211"/>
  <c r="B26" i="211" s="1"/>
  <c r="A75" i="242" l="1"/>
  <c r="A38" i="173"/>
  <c r="A40" i="173"/>
  <c r="A41" i="173" s="1"/>
  <c r="B31" i="219"/>
  <c r="B28" i="211"/>
  <c r="B27" i="211"/>
  <c r="B29" i="211" s="1"/>
  <c r="A76" i="242" l="1"/>
  <c r="A43" i="173"/>
  <c r="A44" i="173" s="1"/>
  <c r="A42" i="173"/>
  <c r="B33" i="219"/>
  <c r="B32" i="219"/>
  <c r="B31" i="211"/>
  <c r="A77" i="242" l="1"/>
  <c r="A78" i="242"/>
  <c r="A45" i="173"/>
  <c r="A46" i="173"/>
  <c r="A48" i="173" s="1"/>
  <c r="B34" i="219"/>
  <c r="B33" i="211"/>
  <c r="B32" i="211"/>
  <c r="B34" i="211" s="1"/>
  <c r="A79" i="242" l="1"/>
  <c r="A80" i="242" s="1"/>
  <c r="A82" i="242" s="1"/>
  <c r="A83" i="242" s="1"/>
  <c r="A84" i="242" s="1"/>
  <c r="A49" i="173"/>
  <c r="A50" i="173"/>
  <c r="A51" i="173" s="1"/>
  <c r="A52" i="173" s="1"/>
  <c r="A54" i="173" s="1"/>
  <c r="A56" i="173" s="1"/>
  <c r="A58" i="173" s="1"/>
  <c r="A59" i="173" s="1"/>
  <c r="B36" i="219"/>
  <c r="B35" i="219"/>
  <c r="B36" i="211"/>
  <c r="B35" i="211"/>
  <c r="B37" i="211" s="1"/>
  <c r="A61" i="173" l="1"/>
  <c r="A62" i="173" s="1"/>
  <c r="A60" i="173"/>
  <c r="B37" i="219"/>
  <c r="B38" i="219"/>
  <c r="B39" i="211"/>
  <c r="B38" i="211"/>
  <c r="A63" i="173" l="1"/>
  <c r="A64" i="173"/>
  <c r="A65" i="173" s="1"/>
  <c r="B40" i="219"/>
  <c r="B39" i="219"/>
  <c r="B41" i="211"/>
  <c r="B42" i="211" s="1"/>
  <c r="B40" i="211"/>
  <c r="A67" i="173" l="1"/>
  <c r="A68" i="173" s="1"/>
  <c r="A69" i="173" s="1"/>
  <c r="A71" i="173" s="1"/>
  <c r="A73" i="173" s="1"/>
  <c r="A75" i="173" s="1"/>
  <c r="A76" i="173" s="1"/>
  <c r="A66" i="173"/>
  <c r="B41" i="219"/>
  <c r="B43" i="211"/>
  <c r="B44" i="211"/>
  <c r="A77" i="173" l="1"/>
  <c r="B43" i="219"/>
  <c r="B42" i="219"/>
  <c r="B45" i="211"/>
  <c r="A78" i="173" l="1"/>
  <c r="A79" i="173"/>
  <c r="A80" i="173" s="1"/>
  <c r="B44" i="219"/>
  <c r="B45" i="219" s="1"/>
  <c r="B46" i="211"/>
  <c r="A81" i="173" l="1"/>
  <c r="A82" i="173"/>
  <c r="B46" i="219"/>
  <c r="B47" i="219" s="1"/>
  <c r="B48" i="211"/>
  <c r="B47" i="211"/>
  <c r="A84" i="173" l="1"/>
  <c r="A85" i="173" s="1"/>
  <c r="A86" i="173" s="1"/>
  <c r="A88" i="173" s="1"/>
  <c r="A90" i="173" s="1"/>
  <c r="A92" i="173" s="1"/>
  <c r="A93" i="173" s="1"/>
  <c r="A94" i="173" s="1"/>
  <c r="A99" i="173" s="1"/>
  <c r="A100" i="173" s="1"/>
  <c r="A105" i="173" s="1"/>
  <c r="A106" i="173" s="1"/>
  <c r="A107" i="173" s="1"/>
  <c r="A111" i="173" s="1"/>
  <c r="A115" i="173" s="1"/>
  <c r="A119" i="173" s="1"/>
  <c r="B48" i="219"/>
  <c r="B49" i="219" s="1"/>
  <c r="B49" i="211"/>
  <c r="B50" i="219" l="1"/>
  <c r="B50" i="211"/>
  <c r="B51" i="219" l="1"/>
  <c r="B51" i="211"/>
  <c r="B54" i="219" l="1"/>
  <c r="B52" i="219"/>
  <c r="B53" i="219"/>
  <c r="B53" i="211"/>
  <c r="B52" i="211"/>
  <c r="B56" i="219" l="1"/>
  <c r="B55" i="219"/>
  <c r="B55" i="211"/>
  <c r="B56" i="211"/>
  <c r="B54" i="211"/>
  <c r="B57" i="219" l="1"/>
  <c r="B57" i="211"/>
  <c r="B58" i="219" l="1"/>
  <c r="B59" i="219"/>
  <c r="B58" i="211"/>
  <c r="B61" i="219" l="1"/>
  <c r="B60" i="219"/>
  <c r="B59" i="211"/>
  <c r="B61" i="211" s="1"/>
  <c r="B60" i="211"/>
  <c r="B62" i="219" l="1"/>
  <c r="B62" i="211"/>
  <c r="B65" i="219" l="1"/>
  <c r="B64" i="219"/>
  <c r="B64" i="211"/>
  <c r="B65" i="211"/>
  <c r="B68" i="219" l="1"/>
  <c r="B66" i="219"/>
  <c r="B67" i="219"/>
  <c r="B66" i="211"/>
  <c r="B67" i="211" s="1"/>
  <c r="B71" i="219" l="1"/>
  <c r="B70" i="219"/>
  <c r="B68" i="211"/>
  <c r="B73" i="219" l="1"/>
  <c r="B72" i="219"/>
  <c r="B70" i="211"/>
  <c r="B74" i="219" l="1"/>
  <c r="B75" i="219"/>
  <c r="B71" i="211"/>
  <c r="B78" i="219" l="1"/>
  <c r="B76" i="219"/>
  <c r="B77" i="219"/>
  <c r="B72" i="211"/>
  <c r="B73" i="211" s="1"/>
  <c r="B79" i="219" l="1"/>
  <c r="B74" i="211"/>
  <c r="B75" i="211" s="1"/>
  <c r="B80" i="219" l="1"/>
  <c r="B83" i="219" s="1"/>
  <c r="B81" i="219"/>
  <c r="B77" i="211"/>
  <c r="B76" i="211"/>
  <c r="B85" i="219" l="1"/>
  <c r="B84" i="219"/>
  <c r="B78" i="211"/>
  <c r="B91" i="219" l="1"/>
  <c r="B79" i="211"/>
  <c r="B80" i="211" l="1"/>
  <c r="B81" i="211" l="1"/>
  <c r="B83" i="211" l="1"/>
  <c r="B85" i="211" l="1"/>
  <c r="B84" i="211"/>
  <c r="B91" i="211" l="1"/>
  <c r="A3" i="214" l="1"/>
  <c r="A4" i="214" s="1"/>
  <c r="A6" i="214" l="1"/>
  <c r="A34" i="215"/>
  <c r="A24" i="215"/>
  <c r="A14" i="215"/>
  <c r="A7" i="214" l="1"/>
  <c r="A8" i="214" s="1"/>
  <c r="A141" i="215"/>
  <c r="A140" i="215"/>
  <c r="A138" i="215"/>
  <c r="A137" i="215"/>
  <c r="A136" i="215"/>
  <c r="A135" i="215"/>
  <c r="A134" i="215"/>
  <c r="A133" i="215"/>
  <c r="A131" i="215"/>
  <c r="A130" i="215"/>
  <c r="A129" i="215"/>
  <c r="A128" i="215"/>
  <c r="A127" i="215"/>
  <c r="A126" i="215"/>
  <c r="A125" i="215"/>
  <c r="A124" i="215"/>
  <c r="A123" i="215"/>
  <c r="A122" i="215"/>
  <c r="A121" i="215"/>
  <c r="A120" i="215"/>
  <c r="A118" i="215"/>
  <c r="A117" i="215"/>
  <c r="A116" i="215"/>
  <c r="A115" i="215"/>
  <c r="A114" i="215"/>
  <c r="A113" i="215"/>
  <c r="A112" i="215"/>
  <c r="A111" i="215"/>
  <c r="A110" i="215"/>
  <c r="A109" i="215"/>
  <c r="A108" i="215"/>
  <c r="A107" i="215"/>
  <c r="A106" i="215"/>
  <c r="A105" i="215"/>
  <c r="A104" i="215"/>
  <c r="A103" i="215"/>
  <c r="A102" i="215"/>
  <c r="A101" i="215"/>
  <c r="A100" i="215"/>
  <c r="A99" i="215"/>
  <c r="A98" i="215"/>
  <c r="A97" i="215"/>
  <c r="A96" i="215"/>
  <c r="A95" i="215"/>
  <c r="A94" i="215"/>
  <c r="A93" i="215"/>
  <c r="A91" i="215"/>
  <c r="A90" i="215"/>
  <c r="A89" i="215"/>
  <c r="A88" i="215"/>
  <c r="A87" i="215"/>
  <c r="A86" i="215"/>
  <c r="A85" i="215"/>
  <c r="A83" i="215"/>
  <c r="A82" i="215"/>
  <c r="A81" i="215"/>
  <c r="A80" i="215"/>
  <c r="A79" i="215"/>
  <c r="A78" i="215"/>
  <c r="A77" i="215"/>
  <c r="A76" i="215"/>
  <c r="A75" i="215"/>
  <c r="A74" i="215"/>
  <c r="A73" i="215"/>
  <c r="A72" i="215"/>
  <c r="A71" i="215"/>
  <c r="A70" i="215"/>
  <c r="A69" i="215"/>
  <c r="A68" i="215"/>
  <c r="A67" i="215"/>
  <c r="A66" i="215"/>
  <c r="A65" i="215"/>
  <c r="A64" i="215"/>
  <c r="A63" i="215"/>
  <c r="A62" i="215"/>
  <c r="A61" i="215"/>
  <c r="A60" i="215"/>
  <c r="A59" i="215"/>
  <c r="A58" i="215"/>
  <c r="A57" i="215"/>
  <c r="A56" i="215"/>
  <c r="A55" i="215"/>
  <c r="A54" i="215"/>
  <c r="A53" i="215"/>
  <c r="A52" i="215"/>
  <c r="A51" i="215"/>
  <c r="A50" i="215"/>
  <c r="A49" i="215"/>
  <c r="A48" i="215"/>
  <c r="A47" i="215"/>
  <c r="A46" i="215"/>
  <c r="A45" i="215"/>
  <c r="A44" i="215"/>
  <c r="A43" i="215"/>
  <c r="A42" i="215"/>
  <c r="A41" i="215"/>
  <c r="A31" i="215"/>
  <c r="A21" i="215"/>
  <c r="A11" i="215"/>
  <c r="A4" i="215"/>
  <c r="I164" i="213"/>
  <c r="C164" i="213"/>
  <c r="K160" i="213"/>
  <c r="G160" i="213"/>
  <c r="Q160" i="213"/>
  <c r="K159" i="213"/>
  <c r="Q159" i="213"/>
  <c r="K156" i="213"/>
  <c r="M156" i="213"/>
  <c r="I152" i="213"/>
  <c r="C152" i="213"/>
  <c r="K148" i="213"/>
  <c r="Q142" i="213"/>
  <c r="K138" i="213"/>
  <c r="I134" i="213"/>
  <c r="C134" i="213"/>
  <c r="K130" i="213"/>
  <c r="Q125" i="213"/>
  <c r="K121" i="213"/>
  <c r="M121" i="213"/>
  <c r="Q121" i="213"/>
  <c r="K120" i="213"/>
  <c r="K117" i="213"/>
  <c r="K108" i="213"/>
  <c r="K107" i="213"/>
  <c r="K104" i="213"/>
  <c r="K95" i="213"/>
  <c r="K94" i="213"/>
  <c r="K91" i="213"/>
  <c r="K82" i="213"/>
  <c r="Q82" i="213"/>
  <c r="K81" i="213"/>
  <c r="K78" i="213"/>
  <c r="Q73" i="213"/>
  <c r="K69" i="213"/>
  <c r="Q69" i="213"/>
  <c r="K68" i="213"/>
  <c r="K65" i="213"/>
  <c r="I61" i="213"/>
  <c r="C61" i="213"/>
  <c r="K57" i="213"/>
  <c r="Q52" i="213"/>
  <c r="Q51" i="213"/>
  <c r="K47" i="213"/>
  <c r="K46" i="213"/>
  <c r="K45" i="213"/>
  <c r="C40" i="213"/>
  <c r="K35" i="213"/>
  <c r="K26" i="213"/>
  <c r="M21" i="213"/>
  <c r="Q21" i="213"/>
  <c r="I22" i="213"/>
  <c r="K17" i="213"/>
  <c r="H15" i="150"/>
  <c r="I18" i="150"/>
  <c r="I19" i="150"/>
  <c r="I20" i="150"/>
  <c r="I21" i="150"/>
  <c r="I23" i="150"/>
  <c r="I24" i="150"/>
  <c r="I26" i="150"/>
  <c r="I27" i="150"/>
  <c r="I28" i="150"/>
  <c r="I12" i="150"/>
  <c r="I13" i="150"/>
  <c r="I14" i="150"/>
  <c r="I15" i="150"/>
  <c r="I11" i="150"/>
  <c r="A9" i="214" l="1"/>
  <c r="A10" i="214" s="1"/>
  <c r="A12" i="214" s="1"/>
  <c r="M160" i="213"/>
  <c r="G156" i="213"/>
  <c r="M51" i="213"/>
  <c r="M65" i="213"/>
  <c r="G107" i="213"/>
  <c r="M69" i="213"/>
  <c r="C100" i="213"/>
  <c r="M107" i="213"/>
  <c r="O107" i="213" s="1"/>
  <c r="G111" i="213"/>
  <c r="M111" i="213"/>
  <c r="G163" i="213"/>
  <c r="I100" i="213"/>
  <c r="I87" i="213"/>
  <c r="G65" i="213"/>
  <c r="O65" i="213" s="1"/>
  <c r="M159" i="213"/>
  <c r="G46" i="213"/>
  <c r="M57" i="213"/>
  <c r="M72" i="213"/>
  <c r="M46" i="213"/>
  <c r="M99" i="213"/>
  <c r="G81" i="213"/>
  <c r="C113" i="213"/>
  <c r="M120" i="213"/>
  <c r="G151" i="213"/>
  <c r="Q151" i="213" s="1"/>
  <c r="G68" i="213"/>
  <c r="G47" i="213"/>
  <c r="G57" i="213"/>
  <c r="M81" i="213"/>
  <c r="G85" i="213"/>
  <c r="G91" i="213"/>
  <c r="M104" i="213"/>
  <c r="O104" i="213" s="1"/>
  <c r="M117" i="213"/>
  <c r="G29" i="213"/>
  <c r="G121" i="213"/>
  <c r="O121" i="213" s="1"/>
  <c r="M30" i="213"/>
  <c r="M52" i="213"/>
  <c r="I31" i="213"/>
  <c r="M91" i="213"/>
  <c r="Q91" i="213" s="1"/>
  <c r="G112" i="213"/>
  <c r="C144" i="213"/>
  <c r="I144" i="213"/>
  <c r="G17" i="213"/>
  <c r="G38" i="213"/>
  <c r="M141" i="213"/>
  <c r="M143" i="213"/>
  <c r="G45" i="213"/>
  <c r="O45" i="213" s="1"/>
  <c r="G52" i="213"/>
  <c r="O52" i="213" s="1"/>
  <c r="I40" i="213"/>
  <c r="M45" i="213"/>
  <c r="M50" i="213"/>
  <c r="G69" i="213"/>
  <c r="M78" i="213"/>
  <c r="M151" i="213"/>
  <c r="G159" i="213"/>
  <c r="G164" i="213" s="1"/>
  <c r="M124" i="213"/>
  <c r="M130" i="213"/>
  <c r="M134" i="213" s="1"/>
  <c r="G148" i="213"/>
  <c r="C22" i="213"/>
  <c r="M47" i="213"/>
  <c r="O47" i="213" s="1"/>
  <c r="M60" i="213"/>
  <c r="M73" i="213"/>
  <c r="M82" i="213"/>
  <c r="M108" i="213"/>
  <c r="M142" i="213"/>
  <c r="M148" i="213"/>
  <c r="M125" i="213"/>
  <c r="M26" i="213"/>
  <c r="G30" i="213"/>
  <c r="M68" i="213"/>
  <c r="O68" i="213" s="1"/>
  <c r="G72" i="213"/>
  <c r="O72" i="213" s="1"/>
  <c r="G20" i="213"/>
  <c r="G26" i="213"/>
  <c r="M38" i="213"/>
  <c r="I53" i="213"/>
  <c r="G73" i="213"/>
  <c r="M85" i="213"/>
  <c r="G98" i="213"/>
  <c r="G104" i="213"/>
  <c r="M112" i="213"/>
  <c r="O112" i="213" s="1"/>
  <c r="G125" i="213"/>
  <c r="G138" i="213"/>
  <c r="Q148" i="213"/>
  <c r="O160" i="213"/>
  <c r="M20" i="213"/>
  <c r="M35" i="213"/>
  <c r="G39" i="213"/>
  <c r="C74" i="213"/>
  <c r="G86" i="213"/>
  <c r="M98" i="213"/>
  <c r="I113" i="213"/>
  <c r="M138" i="213"/>
  <c r="M29" i="213"/>
  <c r="O29" i="213" s="1"/>
  <c r="G35" i="213"/>
  <c r="G82" i="213"/>
  <c r="O82" i="213" s="1"/>
  <c r="G95" i="213"/>
  <c r="O111" i="213"/>
  <c r="I126" i="213"/>
  <c r="G133" i="213"/>
  <c r="G21" i="213"/>
  <c r="O21" i="213" s="1"/>
  <c r="M39" i="213"/>
  <c r="G51" i="213"/>
  <c r="G60" i="213"/>
  <c r="O60" i="213" s="1"/>
  <c r="I74" i="213"/>
  <c r="M86" i="213"/>
  <c r="G99" i="213"/>
  <c r="O99" i="213" s="1"/>
  <c r="G108" i="213"/>
  <c r="G117" i="213"/>
  <c r="G124" i="213"/>
  <c r="M17" i="213"/>
  <c r="M22" i="213" s="1"/>
  <c r="C31" i="213"/>
  <c r="G78" i="213"/>
  <c r="O78" i="213" s="1"/>
  <c r="C87" i="213"/>
  <c r="G94" i="213"/>
  <c r="M95" i="213"/>
  <c r="M133" i="213"/>
  <c r="O133" i="213" s="1"/>
  <c r="G50" i="213"/>
  <c r="M94" i="213"/>
  <c r="O94" i="213" s="1"/>
  <c r="M163" i="213"/>
  <c r="O163" i="213" s="1"/>
  <c r="Q156" i="213"/>
  <c r="M61" i="213"/>
  <c r="M74" i="213"/>
  <c r="G120" i="213"/>
  <c r="C126" i="213"/>
  <c r="G130" i="213"/>
  <c r="G141" i="213"/>
  <c r="G142" i="213"/>
  <c r="G143" i="213"/>
  <c r="M152" i="213"/>
  <c r="O156" i="213"/>
  <c r="Q29" i="213"/>
  <c r="Q50" i="213"/>
  <c r="C53" i="213"/>
  <c r="Q53" i="213" s="1"/>
  <c r="Q85" i="213"/>
  <c r="Q141" i="213"/>
  <c r="Q111" i="213"/>
  <c r="A13" i="214" l="1"/>
  <c r="O159" i="213"/>
  <c r="O51" i="213"/>
  <c r="Q98" i="213"/>
  <c r="O39" i="213"/>
  <c r="Q120" i="213"/>
  <c r="M113" i="213"/>
  <c r="O91" i="213"/>
  <c r="Q65" i="213"/>
  <c r="Q104" i="213"/>
  <c r="O69" i="213"/>
  <c r="O151" i="213"/>
  <c r="O17" i="213"/>
  <c r="Q45" i="213"/>
  <c r="G152" i="213"/>
  <c r="G31" i="213"/>
  <c r="Q20" i="213"/>
  <c r="O73" i="213"/>
  <c r="O81" i="213"/>
  <c r="Q107" i="213"/>
  <c r="O142" i="213"/>
  <c r="Q99" i="213"/>
  <c r="O26" i="213"/>
  <c r="Q46" i="213"/>
  <c r="Q143" i="213"/>
  <c r="Q68" i="213"/>
  <c r="Q81" i="213"/>
  <c r="O141" i="213"/>
  <c r="Q72" i="213"/>
  <c r="O130" i="213"/>
  <c r="O20" i="213"/>
  <c r="Q30" i="213"/>
  <c r="Q163" i="213"/>
  <c r="O148" i="213"/>
  <c r="M144" i="213"/>
  <c r="G22" i="213"/>
  <c r="Q22" i="213" s="1"/>
  <c r="Q38" i="213"/>
  <c r="O124" i="213"/>
  <c r="M126" i="213"/>
  <c r="Q112" i="213"/>
  <c r="O117" i="213"/>
  <c r="Q60" i="213"/>
  <c r="O46" i="213"/>
  <c r="O108" i="213"/>
  <c r="O85" i="213"/>
  <c r="O57" i="213"/>
  <c r="Q86" i="213"/>
  <c r="O152" i="213"/>
  <c r="O30" i="213"/>
  <c r="Q94" i="213"/>
  <c r="Q124" i="213"/>
  <c r="Q17" i="213"/>
  <c r="Q26" i="213"/>
  <c r="Q117" i="213"/>
  <c r="M164" i="213"/>
  <c r="O164" i="213" s="1"/>
  <c r="Q35" i="213"/>
  <c r="M53" i="213"/>
  <c r="Q47" i="213"/>
  <c r="O50" i="213"/>
  <c r="M31" i="213"/>
  <c r="Q31" i="213" s="1"/>
  <c r="Q57" i="213"/>
  <c r="G53" i="213"/>
  <c r="G74" i="213"/>
  <c r="G61" i="213"/>
  <c r="Q61" i="213" s="1"/>
  <c r="Q78" i="213"/>
  <c r="Q133" i="213"/>
  <c r="O138" i="213"/>
  <c r="Q39" i="213"/>
  <c r="G87" i="213"/>
  <c r="O125" i="213"/>
  <c r="O38" i="213"/>
  <c r="G100" i="213"/>
  <c r="Q95" i="213"/>
  <c r="M40" i="213"/>
  <c r="Q138" i="213"/>
  <c r="G134" i="213"/>
  <c r="Q134" i="213" s="1"/>
  <c r="O74" i="213"/>
  <c r="G40" i="213"/>
  <c r="O35" i="213"/>
  <c r="O86" i="213"/>
  <c r="Q108" i="213"/>
  <c r="Q130" i="213"/>
  <c r="G126" i="213"/>
  <c r="O126" i="213" s="1"/>
  <c r="M100" i="213"/>
  <c r="Q100" i="213" s="1"/>
  <c r="O98" i="213"/>
  <c r="M87" i="213"/>
  <c r="O87" i="213" s="1"/>
  <c r="O95" i="213"/>
  <c r="G113" i="213"/>
  <c r="O113" i="213" s="1"/>
  <c r="O61" i="213"/>
  <c r="O120" i="213"/>
  <c r="O143" i="213"/>
  <c r="G144" i="213"/>
  <c r="C166" i="213"/>
  <c r="Q152" i="213"/>
  <c r="Q74" i="213"/>
  <c r="A14" i="214" l="1"/>
  <c r="O53" i="213"/>
  <c r="Q87" i="213"/>
  <c r="Q164" i="213"/>
  <c r="O40" i="213"/>
  <c r="Q144" i="213"/>
  <c r="O22" i="213"/>
  <c r="Q126" i="213"/>
  <c r="O31" i="213"/>
  <c r="Q40" i="213"/>
  <c r="G166" i="213"/>
  <c r="O144" i="213"/>
  <c r="Q113" i="213"/>
  <c r="O134" i="213"/>
  <c r="M166" i="213"/>
  <c r="O100" i="213"/>
  <c r="A15" i="214" l="1"/>
  <c r="O166" i="213"/>
  <c r="A16" i="214" l="1"/>
  <c r="A56" i="214"/>
  <c r="A17" i="214" l="1"/>
  <c r="A18" i="214" l="1"/>
  <c r="A20" i="214" s="1"/>
  <c r="A21" i="214" l="1"/>
  <c r="A22" i="214" l="1"/>
  <c r="A23" i="214" l="1"/>
  <c r="A24" i="214" l="1"/>
  <c r="A26" i="214" s="1"/>
  <c r="A64" i="214"/>
  <c r="A27" i="214" l="1"/>
  <c r="A65" i="214"/>
  <c r="A28" i="214" l="1"/>
  <c r="A66" i="214"/>
  <c r="A29" i="214" l="1"/>
  <c r="A67" i="214"/>
  <c r="A30" i="214" l="1"/>
  <c r="A32" i="214" s="1"/>
  <c r="A68" i="214"/>
  <c r="A33" i="214" l="1"/>
  <c r="A69" i="214"/>
  <c r="A34" i="214" l="1"/>
  <c r="A70" i="214"/>
  <c r="A35" i="214" l="1"/>
  <c r="A71" i="214"/>
  <c r="A36" i="214" l="1"/>
  <c r="A72" i="214"/>
  <c r="A37" i="214" l="1"/>
  <c r="A39" i="214" s="1"/>
  <c r="A73" i="214"/>
  <c r="A40" i="214" l="1"/>
  <c r="A74" i="214"/>
  <c r="A41" i="214" l="1"/>
  <c r="A75" i="214"/>
  <c r="A42" i="214" l="1"/>
  <c r="A77" i="214"/>
  <c r="A43" i="214" l="1"/>
  <c r="A45" i="214" s="1"/>
  <c r="A46" i="214" s="1"/>
  <c r="A78" i="214"/>
  <c r="A47" i="214" l="1"/>
  <c r="A79" i="214"/>
  <c r="I31" i="150"/>
  <c r="I32" i="150"/>
  <c r="I33" i="150"/>
  <c r="I39" i="150"/>
  <c r="I40" i="150"/>
  <c r="I41" i="150"/>
  <c r="I42" i="150"/>
  <c r="I43" i="150"/>
  <c r="I45" i="150"/>
  <c r="I46" i="150"/>
  <c r="I47" i="150"/>
  <c r="I48" i="150"/>
  <c r="I49" i="150"/>
  <c r="I50" i="150"/>
  <c r="I51" i="150"/>
  <c r="I53" i="150"/>
  <c r="I55" i="150"/>
  <c r="I30" i="150"/>
  <c r="I17" i="150"/>
  <c r="I10" i="150"/>
  <c r="I9" i="150"/>
  <c r="I7" i="150"/>
  <c r="I6" i="150"/>
  <c r="H55" i="150"/>
  <c r="H53" i="150"/>
  <c r="H51" i="150"/>
  <c r="H50" i="150"/>
  <c r="H49" i="150"/>
  <c r="H48" i="150"/>
  <c r="H46" i="150"/>
  <c r="H45" i="150"/>
  <c r="H43" i="150"/>
  <c r="H42" i="150"/>
  <c r="H41" i="150"/>
  <c r="H28" i="150"/>
  <c r="H27" i="150"/>
  <c r="H23" i="150"/>
  <c r="H13" i="150"/>
  <c r="A3" i="204"/>
  <c r="A2" i="204"/>
  <c r="A7" i="201"/>
  <c r="A9" i="201" s="1"/>
  <c r="A43" i="200"/>
  <c r="A42" i="200"/>
  <c r="A34" i="200"/>
  <c r="A20" i="200"/>
  <c r="A18" i="200"/>
  <c r="G17" i="200"/>
  <c r="E17" i="200"/>
  <c r="A14" i="200"/>
  <c r="G13" i="200"/>
  <c r="A4" i="200"/>
  <c r="A17" i="156"/>
  <c r="A25" i="156"/>
  <c r="A71" i="156"/>
  <c r="A81" i="156"/>
  <c r="A85" i="156"/>
  <c r="A87" i="156"/>
  <c r="A6" i="156"/>
  <c r="A11" i="201" l="1"/>
  <c r="A48" i="214"/>
  <c r="I24" i="200"/>
  <c r="L79" i="156"/>
  <c r="L77" i="156"/>
  <c r="L88" i="156"/>
  <c r="A7" i="156"/>
  <c r="A8" i="156" s="1"/>
  <c r="A80" i="214"/>
  <c r="I25" i="200"/>
  <c r="N6" i="150"/>
  <c r="N5" i="150"/>
  <c r="G26" i="200"/>
  <c r="I41" i="200"/>
  <c r="E26" i="200"/>
  <c r="I16" i="200"/>
  <c r="I17" i="200" s="1"/>
  <c r="I23" i="200"/>
  <c r="G19" i="200"/>
  <c r="I4" i="200"/>
  <c r="A5" i="200"/>
  <c r="I22" i="200"/>
  <c r="L75" i="156"/>
  <c r="L78" i="156"/>
  <c r="L76" i="156"/>
  <c r="J27" i="160"/>
  <c r="H27" i="160"/>
  <c r="F27" i="160"/>
  <c r="A20" i="160"/>
  <c r="J19" i="160"/>
  <c r="H19" i="160"/>
  <c r="F19" i="160"/>
  <c r="A14" i="160"/>
  <c r="J13" i="160"/>
  <c r="H13" i="160"/>
  <c r="F13" i="160"/>
  <c r="L7" i="197"/>
  <c r="K7" i="197"/>
  <c r="J7" i="197"/>
  <c r="I7" i="197"/>
  <c r="A13" i="201" l="1"/>
  <c r="A19" i="201" s="1"/>
  <c r="A49" i="214"/>
  <c r="A51" i="214" s="1"/>
  <c r="A52" i="214" s="1"/>
  <c r="A9" i="156"/>
  <c r="A81" i="214"/>
  <c r="G32" i="200"/>
  <c r="I26" i="200"/>
  <c r="A6" i="200"/>
  <c r="L22" i="156"/>
  <c r="I33" i="156"/>
  <c r="G56" i="156"/>
  <c r="I56" i="156"/>
  <c r="J33" i="156"/>
  <c r="I10" i="156"/>
  <c r="I13" i="156" s="1"/>
  <c r="L21" i="156"/>
  <c r="L9" i="156"/>
  <c r="H10" i="156"/>
  <c r="H13" i="156" s="1"/>
  <c r="L14" i="156"/>
  <c r="L30" i="156"/>
  <c r="J26" i="167" s="1"/>
  <c r="L37" i="156"/>
  <c r="J32" i="167" s="1"/>
  <c r="L41" i="156"/>
  <c r="J36" i="167" s="1"/>
  <c r="N80" i="156"/>
  <c r="G10" i="156"/>
  <c r="G13" i="156" s="1"/>
  <c r="N24" i="156"/>
  <c r="L31" i="156"/>
  <c r="J27" i="167" s="1"/>
  <c r="L38" i="156"/>
  <c r="J33" i="167" s="1"/>
  <c r="L42" i="156"/>
  <c r="J37" i="167" s="1"/>
  <c r="L46" i="156"/>
  <c r="J41" i="167" s="1"/>
  <c r="L82" i="156"/>
  <c r="L74" i="156"/>
  <c r="G70" i="156"/>
  <c r="L43" i="156"/>
  <c r="J38" i="167" s="1"/>
  <c r="L47" i="156"/>
  <c r="J42" i="167" s="1"/>
  <c r="L60" i="156"/>
  <c r="J53" i="167" s="1"/>
  <c r="L69" i="156"/>
  <c r="G24" i="156"/>
  <c r="H56" i="156"/>
  <c r="J48" i="167"/>
  <c r="L55" i="156"/>
  <c r="J50" i="167" s="1"/>
  <c r="J10" i="156"/>
  <c r="J13" i="156" s="1"/>
  <c r="N33" i="156"/>
  <c r="N56" i="156"/>
  <c r="L44" i="156"/>
  <c r="J39" i="167" s="1"/>
  <c r="L8" i="156"/>
  <c r="L64" i="156"/>
  <c r="H24" i="156"/>
  <c r="L45" i="156"/>
  <c r="J40" i="167" s="1"/>
  <c r="L49" i="156"/>
  <c r="J44" i="167" s="1"/>
  <c r="L63" i="156"/>
  <c r="L68" i="156"/>
  <c r="H70" i="156"/>
  <c r="L86" i="156"/>
  <c r="I24" i="156"/>
  <c r="L29" i="156"/>
  <c r="J25" i="167" s="1"/>
  <c r="F56" i="156"/>
  <c r="L40" i="156"/>
  <c r="J35" i="167" s="1"/>
  <c r="L54" i="156"/>
  <c r="J49" i="167" s="1"/>
  <c r="N70" i="156"/>
  <c r="L12" i="156"/>
  <c r="L36" i="156"/>
  <c r="J31" i="167" s="1"/>
  <c r="I70" i="156"/>
  <c r="J24" i="156"/>
  <c r="F24" i="156"/>
  <c r="F7" i="156" s="1"/>
  <c r="L7" i="156" s="1"/>
  <c r="G33" i="156"/>
  <c r="L48" i="156"/>
  <c r="J43" i="167" s="1"/>
  <c r="N10" i="156"/>
  <c r="N13" i="156" s="1"/>
  <c r="O13" i="156" s="1"/>
  <c r="H33" i="156"/>
  <c r="L32" i="156"/>
  <c r="J28" i="167" s="1"/>
  <c r="L39" i="156"/>
  <c r="J34" i="167" s="1"/>
  <c r="F70" i="156"/>
  <c r="F33" i="156"/>
  <c r="J56" i="156"/>
  <c r="L23" i="156"/>
  <c r="E11" i="200" l="1"/>
  <c r="I11" i="200" s="1"/>
  <c r="J55" i="167"/>
  <c r="J61" i="167"/>
  <c r="K61" i="167" s="1"/>
  <c r="K62" i="167" s="1"/>
  <c r="K64" i="167" s="1"/>
  <c r="K65" i="167" s="1"/>
  <c r="E12" i="200"/>
  <c r="J29" i="167"/>
  <c r="F10" i="156"/>
  <c r="F13" i="156" s="1"/>
  <c r="F16" i="156" s="1"/>
  <c r="A53" i="214"/>
  <c r="N84" i="156"/>
  <c r="A10" i="156"/>
  <c r="A82" i="214"/>
  <c r="A7" i="200"/>
  <c r="A8" i="200" s="1"/>
  <c r="I58" i="156"/>
  <c r="I61" i="156" s="1"/>
  <c r="I84" i="156" s="1"/>
  <c r="G58" i="156"/>
  <c r="G61" i="156" s="1"/>
  <c r="L33" i="156"/>
  <c r="L10" i="156"/>
  <c r="L13" i="156" s="1"/>
  <c r="L16" i="156" s="1"/>
  <c r="J58" i="156"/>
  <c r="L56" i="156"/>
  <c r="H58" i="156"/>
  <c r="H61" i="156" s="1"/>
  <c r="H84" i="156" s="1"/>
  <c r="E7" i="200" s="1"/>
  <c r="I7" i="200" s="1"/>
  <c r="N58" i="156"/>
  <c r="N61" i="156" s="1"/>
  <c r="L24" i="156"/>
  <c r="F58" i="156"/>
  <c r="F61" i="156" s="1"/>
  <c r="F84" i="156" s="1"/>
  <c r="J61" i="156" l="1"/>
  <c r="J83" i="156" s="1"/>
  <c r="I12" i="200"/>
  <c r="E8" i="200"/>
  <c r="I8" i="200" s="1"/>
  <c r="G84" i="156"/>
  <c r="E6" i="200" s="1"/>
  <c r="G83" i="156"/>
  <c r="J51" i="167"/>
  <c r="A12" i="156"/>
  <c r="A13" i="156" s="1"/>
  <c r="A14" i="156" s="1"/>
  <c r="A54" i="214"/>
  <c r="A55" i="214" s="1"/>
  <c r="A57" i="214" s="1"/>
  <c r="A84" i="214"/>
  <c r="A85" i="214" s="1"/>
  <c r="A9" i="200"/>
  <c r="L58" i="156"/>
  <c r="L61" i="156" s="1"/>
  <c r="I6" i="200" l="1"/>
  <c r="I10" i="243"/>
  <c r="I13" i="243" s="1"/>
  <c r="I19" i="243" s="1"/>
  <c r="A10" i="200"/>
  <c r="E28" i="243" l="1"/>
  <c r="A11" i="200"/>
  <c r="A12" i="200" s="1"/>
  <c r="A7" i="160"/>
  <c r="I28" i="243" l="1"/>
  <c r="I32" i="243" s="1"/>
  <c r="I33" i="243" s="1"/>
  <c r="E32" i="243"/>
  <c r="A13" i="200"/>
  <c r="A8" i="160"/>
  <c r="E33" i="243" l="1"/>
  <c r="A9" i="160"/>
  <c r="A10" i="160" l="1"/>
  <c r="A11" i="160" s="1"/>
  <c r="A13" i="160" l="1"/>
  <c r="A15" i="160" s="1"/>
  <c r="A17" i="160" l="1"/>
  <c r="A19" i="160" s="1"/>
  <c r="A24" i="160" l="1"/>
  <c r="A25" i="160" l="1"/>
  <c r="A27" i="160" s="1"/>
  <c r="L5" i="43" l="1"/>
  <c r="K5" i="43"/>
  <c r="J5" i="43"/>
  <c r="I5" i="43"/>
  <c r="J16" i="156" l="1"/>
  <c r="I16" i="156"/>
  <c r="G16" i="156"/>
  <c r="H16" i="156"/>
  <c r="N16" i="156"/>
  <c r="O16" i="156" s="1"/>
  <c r="A16" i="156" l="1"/>
  <c r="A18" i="156" s="1"/>
  <c r="A20" i="156" l="1"/>
  <c r="A21" i="156" l="1"/>
  <c r="A22" i="156" s="1"/>
  <c r="A23" i="156" l="1"/>
  <c r="A24" i="156" l="1"/>
  <c r="A26" i="156" l="1"/>
  <c r="A28" i="156" l="1"/>
  <c r="A29" i="156" s="1"/>
  <c r="A30" i="156" l="1"/>
  <c r="A31" i="156" l="1"/>
  <c r="A32" i="156" s="1"/>
  <c r="A33" i="156" l="1"/>
  <c r="A34" i="156" l="1"/>
  <c r="A35" i="156" s="1"/>
  <c r="A36" i="156" l="1"/>
  <c r="A37" i="156" l="1"/>
  <c r="A38" i="156" l="1"/>
  <c r="A39" i="156" s="1"/>
  <c r="A40" i="156" l="1"/>
  <c r="A41" i="156" l="1"/>
  <c r="A42" i="156" s="1"/>
  <c r="A43" i="156" l="1"/>
  <c r="A44" i="156" l="1"/>
  <c r="A45" i="156" s="1"/>
  <c r="A46" i="156" l="1"/>
  <c r="A47" i="156" l="1"/>
  <c r="A48" i="156" l="1"/>
  <c r="A49" i="156" l="1"/>
  <c r="A50" i="156" l="1"/>
  <c r="A51" i="156" l="1"/>
  <c r="A52" i="156" s="1"/>
  <c r="A53" i="156" l="1"/>
  <c r="A54" i="156" l="1"/>
  <c r="A55" i="156" s="1"/>
  <c r="A56" i="156" l="1"/>
  <c r="A58" i="156" s="1"/>
  <c r="A15" i="200"/>
  <c r="A60" i="156" l="1"/>
  <c r="A16" i="200"/>
  <c r="A61" i="156"/>
  <c r="A17" i="200" l="1"/>
  <c r="A19" i="200" s="1"/>
  <c r="A21" i="200" s="1"/>
  <c r="A63" i="156"/>
  <c r="A64" i="156" l="1"/>
  <c r="A22" i="200"/>
  <c r="A23" i="200" s="1"/>
  <c r="A65" i="156" l="1"/>
  <c r="A66" i="156"/>
  <c r="A67" i="156" s="1"/>
  <c r="A68" i="156" s="1"/>
  <c r="A24" i="200"/>
  <c r="A69" i="156" l="1"/>
  <c r="A70" i="156" s="1"/>
  <c r="A25" i="200"/>
  <c r="A26" i="200" s="1"/>
  <c r="A28" i="200" l="1"/>
  <c r="A30" i="200" s="1"/>
  <c r="A32" i="200" s="1"/>
  <c r="A72" i="156"/>
  <c r="A73" i="156" s="1"/>
  <c r="A33" i="200" l="1"/>
  <c r="A35" i="200" s="1"/>
  <c r="A74" i="156"/>
  <c r="A36" i="200" l="1"/>
  <c r="A37" i="200" s="1"/>
  <c r="A75" i="156"/>
  <c r="A76" i="156" s="1"/>
  <c r="A38" i="200" l="1"/>
  <c r="A77" i="156"/>
  <c r="A78" i="156" l="1"/>
  <c r="A79" i="156" l="1"/>
  <c r="A80" i="156" s="1"/>
  <c r="A40" i="200" l="1"/>
  <c r="A41" i="200" l="1"/>
  <c r="F15" i="167" l="1"/>
  <c r="G15" i="167"/>
  <c r="H15" i="167"/>
  <c r="E15" i="167"/>
  <c r="A86" i="242" l="1"/>
  <c r="A88" i="242" s="1"/>
  <c r="A88" i="156"/>
  <c r="A15" i="243"/>
  <c r="A16" i="243" l="1"/>
  <c r="A17" i="243" l="1"/>
  <c r="A19" i="243" s="1"/>
  <c r="A21" i="243" l="1"/>
  <c r="A22" i="243" s="1"/>
  <c r="A23" i="243" l="1"/>
  <c r="A24" i="243" l="1"/>
  <c r="A25" i="243" s="1"/>
  <c r="A26" i="243" l="1"/>
  <c r="A32" i="243" s="1"/>
  <c r="A28" i="243" l="1"/>
  <c r="A30" i="243" s="1"/>
  <c r="A33" i="243" s="1"/>
  <c r="A35" i="243" l="1"/>
  <c r="A36" i="243" l="1"/>
  <c r="A37" i="243" s="1"/>
  <c r="A38" i="243" l="1"/>
  <c r="A40" i="243" s="1"/>
  <c r="A41" i="243" s="1"/>
  <c r="A82" i="156" l="1"/>
  <c r="A83" i="156" l="1"/>
  <c r="A84" i="156" s="1"/>
  <c r="M58" i="167"/>
  <c r="J58" i="167"/>
  <c r="P58" i="167"/>
  <c r="AI73" i="156"/>
  <c r="L73" i="156" l="1"/>
  <c r="L80" i="156" s="1"/>
  <c r="L83" i="156" s="1"/>
  <c r="AI80" i="156"/>
  <c r="AI83" i="156" s="1"/>
  <c r="AM73" i="156"/>
  <c r="AM80" i="156" s="1"/>
  <c r="AM83" i="156" s="1"/>
  <c r="J65" i="156"/>
  <c r="AG65" i="156"/>
  <c r="AG80" i="156"/>
  <c r="U65" i="156" l="1"/>
  <c r="W73" i="156"/>
  <c r="U80" i="156"/>
  <c r="AG70" i="156"/>
  <c r="AG84" i="156" s="1"/>
  <c r="Q9" i="200" s="1"/>
  <c r="AI65" i="156"/>
  <c r="L65" i="156"/>
  <c r="L70" i="156" s="1"/>
  <c r="J70" i="156"/>
  <c r="J84" i="156" s="1"/>
  <c r="E9" i="200" s="1"/>
  <c r="I9" i="200" l="1"/>
  <c r="J54" i="167"/>
  <c r="L84" i="156"/>
  <c r="AM65" i="156"/>
  <c r="AM70" i="156" s="1"/>
  <c r="AM84" i="156" s="1"/>
  <c r="AI70" i="156"/>
  <c r="U9" i="200"/>
  <c r="W80" i="156"/>
  <c r="W83" i="156" s="1"/>
  <c r="AA73" i="156"/>
  <c r="AA80" i="156" s="1"/>
  <c r="AA83" i="156" s="1"/>
  <c r="W65" i="156"/>
  <c r="U70" i="156"/>
  <c r="U84" i="156" s="1"/>
  <c r="K9" i="200" s="1"/>
  <c r="AI84" i="156" l="1"/>
  <c r="P54" i="167"/>
  <c r="E10" i="200"/>
  <c r="J56" i="167"/>
  <c r="J62" i="167" s="1"/>
  <c r="J64" i="167" s="1"/>
  <c r="J65" i="167" s="1"/>
  <c r="O9" i="200"/>
  <c r="W70" i="156"/>
  <c r="AA65" i="156"/>
  <c r="AA70" i="156" s="1"/>
  <c r="AA84" i="156" s="1"/>
  <c r="W84" i="156" l="1"/>
  <c r="M54" i="167"/>
  <c r="I10" i="200"/>
  <c r="I13" i="200" s="1"/>
  <c r="I19" i="200" s="1"/>
  <c r="I28" i="200" s="1"/>
  <c r="I32" i="200" s="1"/>
  <c r="F6" i="215"/>
  <c r="F26" i="215" s="1"/>
  <c r="F27" i="215" s="1"/>
  <c r="E13" i="200"/>
  <c r="E19" i="200" s="1"/>
  <c r="E28" i="200" s="1"/>
  <c r="E32" i="200" s="1"/>
  <c r="Q10" i="200"/>
  <c r="P56" i="167"/>
  <c r="P62" i="167" s="1"/>
  <c r="P64" i="167" s="1"/>
  <c r="P65" i="167" s="1"/>
  <c r="U10" i="200" l="1"/>
  <c r="U13" i="200" s="1"/>
  <c r="U19" i="200" s="1"/>
  <c r="U28" i="200" s="1"/>
  <c r="U32" i="200" s="1"/>
  <c r="Q13" i="200"/>
  <c r="Q19" i="200" s="1"/>
  <c r="Q28" i="200" s="1"/>
  <c r="Q32" i="200" s="1"/>
  <c r="Q33" i="200" s="1"/>
  <c r="J6" i="215"/>
  <c r="F7" i="215"/>
  <c r="E33" i="200"/>
  <c r="K10" i="200"/>
  <c r="M56" i="167"/>
  <c r="M62" i="167" s="1"/>
  <c r="M64" i="167" s="1"/>
  <c r="M65" i="167" s="1"/>
  <c r="O10" i="200" l="1"/>
  <c r="O13" i="200" s="1"/>
  <c r="O19" i="200" s="1"/>
  <c r="O28" i="200" s="1"/>
  <c r="O32" i="200" s="1"/>
  <c r="H6" i="215"/>
  <c r="K13" i="200"/>
  <c r="K19" i="200" s="1"/>
  <c r="K28" i="200" s="1"/>
  <c r="K32" i="200" s="1"/>
  <c r="K33" i="200" s="1"/>
  <c r="J26" i="215"/>
  <c r="J27" i="215" s="1"/>
  <c r="J7" i="215"/>
  <c r="H26" i="215" l="1"/>
  <c r="H27" i="215" s="1"/>
  <c r="H7" i="2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Ria Garg</author>
  </authors>
  <commentList>
    <comment ref="D4" authorId="0" shapeId="0" xr:uid="{B7D8CCE1-A8D6-409D-B3AB-6C21E9435B2E}">
      <text>
        <r>
          <rPr>
            <b/>
            <sz val="9"/>
            <color indexed="81"/>
            <rFont val="Tahoma"/>
            <family val="2"/>
          </rPr>
          <t>Ria Garg:</t>
        </r>
        <r>
          <rPr>
            <sz val="9"/>
            <color indexed="81"/>
            <rFont val="Tahoma"/>
            <family val="2"/>
          </rPr>
          <t xml:space="preserve">
Right now going to make the note as a reference to which schedule matches up from the comparison schedules.
- Some of these references do not have anything in them (say placeholder or something of the sort)</t>
        </r>
      </text>
    </comment>
    <comment ref="J4" authorId="0" shapeId="0" xr:uid="{11D4EBA7-F2BA-4700-B573-98EF60B0513E}">
      <text>
        <r>
          <rPr>
            <b/>
            <sz val="9"/>
            <color indexed="81"/>
            <rFont val="Tahoma"/>
            <family val="2"/>
          </rPr>
          <t>Ria Garg:</t>
        </r>
        <r>
          <rPr>
            <sz val="9"/>
            <color indexed="81"/>
            <rFont val="Tahoma"/>
            <family val="2"/>
          </rPr>
          <t xml:space="preserve">
Not being submitted</t>
        </r>
      </text>
    </comment>
    <comment ref="K4" authorId="0" shapeId="0" xr:uid="{5A965C5A-789E-4E36-BC86-AD4C73E18468}">
      <text>
        <r>
          <rPr>
            <b/>
            <sz val="9"/>
            <color indexed="81"/>
            <rFont val="Tahoma"/>
            <family val="2"/>
          </rPr>
          <t>Ria Garg:</t>
        </r>
        <r>
          <rPr>
            <sz val="9"/>
            <color indexed="81"/>
            <rFont val="Tahoma"/>
            <family val="2"/>
          </rPr>
          <t xml:space="preserve">
Not being submitted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tc={50F8CC8C-EA03-47F2-BB6C-7D8088079172}</author>
    <author>tc={6CE584F7-663E-40F9-9510-714E40E27EAF}</author>
    <author>tc={8B9E88C4-0ABF-41D1-81A0-33882BD43347}</author>
  </authors>
  <commentList>
    <comment ref="E61" authorId="0" shapeId="0" xr:uid="{50F8CC8C-EA03-47F2-BB6C-7D8088079172}">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B61" authorId="1" shapeId="0" xr:uid="{6CE584F7-663E-40F9-9510-714E40E27EAF}">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Y61" authorId="2" shapeId="0" xr:uid="{8B9E88C4-0ABF-41D1-81A0-33882BD43347}">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tc={88A0C70A-5B6B-443B-94F6-DDF73A14A0B8}</author>
    <author>tc={8A53C45C-9C99-4727-ABEA-51F89CE94769}</author>
    <author>tc={1F1A3567-AA35-4A01-B541-650139A4A54F}</author>
  </authors>
  <commentList>
    <comment ref="E61" authorId="0" shapeId="0" xr:uid="{88A0C70A-5B6B-443B-94F6-DDF73A14A0B8}">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B61" authorId="1" shapeId="0" xr:uid="{8A53C45C-9C99-4727-ABEA-51F89CE94769}">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Y61" authorId="2" shapeId="0" xr:uid="{1F1A3567-AA35-4A01-B541-650139A4A54F}">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tc={807BC280-3D59-41D6-B938-A8541DA6361E}</author>
  </authors>
  <commentList>
    <comment ref="W1" authorId="0" shapeId="0" xr:uid="{807BC280-3D59-41D6-B938-A8541DA6361E}">
      <text>
        <t>[Threaded comment]
Your version of Excel allows you to read this threaded comment; however, any edits to it will get removed if the file is opened in a newer version of Excel. Learn more: https://go.microsoft.com/fwlink/?linkid=870924
Comment:
    @Ria Garg We need to repeat the three existing columns for FY2026-FY2028</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tc={42D0C6A2-1F99-4C90-8E0A-B5EEB827568F}</author>
  </authors>
  <commentList>
    <comment ref="C2" authorId="0" shapeId="0" xr:uid="{42D0C6A2-1F99-4C90-8E0A-B5EEB827568F}">
      <text>
        <t>[Threaded comment]
Your version of Excel allows you to read this threaded comment; however, any edits to it will get removed if the file is opened in a newer version of Excel. Learn more: https://go.microsoft.com/fwlink/?linkid=870924
Comment:
    NOTE: Some of the "Totals" in this column are Lamp Counts. Others are kWh counts.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tc={E2428B0A-3F7A-469D-8EC2-1D063B03A2FA}</author>
  </authors>
  <commentList>
    <comment ref="C2" authorId="0" shapeId="0" xr:uid="{E2428B0A-3F7A-469D-8EC2-1D063B03A2FA}">
      <text>
        <t>[Threaded comment]
Your version of Excel allows you to read this threaded comment; however, any edits to it will get removed if the file is opened in a newer version of Excel. Learn more: https://go.microsoft.com/fwlink/?linkid=870924
Comment:
    NOTE: Some of the "Totals" in this column are Lamp Counts. Others are kWh counts.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tc={DB0410B7-ACAE-4A8F-9CF5-72DA45FC4F91}</author>
    <author>tc={224D59C4-9EEA-412F-B60D-CBAA5958DAF8}</author>
    <author>tc={CE8227E5-5C8B-4F16-83C9-CC966917DD20}</author>
  </authors>
  <commentList>
    <comment ref="A24" authorId="0" shapeId="0" xr:uid="{DB0410B7-ACAE-4A8F-9CF5-72DA45FC4F91}">
      <text>
        <t>[Threaded comment]
Your version of Excel allows you to read this threaded comment; however, any edits to it will get removed if the file is opened in a newer version of Excel. Learn more: https://go.microsoft.com/fwlink/?linkid=870924
Comment:
    Subsidized rate - not to be changed.</t>
      </text>
    </comment>
    <comment ref="A76" authorId="1" shapeId="0" xr:uid="{224D59C4-9EEA-412F-B60D-CBAA5958DAF8}">
      <text>
        <t>[Threaded comment]
Your version of Excel allows you to read this threaded comment; however, any edits to it will get removed if the file is opened in a newer version of Excel. Learn more: https://go.microsoft.com/fwlink/?linkid=870924
Comment:
    Subsidized rate - not to be changed.</t>
      </text>
    </comment>
    <comment ref="A128" authorId="2" shapeId="0" xr:uid="{CE8227E5-5C8B-4F16-83C9-CC966917DD20}">
      <text>
        <t>[Threaded comment]
Your version of Excel allows you to read this threaded comment; however, any edits to it will get removed if the file is opened in a newer version of Excel. Learn more: https://go.microsoft.com/fwlink/?linkid=870924
Comment:
    Subsidized rate - not to be changed.</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Ria Garg</author>
  </authors>
  <commentList>
    <comment ref="A1" authorId="0" shapeId="0" xr:uid="{FDE21499-31E5-4676-B31D-A3309041FA68}">
      <text>
        <r>
          <rPr>
            <b/>
            <sz val="9"/>
            <color indexed="81"/>
            <rFont val="Tahoma"/>
            <family val="2"/>
          </rPr>
          <t>Ria Garg:</t>
        </r>
        <r>
          <rPr>
            <sz val="9"/>
            <color indexed="81"/>
            <rFont val="Tahoma"/>
            <family val="2"/>
          </rPr>
          <t xml:space="preserve">
GENERA and HydroCo numbers are given, need to get LUMA numbers</t>
        </r>
      </text>
    </comment>
  </commentList>
</comments>
</file>

<file path=xl/sharedStrings.xml><?xml version="1.0" encoding="utf-8"?>
<sst xmlns="http://schemas.openxmlformats.org/spreadsheetml/2006/main" count="16520" uniqueCount="3383">
  <si>
    <t xml:space="preserve">Puerto Rico Electric Power Authority </t>
  </si>
  <si>
    <t>Rate Review Filing Schedules</t>
  </si>
  <si>
    <t>NEPR-AP-2023-0003</t>
  </si>
  <si>
    <t>Puerto Rico Electric Power Authority</t>
  </si>
  <si>
    <t>Revenue Requirement Table of Contents</t>
  </si>
  <si>
    <t>Description</t>
  </si>
  <si>
    <t>Schedule</t>
  </si>
  <si>
    <t xml:space="preserve"> </t>
  </si>
  <si>
    <t>Determination of Base Rates Revenue Requirement</t>
  </si>
  <si>
    <t>B-1</t>
  </si>
  <si>
    <t>Rate Year Result of Operations with Pro Forma Adjustments</t>
  </si>
  <si>
    <t>B-2</t>
  </si>
  <si>
    <t>Debt Service Requirements</t>
  </si>
  <si>
    <t>B-3</t>
  </si>
  <si>
    <t>Proposed Margin for Debt Service Requirements</t>
  </si>
  <si>
    <t>B-4</t>
  </si>
  <si>
    <t>Plant in Service and Accumulated Depreciation</t>
  </si>
  <si>
    <t>B-5</t>
  </si>
  <si>
    <t xml:space="preserve">Capital Lease Detail </t>
  </si>
  <si>
    <t>B-6</t>
  </si>
  <si>
    <t>Revenues Excluding Sale of Electricity</t>
  </si>
  <si>
    <t>B-7</t>
  </si>
  <si>
    <t>Balance Sheets</t>
  </si>
  <si>
    <t>C-1</t>
  </si>
  <si>
    <t>Results of Operation</t>
  </si>
  <si>
    <t>C-2</t>
  </si>
  <si>
    <t>Statement of Changes in Financial Position</t>
  </si>
  <si>
    <t>C-3</t>
  </si>
  <si>
    <t>Statement of Changes in PREPA's Net Position</t>
  </si>
  <si>
    <t>C-4</t>
  </si>
  <si>
    <t>Audited Financial Statements for Historical Year</t>
  </si>
  <si>
    <t>C-5</t>
  </si>
  <si>
    <t>FOMB-Certified PREPA Fiscal Plan</t>
  </si>
  <si>
    <t>C-6</t>
  </si>
  <si>
    <t>Utility Plant in Service and Accumulated Depreciation</t>
  </si>
  <si>
    <t>C-7</t>
  </si>
  <si>
    <t xml:space="preserve">Billing Determinants </t>
  </si>
  <si>
    <t>C-8</t>
  </si>
  <si>
    <t>Various Operating Statistics</t>
  </si>
  <si>
    <t>C-9</t>
  </si>
  <si>
    <t>Detail of Contributions in Lieu of Taxes with each Government Client</t>
  </si>
  <si>
    <t>C-10</t>
  </si>
  <si>
    <t>Accounts Receivable as of the Beginning of Rate Year</t>
  </si>
  <si>
    <t>C-11</t>
  </si>
  <si>
    <t xml:space="preserve">Projected Total Construction and Decommissioning Capital Expenditures </t>
  </si>
  <si>
    <t>D-1-Optimal</t>
  </si>
  <si>
    <t>Projected Construction and Decommissioning Capital Expenditures for Generation Assets</t>
  </si>
  <si>
    <t>D-2-Optimal</t>
  </si>
  <si>
    <t>Projected Construction and Decommissioning Capital Expenditures for Transmission Plant</t>
  </si>
  <si>
    <t>D-3-Optimal</t>
  </si>
  <si>
    <t>Projected Construction and Decommissioning Capital Expenditure for Distribution Plant</t>
  </si>
  <si>
    <t>D-4-Optimal</t>
  </si>
  <si>
    <t>D-1-Constrained</t>
  </si>
  <si>
    <t>D-2-Constrained</t>
  </si>
  <si>
    <t>D-3-Constrained</t>
  </si>
  <si>
    <t>D-4-Constrained</t>
  </si>
  <si>
    <t>Revenues at Present Rates</t>
  </si>
  <si>
    <t>E-1</t>
  </si>
  <si>
    <t>Consumer Analysis at Present Rates</t>
  </si>
  <si>
    <t>E-2</t>
  </si>
  <si>
    <t>Differences Between Rates</t>
  </si>
  <si>
    <t>E-3</t>
  </si>
  <si>
    <t>Customer Bill Impact Analysis</t>
  </si>
  <si>
    <t>E-4</t>
  </si>
  <si>
    <t>Bill Count And Bill Frequency Analysis</t>
  </si>
  <si>
    <t>E-5</t>
  </si>
  <si>
    <t xml:space="preserve">Proposed Tariffs </t>
  </si>
  <si>
    <t>F-1</t>
  </si>
  <si>
    <t>Current Tariffs Redlined</t>
  </si>
  <si>
    <t>F-2</t>
  </si>
  <si>
    <t>PREPA's Current Riders and Surcharges</t>
  </si>
  <si>
    <t>F-3</t>
  </si>
  <si>
    <t>Proposed Current Riders and Surcharges</t>
  </si>
  <si>
    <t>F-4</t>
  </si>
  <si>
    <t>Subsidies Reflected in Proposed Rates</t>
  </si>
  <si>
    <t>F-5</t>
  </si>
  <si>
    <t>Fuel and Purchased Power Costs</t>
  </si>
  <si>
    <t>F-6</t>
  </si>
  <si>
    <t>Energy Efficiency Rider</t>
  </si>
  <si>
    <t>F-7</t>
  </si>
  <si>
    <t>Description of Affiliates and Listing of Officers</t>
  </si>
  <si>
    <t>G</t>
  </si>
  <si>
    <t>PREPA's Estimate of its RPS Compliance Costs</t>
  </si>
  <si>
    <t>H</t>
  </si>
  <si>
    <t>LUMA's Explanation for Temporary Revenue Decoupling Mechanism</t>
  </si>
  <si>
    <t>I</t>
  </si>
  <si>
    <t xml:space="preserve">LUMA's Major Storm Cost Rider </t>
  </si>
  <si>
    <t>J</t>
  </si>
  <si>
    <t>Index of Filing Schedules</t>
  </si>
  <si>
    <t xml:space="preserve">Schedule </t>
  </si>
  <si>
    <t>Title</t>
  </si>
  <si>
    <t>Phase Type</t>
  </si>
  <si>
    <t>Reference Notes</t>
  </si>
  <si>
    <t>Development Notes</t>
  </si>
  <si>
    <t>LUMA Owner (Witness)</t>
  </si>
  <si>
    <t>Templated</t>
  </si>
  <si>
    <t>Completed</t>
  </si>
  <si>
    <t>N/A</t>
  </si>
  <si>
    <t>GH rate case team</t>
  </si>
  <si>
    <t>Progress Tracker</t>
  </si>
  <si>
    <t>Schedules A: Budgets</t>
  </si>
  <si>
    <t>A-1</t>
  </si>
  <si>
    <t>Optimal Budget</t>
  </si>
  <si>
    <t>Both Phase I &amp; II</t>
  </si>
  <si>
    <t xml:space="preserve">Templated </t>
  </si>
  <si>
    <t xml:space="preserve">Link Testimony Files potentially </t>
  </si>
  <si>
    <t>Andrew Smith</t>
  </si>
  <si>
    <t>x</t>
  </si>
  <si>
    <t>A-2</t>
  </si>
  <si>
    <t>Constrained Budget</t>
  </si>
  <si>
    <t>Schedules B: Summary Information</t>
  </si>
  <si>
    <t>Go Over with Finance</t>
  </si>
  <si>
    <t>Phase I</t>
  </si>
  <si>
    <t>Reference A-1</t>
  </si>
  <si>
    <t>Need External Documentation</t>
  </si>
  <si>
    <t>Reference A-2</t>
  </si>
  <si>
    <t xml:space="preserve">Projected Income Statement </t>
  </si>
  <si>
    <t>Need to Build from Scratch</t>
  </si>
  <si>
    <t>There are some references but cannot pinpoint which one: A-3, D-2, D-3, D-6, E-7, or F-2</t>
  </si>
  <si>
    <t>High and Low - third POA and Nominal Amount of Bonds. Leave high amount for now. PREPA to comment</t>
  </si>
  <si>
    <t>Internal To-Do</t>
  </si>
  <si>
    <t>No reference, but builds off of B-3</t>
  </si>
  <si>
    <t>High and Low - third POA and Nominal Amount of Bonds</t>
  </si>
  <si>
    <t>Reference A-4 (tab does not exist)</t>
  </si>
  <si>
    <t>No balance sheet</t>
  </si>
  <si>
    <t>X</t>
  </si>
  <si>
    <t>Reference D-4</t>
  </si>
  <si>
    <t>We have this info. Karla Narvaez would have info</t>
  </si>
  <si>
    <t xml:space="preserve">Not able to pinpoint a reference. Fees charged primarily. </t>
  </si>
  <si>
    <t>Third party attachments, vending machine revenue, interest income, Jose Gandia and Kalen, Charlie Stack. Historically, a portion of other income is cost recovery. (~50%+ needed to be returned to federal gov)</t>
  </si>
  <si>
    <t xml:space="preserve">Ria </t>
  </si>
  <si>
    <t>Schedules C: Financial Statements and Statistical Schedules</t>
  </si>
  <si>
    <t>Needs link to external document (Reference E-1)</t>
  </si>
  <si>
    <t>May be referenced to A-2</t>
  </si>
  <si>
    <t xml:space="preserve">Projected Income Statement - Karla Narvaez </t>
  </si>
  <si>
    <t>Needs link to external document (Reference E-3)</t>
  </si>
  <si>
    <t xml:space="preserve">Historical cash performance (?) - Follow up with Kalen </t>
  </si>
  <si>
    <t>Needs link to external document (Reference E-4)</t>
  </si>
  <si>
    <t>Needs link to external document (Reference I-2)</t>
  </si>
  <si>
    <t>Karla to provide latest version of the audited financial statements</t>
  </si>
  <si>
    <t>February 2025 Fiscal Plan PREPA</t>
  </si>
  <si>
    <t>Alejandro Figueroa</t>
  </si>
  <si>
    <t>Reference E-5 (tab does not exist)</t>
  </si>
  <si>
    <t>Phase II</t>
  </si>
  <si>
    <t>Reference H-2 (exists as a tab but has no content)</t>
  </si>
  <si>
    <t>Rate Design sheet for billing determinants - Consumer Analysis sheet - not columns I-Q. Sam has this in the COSS stuff, ask Sam. Getting from Joselyn (sales forecast)</t>
  </si>
  <si>
    <t>Joseline Estrada</t>
  </si>
  <si>
    <t>C-8 (2.0)</t>
  </si>
  <si>
    <t xml:space="preserve">Billing Determinants - Lighting </t>
  </si>
  <si>
    <t>Reference E-7</t>
  </si>
  <si>
    <t>Reference E-8 (exists as a tab but has no content)</t>
  </si>
  <si>
    <t>We will receive this information from Joseline Estrada Rivera</t>
  </si>
  <si>
    <t xml:space="preserve">Finance team has accounts receivable report </t>
  </si>
  <si>
    <t>Schedules D: Capital Expenditure and Cost-Sharing</t>
  </si>
  <si>
    <t>Reference F-3 from last year</t>
  </si>
  <si>
    <t>Cannot go into further detail than program-level. Pull these out. Go over these with Karla, and Gustavo tomorrow (March 05)</t>
  </si>
  <si>
    <t xml:space="preserve">Lily </t>
  </si>
  <si>
    <t>Probably will need to build independently, but builds off D-1</t>
  </si>
  <si>
    <t>Genera and HydroCo. No program detail as of now. Pull out into separate schedule to send</t>
  </si>
  <si>
    <t>Schedules E: Proposed Rates and Estimated Bill Impacts</t>
  </si>
  <si>
    <t>Revenues of Present, Optimal, and Constrained Rates</t>
  </si>
  <si>
    <t>Not able to pinpoint a reference. Present components are Phase 1.</t>
  </si>
  <si>
    <t>Reference C-8 for this one (whole sheet is E-1 + CA lighting)</t>
  </si>
  <si>
    <t>All</t>
  </si>
  <si>
    <t>Revenue Requirement Analysis at Present, Optimal, and Constrained Rates (Billing Determinants)</t>
  </si>
  <si>
    <t>Reference H-6 (exists as a tab but has no content). Present components are Phase 1.</t>
  </si>
  <si>
    <t xml:space="preserve">Can Sam's CSS be part of this schedule. Confirm with Sam if needed for Phase 1. Will present summary of E-1, should be linked </t>
  </si>
  <si>
    <t>Not able to pinpoint a reference</t>
  </si>
  <si>
    <t>Sam Shannon</t>
  </si>
  <si>
    <t>Reference H-4 (exists as a tab but has no content)</t>
  </si>
  <si>
    <t>Reference H-5 (exists as a tab but has no content)</t>
  </si>
  <si>
    <t>Jessica Laird</t>
  </si>
  <si>
    <t>Schedules F: Tariffs and Riders</t>
  </si>
  <si>
    <t>Reference J-1 (exists as a tab but has no content)</t>
  </si>
  <si>
    <t>Reference J-2 (exists as a tab but has no content)</t>
  </si>
  <si>
    <t>Reference J-3</t>
  </si>
  <si>
    <t>Probably will need to build independently, but builds off F-3</t>
  </si>
  <si>
    <t xml:space="preserve">Talk to Karla about these ones, include Jose Gandia on this one. Can we even prepare these? </t>
  </si>
  <si>
    <t>Reference J-4 (exists as a tab but has no content)</t>
  </si>
  <si>
    <t xml:space="preserve">Energy Efficiency - recovered through rider? Will this continue. Follow-up with Robin </t>
  </si>
  <si>
    <t>Schedules G: Information on Affiliates</t>
  </si>
  <si>
    <t>Reference K-1 (exists as a tab but has no content)</t>
  </si>
  <si>
    <t xml:space="preserve">PREPA information potentially. Conversation with DLA (Margarita). </t>
  </si>
  <si>
    <t xml:space="preserve">Jon  </t>
  </si>
  <si>
    <t>Schedules H: Renewable Portfolio Standard Compliance Costs</t>
  </si>
  <si>
    <t xml:space="preserve">Follow-up with Robin on this one. They might not report this one. </t>
  </si>
  <si>
    <t>Ria</t>
  </si>
  <si>
    <t>Schedules I: Revenue Decoupling Mechanism</t>
  </si>
  <si>
    <t xml:space="preserve">Will link to a document </t>
  </si>
  <si>
    <t xml:space="preserve">Schedules J: Major Storm Costs Rider </t>
  </si>
  <si>
    <t>Details</t>
  </si>
  <si>
    <r>
      <rPr>
        <b/>
        <sz val="11"/>
        <color theme="1"/>
        <rFont val="Calibri"/>
        <family val="2"/>
        <scheme val="minor"/>
      </rPr>
      <t>"Optimal Budget</t>
    </r>
    <r>
      <rPr>
        <sz val="11"/>
        <color theme="1"/>
        <rFont val="Calibri"/>
        <family val="2"/>
        <scheme val="minor"/>
      </rPr>
      <t>" means the budget that is necessary to provide to electricity
customers the quality of service required by (a) the Puerto Rico statutes, and
(b) the contracts under which LUMA and Genera provide that service. The
Optimal Budget must include the full-Service Fee (which includes the Fixed
Fee and the performance incentive fee). The Optimal Budget also must include the costs necessary to give each operator, if it performs prudently, a
reasonable opportunity to earn its respective incentive fee. Because a budget determines the rates, and because the rates must satisfy the
statutory just-and-reasonable standard, the budget document must show that
the derivation of the costs associated with earning the incentive fee satisfies
these two conditions:
1. The performance level that drives the costs and activities reflected
in the Optimal Budget must not exceed a just-and-reasonable
performance level.
2. The cost level proposed in the Optimal Budget to achieve any
particular metric must not exceed the cost level that a prudently
performing operator would incur to achieve that same metric, if
that utility were facing Puerto Rico's unique circumstances</t>
    </r>
  </si>
  <si>
    <r>
      <t>"</t>
    </r>
    <r>
      <rPr>
        <b/>
        <sz val="11"/>
        <color theme="1"/>
        <rFont val="Calibri"/>
        <family val="2"/>
        <scheme val="minor"/>
      </rPr>
      <t>Constrained Budget</t>
    </r>
    <r>
      <rPr>
        <sz val="11"/>
        <color theme="1"/>
        <rFont val="Calibri"/>
        <family val="2"/>
        <scheme val="minor"/>
      </rPr>
      <t>" means, for a particular Fiscal Year, a budget whose
total cost is less than the Optimal Budget by the amount that the Energy
Bureau deems necessary to provide a customer-sensitive transition from the
status quo (Fiscal Year 2025) to an Optimal Budget in FY 2028. The difference
between the proposed Optimal Budget and the proposed Constrained Budget
must reflect PREPA's, LUMA's, and Genera's recommendations about which
costs and activities in the Optimal Budget should be deferred.
These recommendations should consider, but need not be bound by,
consultations that the three companies hold with interested entities, including
but not limited to the Independent Consumer Protection Office; the
bondholders; government, industrial, and commercial customers; and
¡ providers of renewable energy.
The Constrained Budget must include costs to give a prudently performing
operator a reasonable opportunity to earn its respective incentive fee. That
opportunity might be affected by the proposed cost reductions and activity
deferrals. The Constrained Budget therefore may include proposed
adjustments to (a) the existing metrics and (b) the allocation of compensation
among the cost categories.
Because a budget determines the rates, and because the rates must satisfy the
statutory just-and-reasonable standard, the budget document must show that
the derivation of the costs associated with earning the incentive fee satisfies
these two conditions:
¯ The performance level that drives the costs and activities reflected
in the Optimal Budget must not exceed a just-and-reasonable
performance level.
¯ The cost level proposed in the Optimal Budget to achieve any metric
must not exceed the cost level that a prudently performing operator
would incur to achieve that same metric, if that utility were facing
Puerto Rico's unique circumstances.</t>
    </r>
  </si>
  <si>
    <t>Schedule B-1 shall include detailed spreadsheets showing the computation of the
revenue requirement requested by PREPA for the Rate Year and the Extension
Years. It shall also include a comparison, for each year, of revenues at current rates,
Optimal Base Rates, and Constrained Base Rates.</t>
  </si>
  <si>
    <t>Schedule B-2 shall contain a summary of the projected Results of Operations for the
Rate Year.</t>
  </si>
  <si>
    <t>Schedule B-3 shall contain a summary of debt service requirements. For the Rate
Year and each Extension Year, it shall contain each of the following (with each
expressed as total absolute dollars, and as an annualized amount for placement into
the revenue requirement):
(a) a summary of the debt service requirement associated with any debt not
subject to the Title III process; and
(b) for the debt that is subject to the Title III process, the debt service
requirement associated with each of two scenarios: the Legacy Debt-Low
Scenario and the Legacy Debt-Full Scenario.
(c) PREPA's obligation to the SREAEE, broken down as follows:
     (i) accrued debt due to unpaid employer contributions.
     (ii) future obligations under any applicable payment or restructuring plan.
     (iii) impact on revenue requirements and rates.</t>
  </si>
  <si>
    <t>Schedule B-4 shall contain, for each of the debt service requirements identified in
Schedule B-3, PREPA's proposed Margin.</t>
  </si>
  <si>
    <t>Schedule B-5 shall present PREPA's best estimate, accompanied by all necessary
documentation, of Plant in Service and Accumulated Depreciation for the Audited
Year Interim Years Rate Year and Extension Years.</t>
  </si>
  <si>
    <t>Schedule B 6 shall include information about any capital leases and the related
payment obligations for the Rate Year and the Extension Years.</t>
  </si>
  <si>
    <t>Schedule B-7 shall identify all revenues and income other than revenues from sale
of electricity. Such revenues and income include, without limitation, revenue from
pole attachments, contributions from the federal and Commonwealth governments,
interest income, and miscellaneous charges and fees. This figure shall reflect all
discounts, such as discounts to residents of public housing.</t>
  </si>
  <si>
    <t>Schedule C-1 shall show PREPA's balance sheets for the beginning and end of the
Audited Year and Interim Years at present rates; and the Rate Year and Extension
Years at present rates, Optimal Rates, and Constrained Rates.</t>
  </si>
  <si>
    <t>Schedule C-2 shall show PREPA's Results of Operations for the Audited Year and
Interim Years at present rates; and projected for the Rate Year at present rates,
Optimal Rates, and Constrained Rates.</t>
  </si>
  <si>
    <t>Schedule C-3 shall show a statement of PREPA's changes in financial position for the
Audited Year and Interim Years at present rates; and the Rate Year and Extension
Years at present rates, Optimal Rates, and Constrained Rates.</t>
  </si>
  <si>
    <t>Changes in Net Position Balance</t>
  </si>
  <si>
    <t>Schedule C-4 shall show, if not shown in Schedule C-3, a statement of PREPA's
changes in Net Position (Deficit) balance for the Audited Year and Interim Years at
present rates; and the Rate Year and Extension Years at present rates, Optimal Rates,
and Constrained Rates.</t>
  </si>
  <si>
    <t>Audited Financial Statements</t>
  </si>
  <si>
    <t>Schedule C-5 shall include, to the extent not already included, audited financial
statements and an independent auditor's opinion on such financial statements for
the Audited Year.</t>
  </si>
  <si>
    <t>Schedule C-6 shall include the most recent FOMB-certified PREPA Fiscal Plan.</t>
  </si>
  <si>
    <t>Schedule C-7 shall list all Utility Plant in Service and Accumulated Depreciation by
account for the Audited Year and Interim Years at present rates; and the Rate Year
and Extension Years at present rates, Optimal Rates, and Constrained Rates. Where
PREPA has different levels of confidence in different accounts, it shall identify and
describe those different levels of confidence in its estimates.</t>
  </si>
  <si>
    <t>Schedule C-8 shall present billing determinants (kW and kWh) by rate class for the
Audited Year, Interim Years, Rate Year, and Extension Years. Include a detailed
explanation of the year-to-year differences, and address effects on kW demand and
kWh consumption arising from residential solar, microgrids, and other forms of
distributed generation. For example, a change to the present treatment by which
NEM customers avoid the cost of various subsidies would affect revenues.</t>
  </si>
  <si>
    <t>Schedule C-9 shall show all available operating statistics, including (to the extent
applicable) debt service coverage, interest coverage, funds from operations, number
of employees (in full time equivalents) and other operating statistics used to manage
the business, for the Audited Year and Interim Years at present rates; and the Rate
Year and Extension Years at present rates, Optimal Rates, and Constrained Rates.
Schedule C-9 also shall include projections of payments to SREAEE, the number of
pension beneficiaries, and the impact of these obligations on the financial stability
of the system, all as certified by the FOMB in the Fiscal Plan for PREPA.</t>
  </si>
  <si>
    <t>Schedule C-1O shall show details of Contributions in Lieu of Taxes (CILT). It shall
include the Rate Year and Extension Year amounts of CILT associated with each
PREPA government client to which GILT applies.</t>
  </si>
  <si>
    <t>Schedule C-11 shall show a schedule of accounts receivable as of the beginning of
the Rate Year. The schedule shall show aging for all PREPA government customers.
It should separate customers to which CILT applies from customers to which CILT
does not apply.</t>
  </si>
  <si>
    <t>Schedule D-l shall summarize projected total construction and decommissioning
capital expenditures for the Rate Year and Extension Years, separated between these
asset categories: generation (including storage), transmission, and distribution.</t>
  </si>
  <si>
    <t>Schedule D 2 shall list projected construction and decommissioning capital
expenditures for generation assets including storage separately for each existing or
planned facility.</t>
  </si>
  <si>
    <t>Schedule D-3 shall list projected construction and decommissioning capital
expenditures for transmission plants, separately for each existing or planned
facility.</t>
  </si>
  <si>
    <t>Schedule D-4 shall list projected construction and decommissioning capital
expenditures for distribution plants, separately for each existing or planned facility.</t>
  </si>
  <si>
    <t>Schedule E-1 shall present a summary, by customer class, of revenues at present
rates, Optimal Base Rates, and Constrained Base Rates.</t>
  </si>
  <si>
    <t>Schedule E-2 shall present Proof of Revenue showing the revenue requirement at
present rates, Optimal Base Rates, and Constrained Base Rates. It shall show the
billing determinants, rates, and revenues for each customer class.</t>
  </si>
  <si>
    <t>Schedule E-3 shall present the differences between current rates, Optimal Base
Rates, and Constrained Base Rates, by customer class. Explain any changes of + / - 20 percent.</t>
  </si>
  <si>
    <t>Schedule E-4 shall present a customer bill impact analysis, showing dollar and
percent impacts for each customer class at varying levels of electric usage, for the
Optimal Base Rates and Constrained Base Rates, relative to present rates.</t>
  </si>
  <si>
    <t>Schedule E-5 shall present a Bill Frequency Analysis.</t>
  </si>
  <si>
    <t>Schedule F-1 shall present PREPA's proposed tariffs for both the Optimal Base Rate
and the Constrained Base Rate.</t>
  </si>
  <si>
    <t>Schedule F-2 shall present PREPA's current tariffs with changes in legal redIme to
show PREPA's proposed tariffs for both the Optimal Base Rate and the Constrained
Base Rate.</t>
  </si>
  <si>
    <t xml:space="preserve">Schedule F-3 shall describe PREPA's current riders and surcharges. The description
of each rider or surcharge shall include the following: (a) an explanation .of the
Inputs and calculations that produce the charges recovered by the riders, (b) the
charges for each month starting July 2024 through the present, and (c) estimated
charges for each month from the present through June 2026. </t>
  </si>
  <si>
    <t>Schedule F-4 shall describe and support any proposed changes to the current riders
and surcharges.</t>
  </si>
  <si>
    <t>Schedule F-5 shall include, to the extent not included in Schedule F-3, a list and
quantification of all subsidies reflected in the proposed rates. For each subsidy,
identify its legal authorization.</t>
  </si>
  <si>
    <t>PREPA's Actuals</t>
  </si>
  <si>
    <t>Schedule F-6 shall contain, to the extent not included in Schedule F-3, PREPA's
actuals for the Audited Year and Interim Years, and the projections for the Rate Year,
of the following: (a) fuel volumes and costs, by fuel type and generator or facility;
and (b) purchased power volumes and costs, by contract.</t>
  </si>
  <si>
    <t>Schedule F-7 shall describe the Energy Efficiency Rider ordered by the Energy
Bureau in Regulation 9367 (Energy Efficiency) and Regulation 9246 (Demand
Response). The description shall include (a) an explanation of the inputs and
calculations that will produce the charge recovered by the rider, and (b) an estimate
of the charge for each month, from the present through June 2026 along with an
explanation of the estimate. PREPA shall update this estimate with any specific
proposal PREPA makes to the Energy Bureau or any decision of the Energy Bureau.</t>
  </si>
  <si>
    <t>Schedule G shall describe all PREPA affiliates, including (but not limited to): Hub Advance
Network, LLC and HUB and Holding, LLC. Describe business purposes and functions; list all
officers, directors, and board members; provide all interaffiliate contracts; describe any
resource-sharing not addressed in the interaffiliate contracts; and, with maximum
objectivity, describe for each affiliate any permissible transfer of funds or any payments
between PREPA and their affiliates and the risks to electric customers arising from the
presence of that affiliate. Note for information purpose: PREPA Networks, LLC (formerly
known as PREPA Net) has been renamed Hud Advance Network, LLC for strategic reasons.
Its parent company, PREPA Holdings, LLC, has also changed its name to Hub and Holding,
LLC. Currently, Hub and Holding, LLC pays dividends to PREPA.</t>
  </si>
  <si>
    <t>Schedule H shall contain PREPA's good faith estimates of its RPS compliance costs. It shall
distinguish between (a) any RPS obligations incurred by PREPA from 2015 through June
30, 2025; and (b) PREPA's projected RPS obligations incurred for the rate year beginning
July 1, 2025. The estimate shall show total costs; and then for revenue requirement
purposes, an annualized amount reflecting pro rata recovery of the total over a proposed
period Schedule H also should contain a full explanation of each estimate.
The estimate shall identify and distinguish among the following costs:
(a) the cost incurred to provide credits to net-metering customers when (i) those
customers export excess energy production (not counting any accumulated excess that
exists at the end of the year), and (ii) that exported production is counted towards RPS
compliance;
(b) the cost incurred to provide credits to residential customers (75%) and public-school
customers (25%), when (i) those customers have excess energy production accumulated
after the end of the fiscal year, and (ii) that excess energy production is counted towards
RPS compliance;
(c) the cost incurred to buy renewable energy certificates under purchase power
agreements;
(d) the cost to buy renewable energy certificates in the market promulgated by the
proposed Regulation of Renewable Energy Certificates and compliance with the Renewable
Energy Portfolio of Puerto Rico (NEPR-MI-2021-OO11); and
(e) the cost incurred to pay fines for RPS noncompliance.</t>
  </si>
  <si>
    <t>Revenue Decoupling Mechanism</t>
  </si>
  <si>
    <t>To set a utility's base rates, the regulator divides forecasted costs by forecasted billing determinants-kWs of demand, kWhs of consumption, and number of customers. If, for a specific time period, the actual billing determinants fall below the forecasted levels, but the actual costs match the forecasted costs, the utility will not receive enough revenue to cover its costs. One solution to this problem is to "decouple" revenue from billing determinants. A typical revenue decoupling mechanism adjusts a utility's rates prospectively when, for a specific time period, the utility's actual revenue varies from regulator-projected revenue, specifically because the quantity of demand, consumption, or number of customers varies from the forecasts. In Schedule I, LUMA shall provide language for, and an explanation of, a temporary revenue_x0002_decoupling mechanism to accompany permanent rates. The proposed mechanism should provide for reconciliation at least semiannually. LUMA's proposal also should provide for an Energy Bureau opportunity to (a) review each initial proposal to adjust the rate, before the adjustment goes into effect; (b) at the end of each period in which an adjustment was in effect, perform a reconciliation if the adjustment's effects require one; and (c) review the mechanism itself before the start of FY 2027 and FY 2028</t>
  </si>
  <si>
    <t>Schedules J: Major Storm Costs Rider</t>
  </si>
  <si>
    <t>Major Storm Costs Rider</t>
  </si>
  <si>
    <t>Whereas revenue decoupling adjusts revenue when actual billing determinants vary from
projected billing determinants, a cost rider adjusts revenue when actual costs vary from projected costs. The costs from acts of nature, especially major storms, earthquakes, and hurricanes, are Puerto Rico's most hard-to-predict costs. These costs cause problems with cash flow. The electric system has a budgeted account for outage events, but major storms can cause costs that exceed the budgeted amount. When a major storm causes damage that LUMA or Genera must address immediately, and where the associated cost exceeds
budgeted cost, PREPA, LUMA, or Genera must use cash budgeted for other projects, thereby
delaying or disrupting those projects. A cost rider for major storms can ease these cash-flow problems. One version would work similarly to the fuel-cost rider, as follows: When LUMA or Genera incurs a major-storm cost that exceeds the amount in the budgeted-for account for outage events by some specified
amount, such as $5 million, it can apply to the Energy Bureau for a supplement. On reviewing the request for necessity and reasonableness, the Energy Bureau could approve the amount for recovery through the rider, over a specific period of time.
Section 7.5(d) LUMA's T&amp;D OMA' requires PREPA to maintain $30 million in an Outage Event Reserve Account. When LUMA withdraws funds to address outage costs, the OMA requires PREPA to replenish that account. But if the outage cost exceeds the amount budgeted for outages, the only way to replenish the account is to use funds designated for other purposes-thus leaving those other purposes unfulfilled and the associated projects disrupted. A rider would allow replenishment with less disruption. As an example: Assume that a post-outage restoration project cost $50 million. To cover that cost initially, LUMA would use the $30 million in the Outage Event Reserve Account and $20 million from some other account. LUMA then would seek permission from the Energy Bureau to recover the $50 million through the new rider, using those customer-supplied funds to replenish both the Outage Event Reserve Account and the other account. At the same time, LUMA would pursue and account for all available external sources, such as insurance proceeds and FEMA reimbursements. On receiving those external funds, LUMA would credit the rider for the amounts received. In Schedule J, LUMA shall provide language for, and an explanation of, a major-storm cost rider. As with the proposed revenue decoupling mechanism, LUMA's proposal should
provide for an Energy Bureau opportunity to (a) review each initial proposal to adjust the
rider, before the adjustment goes into effect; (b) at the end of each period in which the rider
was in effect, perform a reconciliation ifthe adjustment's effects require one; and (c) review
the mechanism itself before the start of FY 2027 and FY 2028. In the rate proceeding, the Energy Bureau will consider these submissions and determine whether to reject them or adopt them (with or without modification).</t>
  </si>
  <si>
    <t>OPTIMAL BUDGET</t>
  </si>
  <si>
    <t>A - 1</t>
  </si>
  <si>
    <t>FY  2026</t>
  </si>
  <si>
    <t>FY  2027</t>
  </si>
  <si>
    <t>FY  2028</t>
  </si>
  <si>
    <t xml:space="preserve">Line No. </t>
  </si>
  <si>
    <t>System</t>
  </si>
  <si>
    <r>
      <rPr>
        <sz val="10"/>
        <color rgb="FF000000"/>
        <rFont val="Arial"/>
        <family val="2"/>
      </rPr>
      <t xml:space="preserve">GenCo Dept #1 </t>
    </r>
    <r>
      <rPr>
        <i/>
        <sz val="10"/>
        <color rgb="FF0070C0"/>
        <rFont val="Arial"/>
        <family val="2"/>
      </rPr>
      <t>(Please Label)</t>
    </r>
  </si>
  <si>
    <r>
      <rPr>
        <sz val="10"/>
        <color rgb="FF000000"/>
        <rFont val="Arial"/>
        <family val="2"/>
      </rPr>
      <t xml:space="preserve">GenCo Dept #2 </t>
    </r>
    <r>
      <rPr>
        <i/>
        <sz val="10"/>
        <color rgb="FF0070C0"/>
        <rFont val="Arial"/>
        <family val="2"/>
      </rPr>
      <t>(Please Label)</t>
    </r>
  </si>
  <si>
    <r>
      <rPr>
        <sz val="10"/>
        <color rgb="FF000000"/>
        <rFont val="Arial"/>
        <family val="2"/>
      </rPr>
      <t xml:space="preserve">GenCo Dept #3 </t>
    </r>
    <r>
      <rPr>
        <i/>
        <sz val="10"/>
        <color rgb="FF0070C0"/>
        <rFont val="Arial"/>
        <family val="2"/>
      </rPr>
      <t>(Please Label)</t>
    </r>
  </si>
  <si>
    <r>
      <rPr>
        <sz val="10"/>
        <color rgb="FF000000"/>
        <rFont val="Arial"/>
        <family val="2"/>
      </rPr>
      <t xml:space="preserve">GenCo Dept #4 </t>
    </r>
    <r>
      <rPr>
        <i/>
        <sz val="10"/>
        <color rgb="FF0070C0"/>
        <rFont val="Arial"/>
        <family val="2"/>
      </rPr>
      <t>(Please Label)</t>
    </r>
  </si>
  <si>
    <t>GenCo</t>
  </si>
  <si>
    <r>
      <rPr>
        <sz val="10"/>
        <color rgb="FF000000"/>
        <rFont val="Arial"/>
        <family val="2"/>
      </rPr>
      <t xml:space="preserve">HydroCo Dept #1 </t>
    </r>
    <r>
      <rPr>
        <i/>
        <sz val="10"/>
        <color rgb="FF0070C0"/>
        <rFont val="Arial"/>
        <family val="2"/>
      </rPr>
      <t>(Please Label)</t>
    </r>
  </si>
  <si>
    <r>
      <rPr>
        <sz val="10"/>
        <color rgb="FF000000"/>
        <rFont val="Arial"/>
        <family val="2"/>
      </rPr>
      <t xml:space="preserve">HydroCo Dept #2 </t>
    </r>
    <r>
      <rPr>
        <i/>
        <sz val="10"/>
        <color rgb="FF0070C0"/>
        <rFont val="Arial"/>
        <family val="2"/>
      </rPr>
      <t>(Please Label)</t>
    </r>
  </si>
  <si>
    <r>
      <rPr>
        <sz val="10"/>
        <color rgb="FF000000"/>
        <rFont val="Arial"/>
        <family val="2"/>
      </rPr>
      <t xml:space="preserve">HydroCo Dept #3 </t>
    </r>
    <r>
      <rPr>
        <i/>
        <sz val="10"/>
        <color rgb="FF0070C0"/>
        <rFont val="Arial"/>
        <family val="2"/>
      </rPr>
      <t>(Please Label)</t>
    </r>
  </si>
  <si>
    <r>
      <rPr>
        <sz val="10"/>
        <color rgb="FF000000"/>
        <rFont val="Arial"/>
        <family val="2"/>
      </rPr>
      <t xml:space="preserve">HydroCo Dept #4 </t>
    </r>
    <r>
      <rPr>
        <i/>
        <sz val="10"/>
        <color rgb="FF0070C0"/>
        <rFont val="Arial"/>
        <family val="2"/>
      </rPr>
      <t>(Please Label)</t>
    </r>
  </si>
  <si>
    <t>HydroCo</t>
  </si>
  <si>
    <r>
      <rPr>
        <sz val="10"/>
        <color rgb="FF000000"/>
        <rFont val="Arial"/>
        <family val="2"/>
      </rPr>
      <t xml:space="preserve">HoldCo Dept #1 </t>
    </r>
    <r>
      <rPr>
        <i/>
        <sz val="10"/>
        <color rgb="FF0070C0"/>
        <rFont val="Arial"/>
        <family val="2"/>
      </rPr>
      <t>(Please Label)</t>
    </r>
  </si>
  <si>
    <r>
      <rPr>
        <sz val="10"/>
        <color rgb="FF000000"/>
        <rFont val="Arial"/>
        <family val="2"/>
      </rPr>
      <t xml:space="preserve">HoldCo Dept #2 </t>
    </r>
    <r>
      <rPr>
        <i/>
        <sz val="10"/>
        <color rgb="FF0070C0"/>
        <rFont val="Arial"/>
        <family val="2"/>
      </rPr>
      <t>(Please Label)</t>
    </r>
  </si>
  <si>
    <r>
      <rPr>
        <sz val="10"/>
        <color rgb="FF000000"/>
        <rFont val="Arial"/>
        <family val="2"/>
      </rPr>
      <t xml:space="preserve">HoldCo Dept #3 </t>
    </r>
    <r>
      <rPr>
        <i/>
        <sz val="10"/>
        <color rgb="FF0070C0"/>
        <rFont val="Arial"/>
        <family val="2"/>
      </rPr>
      <t>(Please Label)</t>
    </r>
  </si>
  <si>
    <r>
      <rPr>
        <sz val="10"/>
        <color rgb="FF000000"/>
        <rFont val="Arial"/>
        <family val="2"/>
      </rPr>
      <t xml:space="preserve">HoldCo Dept #4 </t>
    </r>
    <r>
      <rPr>
        <i/>
        <sz val="10"/>
        <color rgb="FF0070C0"/>
        <rFont val="Arial"/>
        <family val="2"/>
      </rPr>
      <t>(Please Label)</t>
    </r>
  </si>
  <si>
    <t>HoldCo</t>
  </si>
  <si>
    <t>Customer Experience</t>
  </si>
  <si>
    <t>Operations</t>
  </si>
  <si>
    <t>Utility Transformation</t>
  </si>
  <si>
    <t>Support Services</t>
  </si>
  <si>
    <t>Non-Federal Capital Expenditures</t>
  </si>
  <si>
    <t>GridCo</t>
  </si>
  <si>
    <t>(B.1)</t>
  </si>
  <si>
    <t>(B.2)</t>
  </si>
  <si>
    <t>(B.3)</t>
  </si>
  <si>
    <t>(B.4)</t>
  </si>
  <si>
    <t>(C.1)</t>
  </si>
  <si>
    <t>(C.2)</t>
  </si>
  <si>
    <t>(C.3)</t>
  </si>
  <si>
    <t>(C.4)</t>
  </si>
  <si>
    <t>(D.1)</t>
  </si>
  <si>
    <t>(D.2)</t>
  </si>
  <si>
    <t>(D.3)</t>
  </si>
  <si>
    <t>(D.4)</t>
  </si>
  <si>
    <t>SUM(1:5)</t>
  </si>
  <si>
    <t>Revenues</t>
  </si>
  <si>
    <t> </t>
  </si>
  <si>
    <t>Revenues from Sales of Electric Energy</t>
  </si>
  <si>
    <t>Fuel &amp; Purchased Power Revenue</t>
  </si>
  <si>
    <t>Basic Revenues</t>
  </si>
  <si>
    <t>CILT, Subsidies &amp; EE Riders</t>
  </si>
  <si>
    <t>Total Revenues from Sales of Electric Energy</t>
  </si>
  <si>
    <t xml:space="preserve">Federal Funding Cost Share </t>
  </si>
  <si>
    <t>Other Income</t>
  </si>
  <si>
    <t>Total Consolidated Revenues</t>
  </si>
  <si>
    <t>Bad Debt Expense</t>
  </si>
  <si>
    <t>CILT, Subsidies &amp; EE Cost (Contra-Revenue)</t>
  </si>
  <si>
    <t>Total Net Revenues</t>
  </si>
  <si>
    <t>Expenses</t>
  </si>
  <si>
    <t>Fuel and Purchased Power Expenses</t>
  </si>
  <si>
    <t>Fuel</t>
  </si>
  <si>
    <t>Purchased Power - Conventional</t>
  </si>
  <si>
    <t>Purchased Power - Renewable</t>
  </si>
  <si>
    <t>Total Fuel &amp; Purchase Power Expenses</t>
  </si>
  <si>
    <t>Operating &amp; Maintenance Expenses</t>
  </si>
  <si>
    <t>Labor Operating Expenses</t>
  </si>
  <si>
    <t>Salaries &amp; Wages</t>
  </si>
  <si>
    <t>Pension &amp; Benefits</t>
  </si>
  <si>
    <t>Overtime Pay</t>
  </si>
  <si>
    <t>Overtime Benefits</t>
  </si>
  <si>
    <t>Total Labor Operating Expenses</t>
  </si>
  <si>
    <t>Non-Labor / Other Operating Expenses</t>
  </si>
  <si>
    <t>Materials &amp; Supplies</t>
  </si>
  <si>
    <t>Transportation, Per Diem, and Mileage</t>
  </si>
  <si>
    <t>Property &amp; Casualty Insurance</t>
  </si>
  <si>
    <t>Retiree Medical Benefits</t>
  </si>
  <si>
    <t>Security</t>
  </si>
  <si>
    <t>IT Service Agreements</t>
  </si>
  <si>
    <t>Banking Services</t>
  </si>
  <si>
    <t>Utilities &amp; Rents</t>
  </si>
  <si>
    <t>Legal Services</t>
  </si>
  <si>
    <t>Communications Expenses</t>
  </si>
  <si>
    <t>Professional &amp; Technical Outsourced Services</t>
  </si>
  <si>
    <t>Vegetation Management</t>
  </si>
  <si>
    <t>Regulation and Environmental Inspection</t>
  </si>
  <si>
    <t>External Audit Services</t>
  </si>
  <si>
    <t>Equipment, Inspections, Repairs &amp; Other O&amp;M</t>
  </si>
  <si>
    <t>PREPA Restructuring &amp; Title III</t>
  </si>
  <si>
    <t>FOMB Advisor Costs allocated to PREPA</t>
  </si>
  <si>
    <t>P3 Authority Transaction Costs</t>
  </si>
  <si>
    <t>Other Expenses</t>
  </si>
  <si>
    <t>Total Non-Labor / Other Operating Expenses</t>
  </si>
  <si>
    <t>Total Operating Expenses</t>
  </si>
  <si>
    <t>Share Services Agreement Impact</t>
  </si>
  <si>
    <t xml:space="preserve">Total Operating Expenses, Adjusted </t>
  </si>
  <si>
    <t>LUMA Fees</t>
  </si>
  <si>
    <t>2% Reserve for Excess Expenditures</t>
  </si>
  <si>
    <t>Genera Fixed Fees</t>
  </si>
  <si>
    <t>Genera Performance Fees</t>
  </si>
  <si>
    <t>Total Other Expenses</t>
  </si>
  <si>
    <t>Maintenance Projects (Non-Federally Funded Capital Expenditures)</t>
  </si>
  <si>
    <t>Transmission &amp; Distribution (LUMA Non-Federally Funded Capital Expenditures)</t>
  </si>
  <si>
    <t>Executive (General &amp; Admin)</t>
  </si>
  <si>
    <t>Customer Service</t>
  </si>
  <si>
    <t>Planning and Environmental Protection</t>
  </si>
  <si>
    <t>Total Maintenance Projects</t>
  </si>
  <si>
    <t>Federal Funding Cost Share (Commonwealth Match Obligation)</t>
  </si>
  <si>
    <t>Total Non-F&amp;PP O&amp;M Expense</t>
  </si>
  <si>
    <t>Total Operating &amp; Maintenance Expenses</t>
  </si>
  <si>
    <t>Surplus / (Deficit) Before Pension and Debt</t>
  </si>
  <si>
    <t>Commonwealth Funding for Expenses (not included for recovery)</t>
  </si>
  <si>
    <t>Total Operating Net Income</t>
  </si>
  <si>
    <t>Target Net Income</t>
  </si>
  <si>
    <t>Income Deficiency ($)</t>
  </si>
  <si>
    <t>Income Deficiency (%)</t>
  </si>
  <si>
    <t>Identified Federally Funded Capital Expenditures (not included for recovery)</t>
  </si>
  <si>
    <t>CONSTRAINED BUDGET</t>
  </si>
  <si>
    <t>A - 2</t>
  </si>
  <si>
    <t>Test Year 
FY2026</t>
  </si>
  <si>
    <t>Adjustments to Match Pass-Through Rev &amp; Exp</t>
  </si>
  <si>
    <t>Adjusted Test Year FY2026</t>
  </si>
  <si>
    <t>Test Year 
FY2027</t>
  </si>
  <si>
    <t>Adjusted Test Year FY2027</t>
  </si>
  <si>
    <t>Test Year 
FY2028</t>
  </si>
  <si>
    <t>Adjusted Test Year FY2028</t>
  </si>
  <si>
    <t>(B)</t>
  </si>
  <si>
    <t>(C=A+B)</t>
  </si>
  <si>
    <t>Operating Expenses</t>
  </si>
  <si>
    <t>Fuel and Purchased Power</t>
  </si>
  <si>
    <t>Non-Fuel/PP Operating Expenses</t>
  </si>
  <si>
    <t>GenCo Operating and Non-Federally Funded Capital Expenditures</t>
  </si>
  <si>
    <t>HydroCo Operating and Non-Federally Capital Expenditures</t>
  </si>
  <si>
    <t>HoldCo Operating Expenditures</t>
  </si>
  <si>
    <t>GridCo Operating and Non-Federally Funded Capital Expenditures</t>
  </si>
  <si>
    <t>Operator Fees and Other Expenses</t>
  </si>
  <si>
    <t>Subtotal Operating Expenses</t>
  </si>
  <si>
    <t>Subsidies</t>
  </si>
  <si>
    <t>CILT &amp; Subsidies (Contra-Revenue)</t>
  </si>
  <si>
    <t>Subtotal Subsidies</t>
  </si>
  <si>
    <t>Total Revenue Requirement</t>
  </si>
  <si>
    <t>Revenue and Other Income</t>
  </si>
  <si>
    <t>Base Rate Revenue</t>
  </si>
  <si>
    <t>Fuel &amp; Purchased Power</t>
  </si>
  <si>
    <t>Subtotal Revenue and Other Income</t>
  </si>
  <si>
    <t>Net Operating Income</t>
  </si>
  <si>
    <t>Required Net Operating Income</t>
  </si>
  <si>
    <t>Base Rate Revenue Excess (Deficiency)</t>
  </si>
  <si>
    <t>Deficiency Percentage</t>
  </si>
  <si>
    <t>Title III Charges</t>
  </si>
  <si>
    <t>Legacy Debt Obligation</t>
  </si>
  <si>
    <t>Legacy Pension Obligation</t>
  </si>
  <si>
    <t>Legacy Obligation Excess (Deficiency)</t>
  </si>
  <si>
    <t xml:space="preserve">Not included for rate recovery </t>
  </si>
  <si>
    <t xml:space="preserve">Federally Funded Capital Expenditures </t>
  </si>
  <si>
    <t>Address</t>
  </si>
  <si>
    <t>ValueType</t>
  </si>
  <si>
    <t>Value</t>
  </si>
  <si>
    <t>ConnectionName</t>
  </si>
  <si>
    <t>Bad Debt Assumption</t>
  </si>
  <si>
    <t>Optimal</t>
  </si>
  <si>
    <t>FY2026</t>
  </si>
  <si>
    <t>FY2027</t>
  </si>
  <si>
    <t>FY2028</t>
  </si>
  <si>
    <t>Rev. Requirement</t>
  </si>
  <si>
    <t>Bad debt assumption</t>
  </si>
  <si>
    <t>Bad Debt</t>
  </si>
  <si>
    <t>(see schedule B-1 Optimal)</t>
  </si>
  <si>
    <t>Constrained</t>
  </si>
  <si>
    <t>Rev Requirement</t>
  </si>
  <si>
    <t>(see schedule B-1 Constrained)</t>
  </si>
  <si>
    <t xml:space="preserve">Rev Requirement Contains: </t>
  </si>
  <si>
    <t>Sheet Name</t>
  </si>
  <si>
    <t>Start Cell</t>
  </si>
  <si>
    <t>End Cell</t>
  </si>
  <si>
    <t>BusinessArea Name</t>
  </si>
  <si>
    <t>ReportGroup Name</t>
  </si>
  <si>
    <t>Report Name</t>
  </si>
  <si>
    <t>Parameters</t>
  </si>
  <si>
    <t>Rows</t>
  </si>
  <si>
    <t>User Id</t>
  </si>
  <si>
    <t>BusinessArea Id</t>
  </si>
  <si>
    <t>ReportGroup Id</t>
  </si>
  <si>
    <t>Report Id</t>
  </si>
  <si>
    <t>Headers</t>
  </si>
  <si>
    <t>Pivot Sheet Name Ref</t>
  </si>
  <si>
    <t>Sheet Name Ref</t>
  </si>
  <si>
    <t>Process Id</t>
  </si>
  <si>
    <t>Splash SessionID</t>
  </si>
  <si>
    <t>Status</t>
  </si>
  <si>
    <t>Pivot Sheet Name</t>
  </si>
  <si>
    <t>Old ProcessId</t>
  </si>
  <si>
    <t>ColumnsCount</t>
  </si>
  <si>
    <t>Download Time</t>
  </si>
  <si>
    <t>Error Message</t>
  </si>
  <si>
    <t>MandatoryParameters</t>
  </si>
  <si>
    <t>Json ParameterString</t>
  </si>
  <si>
    <t>StartTime</t>
  </si>
  <si>
    <t>EndTime</t>
  </si>
  <si>
    <t>UserGroup ID</t>
  </si>
  <si>
    <t>IsModifyReport</t>
  </si>
  <si>
    <t>Modify Report JSON</t>
  </si>
  <si>
    <t>Display Title</t>
  </si>
  <si>
    <t>Responsibility Name</t>
  </si>
  <si>
    <t>OCRunType</t>
  </si>
  <si>
    <t>OcTrialConnectionId</t>
  </si>
  <si>
    <t>Prior Year Audited and Unaudited Years Actuals</t>
  </si>
  <si>
    <t>FY 2026</t>
  </si>
  <si>
    <t>FY 2027</t>
  </si>
  <si>
    <t>FY 2028</t>
  </si>
  <si>
    <t>FY 2022</t>
  </si>
  <si>
    <t>FY  2023</t>
  </si>
  <si>
    <t>FY  2024</t>
  </si>
  <si>
    <t>YTD 25 (December)</t>
  </si>
  <si>
    <t>Optimal Revenue Requirement</t>
  </si>
  <si>
    <t>Constrained Revenue Requirement</t>
  </si>
  <si>
    <t>Audited*</t>
  </si>
  <si>
    <t>Unaudited*</t>
  </si>
  <si>
    <t>Revenue</t>
  </si>
  <si>
    <t>Total Revenue at Present Rates</t>
  </si>
  <si>
    <t>Total Revenues</t>
  </si>
  <si>
    <t>.</t>
  </si>
  <si>
    <t>Non-Labor Operating Expenses</t>
  </si>
  <si>
    <t>Plant Maintenance Services</t>
  </si>
  <si>
    <t>Miscellaneous Expenses</t>
  </si>
  <si>
    <t>Total Non-Labor Operating Expenses</t>
  </si>
  <si>
    <t>Shared Services</t>
  </si>
  <si>
    <t>Commonwealth Funding for Expenses</t>
  </si>
  <si>
    <t>* LUMA has sourced this information from the Oracle general ledger for presentation. Due to FY22 audit potentially having top level PREPA audit adjustments that are not posted to the Oracle GL, FY22 cannot be confirmed as aligned with the FY22 audited financials. The historical presented numbers herein, FY22-25, should be validated by each respective entity (PREPA and Genera) and confirmed. Due to timing constraints with the filing the information as available is presented by LUMA as per Oracle.</t>
  </si>
  <si>
    <t xml:space="preserve">Test Years </t>
  </si>
  <si>
    <t>(C)</t>
  </si>
  <si>
    <t>(D)</t>
  </si>
  <si>
    <t xml:space="preserve">New Debt </t>
  </si>
  <si>
    <t>Beginning Balance</t>
  </si>
  <si>
    <t>Principal</t>
  </si>
  <si>
    <t>Exp. Debt Interest</t>
  </si>
  <si>
    <t>Debt Service</t>
  </si>
  <si>
    <t>Subtotal Title</t>
  </si>
  <si>
    <t>LEGACY DEBT</t>
  </si>
  <si>
    <t>Low Scenario A - Debt Subject to Title III (Plan of Adjustment filed on 3/28/2025)</t>
  </si>
  <si>
    <t>Series A Bonds in Aggregate: Expected Cash Flows</t>
  </si>
  <si>
    <t>Subtotal Series A Bonds in Aggregate: Expected Cash Flows</t>
  </si>
  <si>
    <t>Series B Bonds in Aggregate: Expected Cash Flows</t>
  </si>
  <si>
    <t>Subtotal Series B Bonds in Aggregate: Expected Cash Flows</t>
  </si>
  <si>
    <t>Series A &amp; Series B Expected Cash Flows</t>
  </si>
  <si>
    <t>Total Low: Series A &amp; Series B in Aggregate Expected Cash Flows</t>
  </si>
  <si>
    <t>Full Scenario - Debt Subject to Title III (2025 FOMB Certified Fiscal Plan for PREPA)</t>
  </si>
  <si>
    <t>Fuel Lines</t>
  </si>
  <si>
    <t>Legacy Bonds</t>
  </si>
  <si>
    <t>Total High: Series A &amp; Series B in Aggregate Expected Cash Flows</t>
  </si>
  <si>
    <t>Pension Obligation</t>
  </si>
  <si>
    <t>PAYGO Funding for PREPA ERS</t>
  </si>
  <si>
    <t>Retiree Medical Benefits (OPEB)</t>
  </si>
  <si>
    <t>Notes:</t>
  </si>
  <si>
    <t>1)</t>
  </si>
  <si>
    <t>The Fifth Amended Plan of Adjustment and Disclosure Statement sets forth: "PREPA has no independent capacity to support debt service in addition to its necessary
 operating expenses. A source outside of PREPA will therefore be providing approximately $2.6 billion to the Rate Reduction Fund to provide expense relief sufficient 
to support restructured debt service on the New Bonds, which Rate Reduction Fund will be used to support PREPA’s restructured pension obligations and other 
necessary operating expenses. Distributions to creditors will be structured predominantly in the form of cash through the sale of the New Bonds."</t>
  </si>
  <si>
    <t>2)</t>
  </si>
  <si>
    <t>The Plan of Adjustment preserves the right to pay all creditors in cash rather than issue some or all of the New Bonds.  The Rate Reduction Fund will only be funded to the extent that New Bonds are issued.</t>
  </si>
  <si>
    <t>3)</t>
  </si>
  <si>
    <t>The Full Scenario represents payment of all outstanding principal of $8,258,614,148.00, and accrued and unpaid prepetition interest in the aggregate amount of $217,903,197.39, which equals $8,476,517,345.39 in total. Post-petition interest is excluded from this scenario because PREPA and the Oversight Board do not believe that bondholders are legally entitled to payment of post-petition interest.</t>
  </si>
  <si>
    <t>4)</t>
  </si>
  <si>
    <t>The illustrative unrestructured debt in the Full Scenario assumes amortization of principal balances and and unpaid prepetition interest over 20 years at 5.25% interest, consistent</t>
  </si>
  <si>
    <t>with the 2025 FOMB Certified Fiscal Plan for PREPA.</t>
  </si>
  <si>
    <t>5)</t>
  </si>
  <si>
    <t xml:space="preserve">PAYGO Funding for PREPA ERS and OPEB are based on projections in the 2025 FOMB Certified Fiscal Plan for PREPA. </t>
  </si>
  <si>
    <t xml:space="preserve">Low Legacy Debt Scenario &amp; Optimal Budget </t>
  </si>
  <si>
    <t xml:space="preserve">
FY2026</t>
  </si>
  <si>
    <t xml:space="preserve">
FY2028</t>
  </si>
  <si>
    <t>Total Consolidated Revenue Net of Shared System Expenses</t>
  </si>
  <si>
    <t xml:space="preserve">Total Operating And Maintenance Expenditures </t>
  </si>
  <si>
    <t xml:space="preserve">Total Operating Net Income </t>
  </si>
  <si>
    <t xml:space="preserve">Total  Debt Service </t>
  </si>
  <si>
    <t>Target Adjusted Operating Net Income (ADSC ratio of 1.3x)</t>
  </si>
  <si>
    <t xml:space="preserve">Additional Margin </t>
  </si>
  <si>
    <t xml:space="preserve">Low Legacy Debt Scenario &amp; Constrained Budget </t>
  </si>
  <si>
    <t xml:space="preserve">High Legacy Debt Scenario &amp; Optimal Budget </t>
  </si>
  <si>
    <t xml:space="preserve">High Legacy Debt Scenario &amp; Constrained Budget </t>
  </si>
  <si>
    <t xml:space="preserve">Please refer to Schedule C7 for the same information requested herein. </t>
  </si>
  <si>
    <t>Test Years</t>
  </si>
  <si>
    <t>Classification</t>
  </si>
  <si>
    <t>HydroCo Capital Leases</t>
  </si>
  <si>
    <t>Example Lease #1</t>
  </si>
  <si>
    <t>Example Lease #2</t>
  </si>
  <si>
    <t>Example Lease #3</t>
  </si>
  <si>
    <t>Example Lease #4</t>
  </si>
  <si>
    <t>Example Lease #5</t>
  </si>
  <si>
    <t>Total HydroCo Capital Leases</t>
  </si>
  <si>
    <t>HoldCo Capital Leases</t>
  </si>
  <si>
    <t>Total HoldCo Capital Leases</t>
  </si>
  <si>
    <t>GridCo Capital Leases</t>
  </si>
  <si>
    <t>EQ0001-00473</t>
  </si>
  <si>
    <t>Operations Field Equipment</t>
  </si>
  <si>
    <t>EQ0002-00089</t>
  </si>
  <si>
    <t>EQ0003-00130</t>
  </si>
  <si>
    <t>Copiers</t>
  </si>
  <si>
    <t>Total GridCo Capital Leases</t>
  </si>
  <si>
    <t>Other Operating Revenue</t>
  </si>
  <si>
    <t>Interest Income</t>
  </si>
  <si>
    <t>Third Party Attachments</t>
  </si>
  <si>
    <t>Late Payment Fees</t>
  </si>
  <si>
    <t>Net Metering Filing Fees</t>
  </si>
  <si>
    <t>Net Metering Supp. Studies Fees</t>
  </si>
  <si>
    <t>Other Services Revenue</t>
  </si>
  <si>
    <t>Miscellaneous Charges and Fees</t>
  </si>
  <si>
    <t>Total Other Operating Income</t>
  </si>
  <si>
    <t>C-1 Schedule Requirement
Note: See PREPA's most recent available audited financial statements.</t>
  </si>
  <si>
    <t>OPTIMAL REVENUE REQUIREMENT FY2026</t>
  </si>
  <si>
    <t>OPTIMAL REVENUE REQUIREMENT FY2027</t>
  </si>
  <si>
    <t>OPTIMAL REVENUE REQUIREMENT FY2028</t>
  </si>
  <si>
    <t>Rate Year 
FY2026</t>
  </si>
  <si>
    <t>Adjusted Rate Year FY2026</t>
  </si>
  <si>
    <t>Rate Year 
FY2027</t>
  </si>
  <si>
    <t>Adjusted Rate Year FY2027</t>
  </si>
  <si>
    <t>Rate Year 
FY2028</t>
  </si>
  <si>
    <t>Adjusted Rate Year FY2028</t>
  </si>
  <si>
    <t>(A)</t>
  </si>
  <si>
    <t>(E)</t>
  </si>
  <si>
    <t>(F=sum[A:E])</t>
  </si>
  <si>
    <t>(G)</t>
  </si>
  <si>
    <t>(P=N+O)</t>
  </si>
  <si>
    <t>(I)</t>
  </si>
  <si>
    <t>(J)</t>
  </si>
  <si>
    <t>(K)</t>
  </si>
  <si>
    <t>(L)</t>
  </si>
  <si>
    <t>(M)</t>
  </si>
  <si>
    <t>(N=sum[I:M])</t>
  </si>
  <si>
    <t>(O)</t>
  </si>
  <si>
    <t>(Q)</t>
  </si>
  <si>
    <t>(R)</t>
  </si>
  <si>
    <t>(S)</t>
  </si>
  <si>
    <t>(T)</t>
  </si>
  <si>
    <t>(U)</t>
  </si>
  <si>
    <t>(H=F+G)</t>
  </si>
  <si>
    <t>GridCo Storm Reserve Account</t>
  </si>
  <si>
    <t>GenCo Reserve Account</t>
  </si>
  <si>
    <t>CONSTRAINED REVENUE REQUIREMENT FY2026</t>
  </si>
  <si>
    <t>CONSTRAINED REVENUE REQUIREMENTS FY2027</t>
  </si>
  <si>
    <t>CONSTRAINED REVENUE REQUIREMENTS FY2028</t>
  </si>
  <si>
    <t>Information</t>
  </si>
  <si>
    <t xml:space="preserve">- Tabs C-2 Optimal and C-2 Constrained of this workbook contain all of LUMA, PREPA's, and Genera's known updates to the revenue requirement at the time of filing. </t>
  </si>
  <si>
    <t>- All other tabs that are hidden are intentionally hidden. This is to retain the integrity of the filing schedules, which are currently linked and roll up to C-2.</t>
  </si>
  <si>
    <r>
      <t xml:space="preserve">- The only tabs that are intentionally not hidden are </t>
    </r>
    <r>
      <rPr>
        <i/>
        <sz val="11"/>
        <color theme="1"/>
        <rFont val="Calibri"/>
        <family val="2"/>
        <scheme val="minor"/>
      </rPr>
      <t xml:space="preserve">Information, C-2 Optimal, C-2 Constrained, </t>
    </r>
    <r>
      <rPr>
        <sz val="11"/>
        <color theme="1"/>
        <rFont val="Calibri"/>
        <family val="2"/>
        <scheme val="minor"/>
      </rPr>
      <t xml:space="preserve">and </t>
    </r>
    <r>
      <rPr>
        <i/>
        <sz val="11"/>
        <color theme="1"/>
        <rFont val="Calibri"/>
        <family val="2"/>
        <scheme val="minor"/>
      </rPr>
      <t xml:space="preserve">FY26-FY28_PREPA Consolidated. </t>
    </r>
  </si>
  <si>
    <t>- Columns A through L contain the revenue requirement by entity for FY2026, as filed on July 3rd, 2025</t>
  </si>
  <si>
    <t>- Columns N through T contain the updates to the revenue requirement by entity for FY2026</t>
  </si>
  <si>
    <t>- Column U shows the updated revenue requirement for FY2026</t>
  </si>
  <si>
    <t>- Columns W through AC contain the revenue requirement by entity for FY2027, as filed on July 3rd, 2025</t>
  </si>
  <si>
    <t>- Columns AE through AK contain the updates to the revenue requirement by entity for FY2027</t>
  </si>
  <si>
    <t>- Column AL shows the updated revenue requirement for FY2027</t>
  </si>
  <si>
    <t>- Columns AN through AT contain the revenue requirement by entity for FY2028, as filed on July 3rd, 2025</t>
  </si>
  <si>
    <t>- Columns AV through BB contain the updates to the revenue requirement by entity for FY2028</t>
  </si>
  <si>
    <t>- Column BD shows the updated revenue requirement for FY2026</t>
  </si>
  <si>
    <t>LUMA Updates</t>
  </si>
  <si>
    <r>
      <t xml:space="preserve">- LUMA's updates to the revenue requirement are described in </t>
    </r>
    <r>
      <rPr>
        <i/>
        <sz val="11"/>
        <color theme="1"/>
        <rFont val="Calibri"/>
        <family val="2"/>
        <scheme val="minor"/>
      </rPr>
      <t>PC-of-LUMA-FIN-2.docx</t>
    </r>
    <r>
      <rPr>
        <sz val="11"/>
        <color theme="1"/>
        <rFont val="Calibri"/>
        <family val="2"/>
        <scheme val="minor"/>
      </rPr>
      <t>. That document should be used as a map to navigate LUMA's updates</t>
    </r>
  </si>
  <si>
    <t>Genera's Updates</t>
  </si>
  <si>
    <t xml:space="preserve">- Genera's updates to the revenue requirement  are shown in columns O, AF, and AW. </t>
  </si>
  <si>
    <t>PREPA's Updates</t>
  </si>
  <si>
    <r>
      <t xml:space="preserve">- PREPA's revenue requirement as provided 6/30/25 is included as the tab </t>
    </r>
    <r>
      <rPr>
        <i/>
        <sz val="11"/>
        <color theme="1"/>
        <rFont val="Calibri"/>
        <family val="2"/>
        <scheme val="minor"/>
      </rPr>
      <t xml:space="preserve">FY26-fy28_PREPA Consolidated. </t>
    </r>
  </si>
  <si>
    <r>
      <t xml:space="preserve">- LUMA has added a mapping column </t>
    </r>
    <r>
      <rPr>
        <i/>
        <sz val="11"/>
        <color theme="1"/>
        <rFont val="Calibri"/>
        <family val="2"/>
        <scheme val="minor"/>
      </rPr>
      <t>(Column I)</t>
    </r>
    <r>
      <rPr>
        <sz val="11"/>
        <color theme="1"/>
        <rFont val="Calibri"/>
        <family val="2"/>
        <scheme val="minor"/>
      </rPr>
      <t xml:space="preserve"> to facilitate formulaic inclusion of PREPA's revenue requirement</t>
    </r>
  </si>
  <si>
    <t>- PREPA's updates to the revenue requirement for HoldCo (including the costs for the retirement system and pension) have been incorporated by formulaic reference back to their revenue requirement tab. These adjustments are reflected in columns Q, AH, and AY</t>
  </si>
  <si>
    <t>- PREPA's updates to the revenue requirement for HydroCo have been incorporated by formulaic reference back to their revenue requirement tab. These adjustmentsare reflected in columns P, AG, and AX</t>
  </si>
  <si>
    <t>July 3rd Total O&amp;M</t>
  </si>
  <si>
    <t>PREPA Placeholder</t>
  </si>
  <si>
    <t>PREPA Revenue Requirement</t>
  </si>
  <si>
    <t>PREPA Pension</t>
  </si>
  <si>
    <t>Genera Addition</t>
  </si>
  <si>
    <t>LUMA Adjustments</t>
  </si>
  <si>
    <t>FOMB Advisory</t>
  </si>
  <si>
    <t>LUMA Interim</t>
  </si>
  <si>
    <t>Revised Revenue Requirement</t>
  </si>
  <si>
    <t>Check</t>
  </si>
  <si>
    <t>System Adjustments</t>
  </si>
  <si>
    <t>GenCo Adjustments</t>
  </si>
  <si>
    <t>HydroCo Adjustments</t>
  </si>
  <si>
    <t>HoldCo Adjustments</t>
  </si>
  <si>
    <t>GridCo Adjustments</t>
  </si>
  <si>
    <t>HoldCo General Civil Cases Settlement and Judgments</t>
  </si>
  <si>
    <t>HoldCo Eminent Domain Cases Settlement and Judgments</t>
  </si>
  <si>
    <t>HoldCo ERS Pension Funding Requirement</t>
  </si>
  <si>
    <t>REF ONLY</t>
  </si>
  <si>
    <t>PREPA FY2026 to FY2028 Budget Projections for HoldCo, Retirement System and HydroCo</t>
  </si>
  <si>
    <t>($ in thousands)</t>
  </si>
  <si>
    <t>Resp 001</t>
  </si>
  <si>
    <t>Resp 002</t>
  </si>
  <si>
    <t>Resp 003</t>
  </si>
  <si>
    <t>Resp 004</t>
  </si>
  <si>
    <t>Resp 012</t>
  </si>
  <si>
    <t>Resp 014</t>
  </si>
  <si>
    <t>Resp 015</t>
  </si>
  <si>
    <t>Resp 022</t>
  </si>
  <si>
    <t>Resp 050</t>
  </si>
  <si>
    <t>Resp 067</t>
  </si>
  <si>
    <t>Resp 118</t>
  </si>
  <si>
    <t>Resp 172</t>
  </si>
  <si>
    <t>Resp 176</t>
  </si>
  <si>
    <t>Resp 183</t>
  </si>
  <si>
    <t>Resp 195</t>
  </si>
  <si>
    <t>Resp 218</t>
  </si>
  <si>
    <t>Resp 241</t>
  </si>
  <si>
    <t>Resp 272</t>
  </si>
  <si>
    <t>Resp 651</t>
  </si>
  <si>
    <t>Resp 666</t>
  </si>
  <si>
    <t>Corporate Resp 614</t>
  </si>
  <si>
    <t>Corporate Resp 615</t>
  </si>
  <si>
    <t>Corporate Resp 627</t>
  </si>
  <si>
    <t>Corporate Resp 630</t>
  </si>
  <si>
    <t>Corporate Resp 631</t>
  </si>
  <si>
    <t>Corporate Resp 644</t>
  </si>
  <si>
    <t>Corporate Resp 673</t>
  </si>
  <si>
    <t>Corporate Resp 643</t>
  </si>
  <si>
    <t xml:space="preserve">Total FY2026 </t>
  </si>
  <si>
    <t>Resp 016</t>
  </si>
  <si>
    <t>Corporate Resp 616</t>
  </si>
  <si>
    <t>Resp 169</t>
  </si>
  <si>
    <t>Resp 287</t>
  </si>
  <si>
    <t>Resp 289</t>
  </si>
  <si>
    <t>Resp 306</t>
  </si>
  <si>
    <t>Resp 308</t>
  </si>
  <si>
    <t>Resp 310</t>
  </si>
  <si>
    <t>Resp 315</t>
  </si>
  <si>
    <t>Corporate Resp 544</t>
  </si>
  <si>
    <t>Total FY2026</t>
  </si>
  <si>
    <t>Total FY2027 Projected</t>
  </si>
  <si>
    <t>Total FY2028 Projected</t>
  </si>
  <si>
    <t>Retirement System</t>
  </si>
  <si>
    <t>Total</t>
  </si>
  <si>
    <t>FY27 Total</t>
  </si>
  <si>
    <t>FY28 Total</t>
  </si>
  <si>
    <t>#</t>
  </si>
  <si>
    <t>LUMA COLUMN for mapping purposes - Map to Rate Case Schedules</t>
  </si>
  <si>
    <t>Oficina Junta de Gobierno</t>
  </si>
  <si>
    <t>Oficina Director Ejecutivo</t>
  </si>
  <si>
    <t>Asset 
Management</t>
  </si>
  <si>
    <t>Regulatory Compliance</t>
  </si>
  <si>
    <t>Oficina Manejo Emergencias y Adm. Desastre</t>
  </si>
  <si>
    <t>Oficina de Gestión de Proyectos e Innovación (PMO)</t>
  </si>
  <si>
    <t>Manejo de Fondos de Desastres (DFMO)</t>
  </si>
  <si>
    <t>IT/OT 
Office</t>
  </si>
  <si>
    <t>Legal</t>
  </si>
  <si>
    <t>Protec. Amb. y Conf. Cal.  -  Adm. Gen.</t>
  </si>
  <si>
    <t>Director 
de Finanzas</t>
  </si>
  <si>
    <t>Almacén Norte</t>
  </si>
  <si>
    <t>Departamento 
de Compras</t>
  </si>
  <si>
    <t>Oficina Transportación Terrestre</t>
  </si>
  <si>
    <t>PropertyCo 
Office</t>
  </si>
  <si>
    <t>Almacén Sur</t>
  </si>
  <si>
    <t>Oficina Adm. Director Recursos Humanos</t>
  </si>
  <si>
    <t>Seguridad Laboral y Comunicación de Riesgo</t>
  </si>
  <si>
    <t>Jefe Div. Prensa y Relaciones Publicas</t>
  </si>
  <si>
    <t>Adm. de Contratos y Servicios Edificios y Terrenos</t>
  </si>
  <si>
    <t>External 
Audit Services</t>
  </si>
  <si>
    <t>Legal Services -Professionals and Local Litigation Claims Reserve</t>
  </si>
  <si>
    <t>Environmental Regulations &amp; Inspections</t>
  </si>
  <si>
    <t>Utilities 
(Agua y Luz)</t>
  </si>
  <si>
    <t>IT - Maintenance &amp; Corporate Services</t>
  </si>
  <si>
    <t>Title III 
Professionals</t>
  </si>
  <si>
    <t>Shared Services Cost Allocation - HoldCo</t>
  </si>
  <si>
    <t>Classification and Remuneration Plan  - HoldCo</t>
  </si>
  <si>
    <t>Additional Labor Request  - HoldCo</t>
  </si>
  <si>
    <t>Sistema 
de Retiro</t>
  </si>
  <si>
    <t>Retiree 
Medical Plans</t>
  </si>
  <si>
    <t>Additional Labor Request  - Retirement System</t>
  </si>
  <si>
    <t>Inspección Represas y Embalses</t>
  </si>
  <si>
    <t>Administrador de Sistemas de Agua</t>
  </si>
  <si>
    <t>Oficina de Presupuesto y Mejoras Capitales</t>
  </si>
  <si>
    <t>Hidroeléctrica Dos Bocas y Caonillas</t>
  </si>
  <si>
    <t>Hidroeléctrica Río Blanco</t>
  </si>
  <si>
    <t>Hidro Carite y Toro Negro</t>
  </si>
  <si>
    <t>Jefe de Central Hidroeléctrica</t>
  </si>
  <si>
    <t>Shared Services Cost Allocation - HydroCo</t>
  </si>
  <si>
    <t>Classification and Remuneration Plan  - HydroCo</t>
  </si>
  <si>
    <t>Additional Labor Request  - HydroCo</t>
  </si>
  <si>
    <t>HoldCo + Retirement System + HydroCo</t>
  </si>
  <si>
    <t>Check to Source / Summary Tab</t>
  </si>
  <si>
    <t>Cross Check</t>
  </si>
  <si>
    <t>Sum Check</t>
  </si>
  <si>
    <t>Check to Source / 
Summary Tab</t>
  </si>
  <si>
    <t>Headcount</t>
  </si>
  <si>
    <t>n.a.</t>
  </si>
  <si>
    <r>
      <t xml:space="preserve">Labor Operating Expenses </t>
    </r>
    <r>
      <rPr>
        <b/>
        <vertAlign val="superscript"/>
        <sz val="11"/>
        <color theme="1"/>
        <rFont val="Calibri"/>
        <family val="2"/>
      </rPr>
      <t>[1]</t>
    </r>
  </si>
  <si>
    <t>Benefits</t>
  </si>
  <si>
    <t>Overtime Salary</t>
  </si>
  <si>
    <t>Regulation &amp; Environmental Expenses</t>
  </si>
  <si>
    <t>`</t>
  </si>
  <si>
    <t>External Audit</t>
  </si>
  <si>
    <t>Necessary Maintenance Expenses ("NME")</t>
  </si>
  <si>
    <r>
      <t xml:space="preserve">Shared Services Agreement </t>
    </r>
    <r>
      <rPr>
        <b/>
        <vertAlign val="superscript"/>
        <sz val="11"/>
        <color theme="1"/>
        <rFont val="Calibri"/>
        <family val="2"/>
      </rPr>
      <t>[2]</t>
    </r>
  </si>
  <si>
    <t>Total Operating and Maintenance Expenses</t>
  </si>
  <si>
    <t>Allocated Entity Costs &amp; Shared System Expenses</t>
  </si>
  <si>
    <t>Litigation Claims Settlement Expense</t>
  </si>
  <si>
    <t>Local Litigation Claims Reserve</t>
  </si>
  <si>
    <t>General Civil Cases Settlement and Judgments</t>
  </si>
  <si>
    <t>Eminent Domain Cases Settlement and Judgments</t>
  </si>
  <si>
    <t>Total Local Litigation Claims Reserve</t>
  </si>
  <si>
    <t>Title III Restructuring Costs</t>
  </si>
  <si>
    <r>
      <t xml:space="preserve">PREPA Restructuring &amp; Title III </t>
    </r>
    <r>
      <rPr>
        <vertAlign val="superscript"/>
        <sz val="11"/>
        <rFont val="Calibri"/>
        <family val="2"/>
      </rPr>
      <t>[3]</t>
    </r>
  </si>
  <si>
    <t>N/A - these are included in System Costs</t>
  </si>
  <si>
    <t>Total Title III Restructuring Costs</t>
  </si>
  <si>
    <t>Federal Funding - Local Cost Share</t>
  </si>
  <si>
    <r>
      <t xml:space="preserve">Federal Funding - Local Cost Share Component </t>
    </r>
    <r>
      <rPr>
        <vertAlign val="superscript"/>
        <sz val="11"/>
        <color theme="1"/>
        <rFont val="Calibri"/>
        <family val="2"/>
      </rPr>
      <t>[4]</t>
    </r>
  </si>
  <si>
    <t>Total Federal Funding - Local Cost Share</t>
  </si>
  <si>
    <t>Total Allocated Entity Costs &amp; Shared System Expenses</t>
  </si>
  <si>
    <t>Grand Total Base Rate Funded Budget Items</t>
  </si>
  <si>
    <t>Memo: Other Budget Items</t>
  </si>
  <si>
    <t>PREPA Pension Expense</t>
  </si>
  <si>
    <r>
      <t xml:space="preserve">ERS Pension Funding Requirement </t>
    </r>
    <r>
      <rPr>
        <vertAlign val="superscript"/>
        <sz val="11"/>
        <rFont val="Calibri"/>
        <family val="2"/>
      </rPr>
      <t>[5]</t>
    </r>
  </si>
  <si>
    <t>Total PREPA Pension Expense</t>
  </si>
  <si>
    <r>
      <t xml:space="preserve">Shared Services Separation </t>
    </r>
    <r>
      <rPr>
        <b/>
        <vertAlign val="superscript"/>
        <sz val="11"/>
        <color theme="1"/>
        <rFont val="Calibri"/>
        <family val="2"/>
      </rPr>
      <t>[6]</t>
    </r>
  </si>
  <si>
    <t>Business Process Outsourcing ("BPO")</t>
  </si>
  <si>
    <t>Enterprise Resource Planning ("ERP")</t>
  </si>
  <si>
    <t>Total Shared Services Separation</t>
  </si>
  <si>
    <t xml:space="preserve">FY2026 includes an additional headcount request of 100 Full Time Employees ("FTEs"): 30 FTEs for $2.4 million at HoldCo, 3 FTEs for $0.163 million at the Retirement System </t>
  </si>
  <si>
    <t>[1]</t>
  </si>
  <si>
    <t xml:space="preserve">and 67 FTEs for $3.8 million at HydroCo). Includes recommended adjustments for 34 qualifying employees as a result of the Classification and Remuneration Plan </t>
  </si>
  <si>
    <t>for $0.660 million (15 employees at HoldCo for $0.118 million and 19 employees at HydroCo for $0.542 million.</t>
  </si>
  <si>
    <t>Represents estimated amounts PREPA is responsible for under the Insurance Collaboration Agreement.  Estimates are based on FY 2025 amounts.</t>
  </si>
  <si>
    <t>[2]</t>
  </si>
  <si>
    <t>Estimate based on 2025 Certified Fiscal Plan.  Does not include LUMA Title III expenses as LUMA did not provide PREPA with an estimate for FY 2026.</t>
  </si>
  <si>
    <t>[3]</t>
  </si>
  <si>
    <t>Includes local cost share component for federally funded projects that are expected to be completed in the respective fiscal year and therefore are to be funded.</t>
  </si>
  <si>
    <t>[4]</t>
  </si>
  <si>
    <t>Projection provided by ERS Administrator.</t>
  </si>
  <si>
    <t>[5]</t>
  </si>
  <si>
    <t>PREPA anticipates receiving $4.0M from AAFAF as part of the Shared Services separation.  Therefore, Shared Services Separation will be funded outside of rates.</t>
  </si>
  <si>
    <t>[6]</t>
  </si>
  <si>
    <t>C-3 Schedule Requirement
Note: See PREPA's most recent available audited financial statements.</t>
  </si>
  <si>
    <t>Schedule Requirement
Note: See PREPA's most recent available audited financial statements.</t>
  </si>
  <si>
    <t>C-5 Schedule Requirement
Note: See PREPA's most recent available audited financial statements.</t>
  </si>
  <si>
    <t>C-6 Schedule Requirement
Note: has been provided in an external document</t>
  </si>
  <si>
    <t>Company 001 Information</t>
  </si>
  <si>
    <t>FY2022 to FY2024 Plant and Depreciation Summary</t>
  </si>
  <si>
    <t>(in USD)</t>
  </si>
  <si>
    <r>
      <t xml:space="preserve">FY2022 </t>
    </r>
    <r>
      <rPr>
        <b/>
        <sz val="11"/>
        <color rgb="FFC00000"/>
        <rFont val="Calibri"/>
        <family val="2"/>
        <scheme val="minor"/>
      </rPr>
      <t>(Audited)</t>
    </r>
  </si>
  <si>
    <t>FY2023 (Unaudited)</t>
  </si>
  <si>
    <t>FY2024 (Unaudited)</t>
  </si>
  <si>
    <t>Line No.</t>
  </si>
  <si>
    <t>Gross Plant</t>
  </si>
  <si>
    <t>Accumulated Deprecation</t>
  </si>
  <si>
    <t>PREPA Plant</t>
  </si>
  <si>
    <t>Steam Production Plant</t>
  </si>
  <si>
    <t>Hydroelectric Plant</t>
  </si>
  <si>
    <t>Other Production Plant</t>
  </si>
  <si>
    <t>Transmission Plant</t>
  </si>
  <si>
    <t>Distribution Plant</t>
  </si>
  <si>
    <t>General Plant*</t>
  </si>
  <si>
    <t>Emergency - Hurricane Maria</t>
  </si>
  <si>
    <t>General Plant</t>
  </si>
  <si>
    <t>Grand Total</t>
  </si>
  <si>
    <t>* Includes intangible items</t>
  </si>
  <si>
    <t>Company 003 Information</t>
  </si>
  <si>
    <t>Acc #</t>
  </si>
  <si>
    <t>Account Description</t>
  </si>
  <si>
    <t>FY-2022</t>
  </si>
  <si>
    <t>FY-2023</t>
  </si>
  <si>
    <t>FY-2024</t>
  </si>
  <si>
    <t>FY-2025 (Feb-25)</t>
  </si>
  <si>
    <t>Total Plant in Service</t>
  </si>
  <si>
    <t>Plant in Service</t>
  </si>
  <si>
    <t>Accumulate Dep</t>
  </si>
  <si>
    <t>Dep Exp</t>
  </si>
  <si>
    <t>Dep Rate</t>
  </si>
  <si>
    <t>Switching, Control Equipment, etc</t>
  </si>
  <si>
    <t>Overhead Conductors &amp; Devices</t>
  </si>
  <si>
    <t>Distribution  Plant</t>
  </si>
  <si>
    <t>Concrete Buildings &amp; Improvements</t>
  </si>
  <si>
    <t>Power Transformers</t>
  </si>
  <si>
    <t>Wooden Poles &amp; Crossarms</t>
  </si>
  <si>
    <t>Steel Poles</t>
  </si>
  <si>
    <t>Concrete Poles</t>
  </si>
  <si>
    <t>Underground Conduit</t>
  </si>
  <si>
    <t>Line Transformers</t>
  </si>
  <si>
    <t>Services</t>
  </si>
  <si>
    <t>Meters</t>
  </si>
  <si>
    <t>Street Lighting &amp; Signal Systems</t>
  </si>
  <si>
    <t>Other Buildings &amp; Improvements</t>
  </si>
  <si>
    <t>Office Furniture &amp; Equipment Comp</t>
  </si>
  <si>
    <t>Light Trucks</t>
  </si>
  <si>
    <t>Heavy Trucks with Auxiliary Equipment</t>
  </si>
  <si>
    <t>Trailers</t>
  </si>
  <si>
    <t>Store Equipment</t>
  </si>
  <si>
    <t>Tools, Shop &amp; Garage Equipment</t>
  </si>
  <si>
    <t>Laboratory Equipment</t>
  </si>
  <si>
    <t>Power Operated Equipment</t>
  </si>
  <si>
    <t>Communication Equipment</t>
  </si>
  <si>
    <t>Miscellaneous Equipment</t>
  </si>
  <si>
    <t>Final Balance</t>
  </si>
  <si>
    <t>Note this table is for information purposes only. Until such time as the balance sheet reimdiation efforts occur, the balances at the capital asset and accumulated depreciation level may not tie to the general ledger and audited financials due to top level entries not reflected in the capital asset ledger.</t>
  </si>
  <si>
    <t>Interim Years</t>
  </si>
  <si>
    <t xml:space="preserve">Type of Service </t>
  </si>
  <si>
    <t>FY2022</t>
  </si>
  <si>
    <t>FY2023</t>
  </si>
  <si>
    <t>FY2024</t>
  </si>
  <si>
    <t>FY2025 - CHECK</t>
  </si>
  <si>
    <t>General Residential Service (GRS)</t>
  </si>
  <si>
    <t>Customer Charge [customer counts]</t>
  </si>
  <si>
    <t xml:space="preserve">Electricity Service </t>
  </si>
  <si>
    <t>Energy (first 425 kWh) [kWh]</t>
  </si>
  <si>
    <t>Energy (&gt;425 kWh) [kWh]</t>
  </si>
  <si>
    <t xml:space="preserve">TOTAL ELECTRICITY GRS </t>
  </si>
  <si>
    <t>Lifeline Residential Services (LRS)</t>
  </si>
  <si>
    <t>TOTAL ELECTRICITY LRS</t>
  </si>
  <si>
    <t>Residential Service Public Housing (RH3)</t>
  </si>
  <si>
    <t>TOTAL ELECTRICITY RH3</t>
  </si>
  <si>
    <t>Residential Fixed Rate for Public Housing Under Ownership of the Public Housing Administration (RFR)</t>
  </si>
  <si>
    <t xml:space="preserve">1 Room </t>
  </si>
  <si>
    <t xml:space="preserve">2-3 Room </t>
  </si>
  <si>
    <t xml:space="preserve">4-5 Room </t>
  </si>
  <si>
    <t>Energy (1 Room, in Excess of 600 kWh) [kWh]</t>
  </si>
  <si>
    <t>Energy (2-3 Room, in Excess of 800 kWh) [kWh]</t>
  </si>
  <si>
    <t>Energy (4-5 Room, in Excess of 1000 kWh) [kWh]</t>
  </si>
  <si>
    <t>TOTAL ELECTRICITY RFR</t>
  </si>
  <si>
    <t>General Service at Secondary Distribution Voltage (GSS)</t>
  </si>
  <si>
    <t>Energy (all kWh) [kWh]</t>
  </si>
  <si>
    <t>TOTAL ELECTRICITY GSS</t>
  </si>
  <si>
    <t>General Service at Primary Distribution Voltage (GSP)</t>
  </si>
  <si>
    <t xml:space="preserve">Distribution Service </t>
  </si>
  <si>
    <t>Contracted Demand Demand [kW]</t>
  </si>
  <si>
    <t>Excess Demand [kW]</t>
  </si>
  <si>
    <t>Energy (first 300 kWh per kW of maximum demand)  [kWh]</t>
  </si>
  <si>
    <t>Energy (&gt;300 kWh per kW of maximum demand)  [kWh]</t>
  </si>
  <si>
    <t>TOTAL ELECTRICITY GSP</t>
  </si>
  <si>
    <t>General Service at Transmission Voltage (GST)</t>
  </si>
  <si>
    <t>TOTAL ELECTRICITY GST</t>
  </si>
  <si>
    <t>Time of Use at Primary Distribution Voltage (TOU-P)</t>
  </si>
  <si>
    <t>Demand (On-Peak Period, 15 consecutive min) [kW]</t>
  </si>
  <si>
    <t>Demand (Off-Peak Period, 15 consecutive min) [kW]</t>
  </si>
  <si>
    <t>Energy (On-Peak Period) [kWh]</t>
  </si>
  <si>
    <t>Energy (Off-Peak Period)  [kWh]</t>
  </si>
  <si>
    <t>TOTAL ELECTRICITY TOU-P</t>
  </si>
  <si>
    <t>Time of Use at Transmission Distribution Voltage (TOU-T)</t>
  </si>
  <si>
    <t>Energy (On-Peak Period)  [kWh]</t>
  </si>
  <si>
    <t>TOTAL ELECTRICITY TOU-T</t>
  </si>
  <si>
    <t>Large Industrial Service (LIS)</t>
  </si>
  <si>
    <t>Contracted Demand Demand (shall not include offsets due to Net Metering or the output of other customer owned generation equipment) [kW]</t>
  </si>
  <si>
    <t>Energy (first 584 kWh per kW of maximum demand)  [kWh]</t>
  </si>
  <si>
    <t>Energy (&gt;584 kWh per kW of maximum demand)  [kWh]</t>
  </si>
  <si>
    <t>TOTAL ELECTRICITY LIS</t>
  </si>
  <si>
    <t>General Agricultural Service and Aqueduct Pumps Operated by Rural Communities (GAS)</t>
  </si>
  <si>
    <t>TOTAL ELECTRICITY GAS</t>
  </si>
  <si>
    <t>Cable TV Power Supplies (CATV)</t>
  </si>
  <si>
    <t>Energy (60 Volts, 656 kWh)  [kWh]</t>
  </si>
  <si>
    <t>Energy (90 Volts, 494 kWh)  [kWh]</t>
  </si>
  <si>
    <t>Energy (Different Consumption)  [kWh]</t>
  </si>
  <si>
    <t>TOTAL ELECTRICITY CATV</t>
  </si>
  <si>
    <t>Unmetered Service for Small Loads (USSL)</t>
  </si>
  <si>
    <t>TOTAL ELECTRICITY USSL</t>
  </si>
  <si>
    <t>Power Producers Connected at PREPA Bus Bar (PPBB)</t>
  </si>
  <si>
    <t>Energy (all kWh)  [kWh]</t>
  </si>
  <si>
    <t>TOTAL ELECTRICITY PPBB</t>
  </si>
  <si>
    <t>Audited and Interim Years</t>
  </si>
  <si>
    <t>FY2025</t>
  </si>
  <si>
    <t>LP-13 - OUTDOOR SPORTS FIELD LIGHTING FOR PARKS WHERE ADMISSION RIGHTS ARE COLLECTED</t>
  </si>
  <si>
    <t>Energy (first 100 kWh per kW of maximum demand)</t>
  </si>
  <si>
    <t>Energy (&gt;100 kWh)</t>
  </si>
  <si>
    <t>TOTAL LP-13</t>
  </si>
  <si>
    <t>PLG - PUBLIC LIGHTING GENERAL</t>
  </si>
  <si>
    <t>Public Lighting Rate for Streets and Roadways Systems Owned by PREPA (Codification 420)</t>
  </si>
  <si>
    <t>High Pressure Sodium Lamps (system built at customer expense, ownership transferred to PREPA)</t>
  </si>
  <si>
    <t>Monthly Basic Charge [total customers]</t>
  </si>
  <si>
    <t>50 W; 3,300 Lumens; 19.7 kWh/month</t>
  </si>
  <si>
    <t>70 W; 5,800 Lumens; 27.7 kWh/month</t>
  </si>
  <si>
    <t>100 W; 9,500 Lumens; 39 kWh/month</t>
  </si>
  <si>
    <t>150 W; 16,000 Lumens; 57 kWh/month</t>
  </si>
  <si>
    <t>200 W; 22,000 Lumens; 84.7 kWh/month</t>
  </si>
  <si>
    <t>250 W; 25,500 Lumens; 105 kWh/month</t>
  </si>
  <si>
    <t>400 W; 50,000 Lumens; 161.7 kWh/month</t>
  </si>
  <si>
    <t>High Pressure Sodium Lamps (New systems constructed with PREPA's funds exclusively)</t>
  </si>
  <si>
    <t xml:space="preserve">LED Street Lights </t>
  </si>
  <si>
    <t>35W; 1500 lumen</t>
  </si>
  <si>
    <t>65W; 4000 lumen</t>
  </si>
  <si>
    <t>125W; 9000 lumen</t>
  </si>
  <si>
    <t>Mercury Vapor Lamps (existing lighting systems)</t>
  </si>
  <si>
    <t>Monthly Basic Charge - Urban Zone [total customers]</t>
  </si>
  <si>
    <t>100 W; 3,850 Lumens; 41.33 kWh/month</t>
  </si>
  <si>
    <t>175 W; 7,950 Lumens; 68.33 kWh/month</t>
  </si>
  <si>
    <t>250 W; 11,200 Lumens; 98 kWh/month</t>
  </si>
  <si>
    <t>400 W; 21,000 Lumens; 151 kWh/month</t>
  </si>
  <si>
    <t>400 W (Highway and Transportation Authority); 21,000 Lumens; 151 kWh/month</t>
  </si>
  <si>
    <t>Monthly Basic Charge - Rural Zone [total customers]</t>
  </si>
  <si>
    <t>TOTAL Public Lighting Rate for Streets and Roadways Systems Owned by PREPA (Codification 420) [lamp count]</t>
  </si>
  <si>
    <t>Electricity Service [kWh]</t>
  </si>
  <si>
    <t>Energy (All kWh)</t>
  </si>
  <si>
    <t>Any other type of luminaries</t>
  </si>
  <si>
    <t>Total Public Lighting Rate for Streets and Roadways Systems without Operation, Maintenance and Materials Renewal Costs (Lamps Count)</t>
  </si>
  <si>
    <t xml:space="preserve">Dusk to Dawn Luminaries </t>
  </si>
  <si>
    <t xml:space="preserve">High Pressure Sodium Lamps </t>
  </si>
  <si>
    <t>Monthly Basic Charge  [total customers]</t>
  </si>
  <si>
    <t xml:space="preserve">Mercury Vapor </t>
  </si>
  <si>
    <t>Monthly Basic Charge - [total customers]</t>
  </si>
  <si>
    <t>175 W; 7,950 Lumens; 68.3 kWh/month</t>
  </si>
  <si>
    <t>Total Dusk to Dawn Luminaries (lamp counts)</t>
  </si>
  <si>
    <t>Public Plazas (Codification 422)</t>
  </si>
  <si>
    <t>Traffic Lights (Codification 423)</t>
  </si>
  <si>
    <t>Ball Parks and Other Free Admission Parks (Codification 424)</t>
  </si>
  <si>
    <t xml:space="preserve">Telephone Booths </t>
  </si>
  <si>
    <t>Monthly Basic Charge [customer counts]</t>
  </si>
  <si>
    <t xml:space="preserve">Bus Shelter </t>
  </si>
  <si>
    <t xml:space="preserve">Police Strobe Lights </t>
  </si>
  <si>
    <t>FY2023 
Actual</t>
  </si>
  <si>
    <t xml:space="preserve"> FY2024 
Actual</t>
  </si>
  <si>
    <t>YTD Actuals
FY2025</t>
  </si>
  <si>
    <t>FY2026 
Projected</t>
  </si>
  <si>
    <t>FY2027 
Projected</t>
  </si>
  <si>
    <t>FY2028 
Projected</t>
  </si>
  <si>
    <t xml:space="preserve">GenCo </t>
  </si>
  <si>
    <t xml:space="preserve">HydroCo </t>
  </si>
  <si>
    <t xml:space="preserve">HoldCo </t>
  </si>
  <si>
    <t>GridCo Optimal</t>
  </si>
  <si>
    <t>LUMA headcount actuals based on year end numbers for 2023 and 2024, and Q3 numbers for 2025 YTD Actuals.</t>
  </si>
  <si>
    <t>GridCo Constrained</t>
  </si>
  <si>
    <t>Pension Beneficiaries</t>
  </si>
  <si>
    <t>PREPA Pensioners</t>
  </si>
  <si>
    <t>FY 2026 -2028 - Subsidies Forecast</t>
  </si>
  <si>
    <t>Life Preserving Equipment Discount</t>
  </si>
  <si>
    <t>General Agricultural Service</t>
  </si>
  <si>
    <t>Church and Social Welfare Organization Discount</t>
  </si>
  <si>
    <t>Residential Service for Public Housing Projects (RH3)</t>
  </si>
  <si>
    <t>Lifeline Residential Service (LRS)</t>
  </si>
  <si>
    <t>Hotel Discount</t>
  </si>
  <si>
    <t>Credits for Rural Aqueducts</t>
  </si>
  <si>
    <t>Irrigation District</t>
  </si>
  <si>
    <t>Fuel Adjustment Subsidy (Residential)</t>
  </si>
  <si>
    <t>Common Areas for Condominiums</t>
  </si>
  <si>
    <t>Downtown Commerce Subsidy</t>
  </si>
  <si>
    <t>Residential Fixed Rate for Public Housing  (RFR)</t>
  </si>
  <si>
    <t>RFR Fuel and Purchased Power</t>
  </si>
  <si>
    <t>Municipal Public Lighting</t>
  </si>
  <si>
    <t>Contribution to Puerto Rico Energy Bureau</t>
  </si>
  <si>
    <t>Total Subsidies</t>
  </si>
  <si>
    <t>Contributions in Lieu of Taxes (CILT)-Municipalities</t>
  </si>
  <si>
    <t>ACCT_ID</t>
  </si>
  <si>
    <t>ENTITY_NAME</t>
  </si>
  <si>
    <t>CILT_FLG</t>
  </si>
  <si>
    <t>GL_ACCT</t>
  </si>
  <si>
    <t>BALANCE</t>
  </si>
  <si>
    <t>BAL00</t>
  </si>
  <si>
    <t>BAL30</t>
  </si>
  <si>
    <t>BAL60</t>
  </si>
  <si>
    <t>BAL90</t>
  </si>
  <si>
    <t>BAL120</t>
  </si>
  <si>
    <t>BAL365</t>
  </si>
  <si>
    <t>5644530000</t>
  </si>
  <si>
    <t>MUNICIPIO DE VEGA BAJA- EXCLUSIONES</t>
  </si>
  <si>
    <t>NON-CILT</t>
  </si>
  <si>
    <t>03-1845-18529-000-000-0000</t>
  </si>
  <si>
    <t>3604290559</t>
  </si>
  <si>
    <t>ADMINISTRACION DE REHABILITACION VOCACIONAL (ARV)</t>
  </si>
  <si>
    <t>1796834774</t>
  </si>
  <si>
    <t>ADMINISTRACION DE LOS TRIBUNALES</t>
  </si>
  <si>
    <t>03-1422-14220-000-000-0000</t>
  </si>
  <si>
    <t>1717790000</t>
  </si>
  <si>
    <t>U S POSTAL SERVICE</t>
  </si>
  <si>
    <t>03-1421-14201-000-000-0000</t>
  </si>
  <si>
    <t>3791092392</t>
  </si>
  <si>
    <t>INSTITUTO SOCIOECONOMICO COMUNITARIO</t>
  </si>
  <si>
    <t>2884885920</t>
  </si>
  <si>
    <t>EST EXPERIMENTAL-COROZAL</t>
  </si>
  <si>
    <t>3012249311</t>
  </si>
  <si>
    <t>DEPARTAMENTO DE RECREACION Y DEPORTES (DRD)</t>
  </si>
  <si>
    <t>03-4104-40002-000-000-0000</t>
  </si>
  <si>
    <t>6129142000</t>
  </si>
  <si>
    <t>MUNICIPIO DE SABANA GRANDE- CELI</t>
  </si>
  <si>
    <t>CILT</t>
  </si>
  <si>
    <t>7217790000</t>
  </si>
  <si>
    <t>MUNICIPIO DE BAYAMON- CELI</t>
  </si>
  <si>
    <t>8277208572</t>
  </si>
  <si>
    <t>TREN URBANO</t>
  </si>
  <si>
    <t>0627790000</t>
  </si>
  <si>
    <t>"PREPA CLOSED" AUTORIDAD DE ACUEDUCTOS Y ALCANTARILLADOS (AAA)</t>
  </si>
  <si>
    <t>1686580000</t>
  </si>
  <si>
    <t>MUNICIPIO DE SANTA ISABEL- EXCLUSIONES</t>
  </si>
  <si>
    <t>3307790000</t>
  </si>
  <si>
    <t>UNITED STATES DEPT OF AGRICULTURE</t>
  </si>
  <si>
    <t>8129142000</t>
  </si>
  <si>
    <t>MUNICIPIO DE SALINAS- CELI</t>
  </si>
  <si>
    <t>0718086738</t>
  </si>
  <si>
    <t>MUNICIPIO DE VILLALBA-ALUMBRADO PUBLICO</t>
  </si>
  <si>
    <t>2483550443</t>
  </si>
  <si>
    <t>GUARDIA NACIONAL DE PUERTO RICO (GNPR)</t>
  </si>
  <si>
    <t>2503940000</t>
  </si>
  <si>
    <t>MUNICIPIO DE ARECIBO- CELI</t>
  </si>
  <si>
    <t>9311581790</t>
  </si>
  <si>
    <t>RECINTO DE CIENCIAS MEDICAS</t>
  </si>
  <si>
    <t>3270562321</t>
  </si>
  <si>
    <t>CORPORACION DEL CENTRO DE BELLAS ARTES DE PUERTO RICO</t>
  </si>
  <si>
    <t>2278142000</t>
  </si>
  <si>
    <t>MUNICIPIO DE PONCE- EXCLUSIONES</t>
  </si>
  <si>
    <t>03-4103-40001-000-000-0000</t>
  </si>
  <si>
    <t>9527790000</t>
  </si>
  <si>
    <t>0819142000</t>
  </si>
  <si>
    <t>MUNICIPIO DE COAMO- CELI</t>
  </si>
  <si>
    <t>03-1431-14308-000-000-0000</t>
  </si>
  <si>
    <t>3922851000</t>
  </si>
  <si>
    <t>MUNICIPIO DE COAMO- EXCLUSIONES</t>
  </si>
  <si>
    <t>4307790000</t>
  </si>
  <si>
    <t>MUNICIPIO DE CAROLINA- CELI</t>
  </si>
  <si>
    <t>7893479046</t>
  </si>
  <si>
    <t>MUNICIPIO DE LUQUILLO- ALUMBRADO PUBLICO</t>
  </si>
  <si>
    <t>0878142000</t>
  </si>
  <si>
    <t>MUNICIPIO DE SAN SEBASTIAN- CELI</t>
  </si>
  <si>
    <t>9630068965</t>
  </si>
  <si>
    <t>ADMINISTRACION DE VIVIENDA PUBLICA (AVP)</t>
  </si>
  <si>
    <t>2627790000</t>
  </si>
  <si>
    <t>03-4104-40004-000-000-0000</t>
  </si>
  <si>
    <t>2507790000</t>
  </si>
  <si>
    <t>MUNICIPIO DE CANOVANAS- CELI</t>
  </si>
  <si>
    <t>9765985067</t>
  </si>
  <si>
    <t>ADMINISTRACION DE SERVICIOS DE SALUD MENTAL Y CONTRA LA ADICCION (ASSMCA)</t>
  </si>
  <si>
    <t>6734227734</t>
  </si>
  <si>
    <t>COMISION DE INVESTIGACION, PROCESAMIENTO Y APELACION (CIPA)</t>
  </si>
  <si>
    <t>1212940000</t>
  </si>
  <si>
    <t>MUNICIPIO DE CAMUY- EXCLUSIONES</t>
  </si>
  <si>
    <t>1127790000</t>
  </si>
  <si>
    <t>CONSORCIO NORTE CENTRAL</t>
  </si>
  <si>
    <t>8527790000</t>
  </si>
  <si>
    <t>SAN JUAN NATIONAL HISTORIC SITE</t>
  </si>
  <si>
    <t>5519142000</t>
  </si>
  <si>
    <t>MUNICIPIO DE LUQUILLO- CELI</t>
  </si>
  <si>
    <t>4715584466</t>
  </si>
  <si>
    <t>OFICINA DEL GOBERNADOR (OG)</t>
  </si>
  <si>
    <t>7700089882</t>
  </si>
  <si>
    <t>CARIBBEAN PRIMATE RESEARCH</t>
  </si>
  <si>
    <t>4773910000</t>
  </si>
  <si>
    <t>MUNICIPIO DE HUMACAO- EXCLUSIONES</t>
  </si>
  <si>
    <t>5919142000</t>
  </si>
  <si>
    <t>MUNICIPIO DE JAYUYA-CELI</t>
  </si>
  <si>
    <t>4635408046</t>
  </si>
  <si>
    <t>MUNICIPIO DE SAN JUAN- ALUMBRADO PUBLICO</t>
  </si>
  <si>
    <t>7607790000</t>
  </si>
  <si>
    <t>MUNICIPIO DE MAYAGUEZ- CELI</t>
  </si>
  <si>
    <t>7807790000</t>
  </si>
  <si>
    <t>MUNICIPIO DE CAYEY- CELI</t>
  </si>
  <si>
    <t>3664123915</t>
  </si>
  <si>
    <t>5707790000</t>
  </si>
  <si>
    <t>MUNICIPIO DE VEGA BAJA- CELI</t>
  </si>
  <si>
    <t>8629142000</t>
  </si>
  <si>
    <t>MUNICIPIO DE AGUAS BUENAS- CELI</t>
  </si>
  <si>
    <t>4159131000</t>
  </si>
  <si>
    <t>MUNICIPIO DE AÃ‘ASCO- CELI</t>
  </si>
  <si>
    <t>9517790000</t>
  </si>
  <si>
    <t>6878142000</t>
  </si>
  <si>
    <t>MUNICIPIO DE MAUNABO- CELI</t>
  </si>
  <si>
    <t>2176458825</t>
  </si>
  <si>
    <t>MUNICIPIO DE GUAYAMA - ALUMBRADO PUBLICO</t>
  </si>
  <si>
    <t>03-4103-40002-000-000-0000</t>
  </si>
  <si>
    <t>9707071000</t>
  </si>
  <si>
    <t>MUNICIPIO DE CAYEY- EXCLUSIONES</t>
  </si>
  <si>
    <t>03-1431-14315-000-000-0000</t>
  </si>
  <si>
    <t>5227790000</t>
  </si>
  <si>
    <t>U S COAST GUARD</t>
  </si>
  <si>
    <t>1978142000</t>
  </si>
  <si>
    <t>MUNICIPIO DE MOCA- CELI</t>
  </si>
  <si>
    <t>2902000000</t>
  </si>
  <si>
    <t>MUNICIPIO DE MANATI- CELI</t>
  </si>
  <si>
    <t>2529142000</t>
  </si>
  <si>
    <t>"PREPA CLOSED" OFICINA DEL GOBERNADOR (OG)</t>
  </si>
  <si>
    <t>9129883568</t>
  </si>
  <si>
    <t>ADMINISTRACION DE SISTEMA DE RETIRO DE EMPLEADOS DEL GOBIERNO Y LA JUDICATURA (SISTEMA CENTRAL)</t>
  </si>
  <si>
    <t>2995194720</t>
  </si>
  <si>
    <t>DEPARTAMENTO DE ASUNTOS DEL CONSUMIDOR (DACO)</t>
  </si>
  <si>
    <t>6850754198</t>
  </si>
  <si>
    <t>COMISION DE SERVICIO PUBLICO (CSP)</t>
  </si>
  <si>
    <t>2287731616</t>
  </si>
  <si>
    <t>AUTORIDAD DE ACUEDUCTOS Y ALCANTARILLADOS (AAA)</t>
  </si>
  <si>
    <t>1912438217</t>
  </si>
  <si>
    <t>MUNICIPIO DE LOIZA- ALUMBRADO PUBLICO</t>
  </si>
  <si>
    <t>7307790000</t>
  </si>
  <si>
    <t>MUNICIPIO DE LARES- CELI</t>
  </si>
  <si>
    <t>2031136679</t>
  </si>
  <si>
    <t>MUNICIPIO DE AIBONITO- EXCLUSIONES</t>
  </si>
  <si>
    <t>8407790000</t>
  </si>
  <si>
    <t>MUNICIPIO DE ADJUNTAS- CELI</t>
  </si>
  <si>
    <t>1607790000</t>
  </si>
  <si>
    <t>MUNICIPIO DE GUAYAMA- CELI</t>
  </si>
  <si>
    <t>5709062343</t>
  </si>
  <si>
    <t>MUNICIPIO DE LAS PIEDRAS- CELI</t>
  </si>
  <si>
    <t>4155237799</t>
  </si>
  <si>
    <t>CORPORACION DE DESARROLLO RURAL</t>
  </si>
  <si>
    <t>6237790000</t>
  </si>
  <si>
    <t>"PREPA CLOSED" BANCO GUBERNAMENTAL DE FOMENTO</t>
  </si>
  <si>
    <t>03-1441-00000-000-000-0000</t>
  </si>
  <si>
    <t>0165015530</t>
  </si>
  <si>
    <t>DEPARTAMENTO DE HACIENDA (DH)</t>
  </si>
  <si>
    <t>4845386964</t>
  </si>
  <si>
    <t>SECRETARIADO DEL DEPARTAMENTO DE LA FAMILIA (SDF)</t>
  </si>
  <si>
    <t>9541674508</t>
  </si>
  <si>
    <t>MUNICIPIO DE CIDRA-  EXCLUSIONES</t>
  </si>
  <si>
    <t>2087315398</t>
  </si>
  <si>
    <t>MUNICIPIO DE CABO ROJO- EXCLUSIONES</t>
  </si>
  <si>
    <t>9217790000</t>
  </si>
  <si>
    <t>MUNICIPIO DE SANTA ISABEL- CELI</t>
  </si>
  <si>
    <t>1729142000</t>
  </si>
  <si>
    <t>MUNICIPIO DE PENUELAS- CELI</t>
  </si>
  <si>
    <t>1338163990</t>
  </si>
  <si>
    <t>MUNICIPIO DE JAYUYA- EXCLUSIONES</t>
  </si>
  <si>
    <t>7494271624</t>
  </si>
  <si>
    <t>MUNICIPIO DE CULEBRA- ALUMBRADO PUBLICO</t>
  </si>
  <si>
    <t>6527790000</t>
  </si>
  <si>
    <t>US DEPT OF THE INTERIOR FISH &amp; WILDL</t>
  </si>
  <si>
    <t>1386797899</t>
  </si>
  <si>
    <t>COMPAÃ‘IA DE TURISMO DE PUERTO RICO</t>
  </si>
  <si>
    <t>2219142000</t>
  </si>
  <si>
    <t>MUNICIPIO DE TOA BAJA- CELI</t>
  </si>
  <si>
    <t>5334264036</t>
  </si>
  <si>
    <t>DEPARTAMENTO DE SALUD-REGISTRO DEMOGRAFICO</t>
  </si>
  <si>
    <t>4592202262</t>
  </si>
  <si>
    <t>POLICIA DE PUERTO RICO (PPR)</t>
  </si>
  <si>
    <t>3439540451</t>
  </si>
  <si>
    <t>AUTORIDAD DE CARRETERAS Y TRANSPORTACION (ACT)</t>
  </si>
  <si>
    <t>3278142000</t>
  </si>
  <si>
    <t>9158258270</t>
  </si>
  <si>
    <t>MUNICIPIO DE TRUJILLO ALTO - EXCLUSIONES</t>
  </si>
  <si>
    <t>6739142000</t>
  </si>
  <si>
    <t>"PREPA CLOSED" ADMINISTRACION DE VIVIENDA PUBLICA (AVP)</t>
  </si>
  <si>
    <t>9583433726</t>
  </si>
  <si>
    <t>MUNICIPIO DE AÃ‘ASCO- ALUMBRADO PUBLICO</t>
  </si>
  <si>
    <t>0658260401</t>
  </si>
  <si>
    <t>MUNICIPIO DE COAMO- ALUMBRADO PUBLICO</t>
  </si>
  <si>
    <t>9640981002</t>
  </si>
  <si>
    <t>MUNICIPIO DE MOROVIS- EXCLUSIONES</t>
  </si>
  <si>
    <t>6507790000</t>
  </si>
  <si>
    <t>MUNICIPIO DE CULEBRA- CELI</t>
  </si>
  <si>
    <t>0164083993</t>
  </si>
  <si>
    <t>1049142000</t>
  </si>
  <si>
    <t>9265880399</t>
  </si>
  <si>
    <t>UNIVERSIDAD DE PUERTO RICO</t>
  </si>
  <si>
    <t>2706580000</t>
  </si>
  <si>
    <t>5029142000</t>
  </si>
  <si>
    <t>MUNICIPIO DE RINCON- CELI</t>
  </si>
  <si>
    <t>7337790000</t>
  </si>
  <si>
    <t>"PREPA CLOSED" DEPARTAMENTO DE SALUD-SALUD AMBIENTAL</t>
  </si>
  <si>
    <t>7027790000</t>
  </si>
  <si>
    <t>ALIANZA MUN SERV INTEGRADO</t>
  </si>
  <si>
    <t>1558749961</t>
  </si>
  <si>
    <t>COMPAÃ‘IA DE COMERCIO Y EXPORTACIONES DE PR</t>
  </si>
  <si>
    <t>7178142000</t>
  </si>
  <si>
    <t>MUNICIPIO DE PONCE- CELI</t>
  </si>
  <si>
    <t>4843688386</t>
  </si>
  <si>
    <t>COMPANIA FOMENTO INDUSTRIAL</t>
  </si>
  <si>
    <t>7384571169</t>
  </si>
  <si>
    <t>ADMINISTRACION DE TERRENOS (AT)</t>
  </si>
  <si>
    <t>3133677308</t>
  </si>
  <si>
    <t>3312940000</t>
  </si>
  <si>
    <t>MUNICIPIO DE CAMUY- CELI</t>
  </si>
  <si>
    <t>9481280000</t>
  </si>
  <si>
    <t>MUNICIPIO DE VILLALBA- CELI</t>
  </si>
  <si>
    <t>3344232000</t>
  </si>
  <si>
    <t>UNITED STATES POSTAL SERVI</t>
  </si>
  <si>
    <t>2039142000</t>
  </si>
  <si>
    <t>U S NAVY SALINAS ENGINEERI</t>
  </si>
  <si>
    <t>03-4104-40005-000-000-0000</t>
  </si>
  <si>
    <t>9378016656</t>
  </si>
  <si>
    <t>MUNICIPIO DE MAYAGUEZ- EXCLUSIONES</t>
  </si>
  <si>
    <t>6629142000</t>
  </si>
  <si>
    <t>MUNICIPIO DE AGUADILLA- CELI</t>
  </si>
  <si>
    <t>5607790000</t>
  </si>
  <si>
    <t>MUNICIPIO DE LOIZA- CELI</t>
  </si>
  <si>
    <t>5142841000</t>
  </si>
  <si>
    <t>MUNICIPIO DE JUANA DIAZ- CELI</t>
  </si>
  <si>
    <t>3414290882</t>
  </si>
  <si>
    <t>MUNICIPIO DE BAYAMON- ALUMBRADO PUBLICO</t>
  </si>
  <si>
    <t>2051592495</t>
  </si>
  <si>
    <t>MUNICIPIO DE HORMIGUEROS- ALUMBRADO PUBLICO</t>
  </si>
  <si>
    <t>8734588105</t>
  </si>
  <si>
    <t>MUNICIPIO DE TOA ALTA- ALUMBRADO PUBLICO</t>
  </si>
  <si>
    <t>7900001000</t>
  </si>
  <si>
    <t>MUNICIPIO DE MOROVIS- CELI</t>
  </si>
  <si>
    <t>9778142000</t>
  </si>
  <si>
    <t>MUNICIPIO DE SAN LORENZO- CELI</t>
  </si>
  <si>
    <t>8845381000</t>
  </si>
  <si>
    <t>MUNICIPIO DE FAJARDO- EXCLUSIONES</t>
  </si>
  <si>
    <t>9040193792</t>
  </si>
  <si>
    <t>5704441000</t>
  </si>
  <si>
    <t>MUNICIPIO DE GUAYANILLA- EXCLUSIONES</t>
  </si>
  <si>
    <t>0252324532</t>
  </si>
  <si>
    <t>PUERTO RICO INNOVATION TECHNOLOGY AND SERVICE (PRITS)</t>
  </si>
  <si>
    <t>8907790000</t>
  </si>
  <si>
    <t>MUNICIPIO DE CAGUAS- CELI</t>
  </si>
  <si>
    <t>4417790000</t>
  </si>
  <si>
    <t>MUNICIPIO DE FLORIDA- CELI</t>
  </si>
  <si>
    <t>9890916232</t>
  </si>
  <si>
    <t>MUNICIPIO DE AGUADA- ALUMBRADO PUBLICO</t>
  </si>
  <si>
    <t>4574495089</t>
  </si>
  <si>
    <t>CAMARA DE REPRESENTANTES</t>
  </si>
  <si>
    <t>4303279359</t>
  </si>
  <si>
    <t>UPR-ADMINISTRACION CENTRAL</t>
  </si>
  <si>
    <t>4390839780</t>
  </si>
  <si>
    <t>CRIM</t>
  </si>
  <si>
    <t>4671023399</t>
  </si>
  <si>
    <t>DEPARTAMENTO DE EDUCACION (DE)</t>
  </si>
  <si>
    <t>5764970000</t>
  </si>
  <si>
    <t>MUNICIPIO DE OROCOVIS- EXCLUSIONES</t>
  </si>
  <si>
    <t>9540822352</t>
  </si>
  <si>
    <t>MUNICIPIO DE ADJUNTAS- ALUMBRADO PUBLICO</t>
  </si>
  <si>
    <t>1675912271</t>
  </si>
  <si>
    <t>6967766523</t>
  </si>
  <si>
    <t>AUTORIDAD METROPOLITANA DE AUTOBUSES (AMA)</t>
  </si>
  <si>
    <t>2791560294</t>
  </si>
  <si>
    <t>8539520000</t>
  </si>
  <si>
    <t>MUNICIPIO DE CEIBA- EXCLUSIONES</t>
  </si>
  <si>
    <t>1427790000</t>
  </si>
  <si>
    <t>U S CORP OF ENGINEERS</t>
  </si>
  <si>
    <t>2884464109</t>
  </si>
  <si>
    <t>JUNTA DE GOBIERNO DEL SERVICIO 9-1-1</t>
  </si>
  <si>
    <t>5317790000</t>
  </si>
  <si>
    <t>4378142000</t>
  </si>
  <si>
    <t>MUNICIPIO DE HUMACAO - CELI</t>
  </si>
  <si>
    <t>5068940000</t>
  </si>
  <si>
    <t>MUNICIPIO DE YABUCOA- EXCLUSIONES</t>
  </si>
  <si>
    <t>5703121408</t>
  </si>
  <si>
    <t>OFICINA DE COMUNIDADES ESPECIALES</t>
  </si>
  <si>
    <t>6165910000</t>
  </si>
  <si>
    <t>5639142000</t>
  </si>
  <si>
    <t>"PREPA CLOSED" UPR-ADMINISTRACION CENTRAL</t>
  </si>
  <si>
    <t>3626722000</t>
  </si>
  <si>
    <t>US POSTAL SERVICE</t>
  </si>
  <si>
    <t>1132851000</t>
  </si>
  <si>
    <t>MUNICIPIO DE COMERIO - EXCLUSIONES</t>
  </si>
  <si>
    <t>2000117100</t>
  </si>
  <si>
    <t>JUNTA REGLAMENTADORA DE SERVICIO PUBLICO</t>
  </si>
  <si>
    <t>8827790000</t>
  </si>
  <si>
    <t>U S WEATHER BUREAU</t>
  </si>
  <si>
    <t>5807790000</t>
  </si>
  <si>
    <t>3317790000</t>
  </si>
  <si>
    <t>MUNICIPIO DE CEIBA- CELI</t>
  </si>
  <si>
    <t>7432714545</t>
  </si>
  <si>
    <t>7939142000</t>
  </si>
  <si>
    <t>MUNICIPIO DE VEGA ALTA- CELI</t>
  </si>
  <si>
    <t>3027790000</t>
  </si>
  <si>
    <t>"PREPA CLOSED" OFICINA PROCURADOR DEL PACIENTE</t>
  </si>
  <si>
    <t>7844392564</t>
  </si>
  <si>
    <t>MUNICIPIO DE PONCE- ALUMBRADO PUBLICO</t>
  </si>
  <si>
    <t>9112164002</t>
  </si>
  <si>
    <t>7356940000</t>
  </si>
  <si>
    <t>MUNICIPIO DE YAUCO- EXCLUSIONES</t>
  </si>
  <si>
    <t>6278142000</t>
  </si>
  <si>
    <t>MUNICIPIO DE HORMIGUEROS- CELI</t>
  </si>
  <si>
    <t>2927790000</t>
  </si>
  <si>
    <t>GENERAL SERVICE ADM</t>
  </si>
  <si>
    <t>6143594562</t>
  </si>
  <si>
    <t>JUNTA DE RELACIONES DEL TRABAJO (JRT)</t>
  </si>
  <si>
    <t>2317790000</t>
  </si>
  <si>
    <t>MUNICIPIO DE AGUADA- CELI</t>
  </si>
  <si>
    <t>3748786720</t>
  </si>
  <si>
    <t>CENTRO COMPRENSIVO DE CANCER</t>
  </si>
  <si>
    <t>4478142000</t>
  </si>
  <si>
    <t>MUNICIPIO DE ISABELA- CELI</t>
  </si>
  <si>
    <t>3577538674</t>
  </si>
  <si>
    <t>MUNICIPIO DE VIEQUES - ALUMBRADO PUBLICO</t>
  </si>
  <si>
    <t>6619142000</t>
  </si>
  <si>
    <t>MUNICIPIO DE CATANO- CELI</t>
  </si>
  <si>
    <t>4217790000</t>
  </si>
  <si>
    <t>9244168187</t>
  </si>
  <si>
    <t>0486598229</t>
  </si>
  <si>
    <t>OFICINA DE ETICA GUBERNAMENTAL</t>
  </si>
  <si>
    <t>9724526135</t>
  </si>
  <si>
    <t>DEPARTAMENTO DE SALUD (DS)</t>
  </si>
  <si>
    <t>5263104311</t>
  </si>
  <si>
    <t>MUNICIPIO DE GUANICA-  EXCLUSIONES</t>
  </si>
  <si>
    <t>0550520209</t>
  </si>
  <si>
    <t>MUNICIPIO DE NARANJITO- ALUMBRADO PUBLICO</t>
  </si>
  <si>
    <t>2699661631</t>
  </si>
  <si>
    <t>MUNICIPIO DE GUANICA- ALUMBRADO PUBLICO</t>
  </si>
  <si>
    <t>9127790000</t>
  </si>
  <si>
    <t>CONSORCIO DEL NOROESTE</t>
  </si>
  <si>
    <t>4507790000</t>
  </si>
  <si>
    <t>5237790000</t>
  </si>
  <si>
    <t>U S ARMY GARRISON</t>
  </si>
  <si>
    <t>1777800000</t>
  </si>
  <si>
    <t>MUNICIPIO DE LAJAS- CELI</t>
  </si>
  <si>
    <t>2909142000</t>
  </si>
  <si>
    <t>MUNICIPIO DE SAN JUAN-CELI</t>
  </si>
  <si>
    <t>3407790000</t>
  </si>
  <si>
    <t>3496100000</t>
  </si>
  <si>
    <t>MUNICIPIO DE HATILLO- EXCLUSIONES</t>
  </si>
  <si>
    <t>8178142000</t>
  </si>
  <si>
    <t>MUNICIPIO DE HATILLO- CELI</t>
  </si>
  <si>
    <t>3507790000</t>
  </si>
  <si>
    <t>MUNICIPIO DE CIALES- CELI</t>
  </si>
  <si>
    <t>6961093866</t>
  </si>
  <si>
    <t>MUNICIPIO DE SANTA ISABEL- ALUMBRADO PUBLICO</t>
  </si>
  <si>
    <t>4517790000</t>
  </si>
  <si>
    <t>9846296044</t>
  </si>
  <si>
    <t>US POST OFFICE</t>
  </si>
  <si>
    <t>3521393158</t>
  </si>
  <si>
    <t>"PREPA CLOSED" COSSEC</t>
  </si>
  <si>
    <t>0517790000</t>
  </si>
  <si>
    <t>1619142000</t>
  </si>
  <si>
    <t>7331941000</t>
  </si>
  <si>
    <t>MUNICIPIO DE JUANA DIAZ- EXCLUSIONES</t>
  </si>
  <si>
    <t>03-4104-40001-000-000-0000</t>
  </si>
  <si>
    <t>1691240650</t>
  </si>
  <si>
    <t>CUERPO DE BOMBEROS (CB)</t>
  </si>
  <si>
    <t>9019142000</t>
  </si>
  <si>
    <t>MUNICIPIO DE FAJARDO - CELI</t>
  </si>
  <si>
    <t>0147805974</t>
  </si>
  <si>
    <t>5827790000</t>
  </si>
  <si>
    <t>7585536248</t>
  </si>
  <si>
    <t>0617790000</t>
  </si>
  <si>
    <t>MUNICIPIO DE ARROYO- CELI</t>
  </si>
  <si>
    <t>7140100300</t>
  </si>
  <si>
    <t>7507790000</t>
  </si>
  <si>
    <t>MUNICIPIO DE DORADO- CELI</t>
  </si>
  <si>
    <t>4960048129</t>
  </si>
  <si>
    <t>ADMINISTRACION DE SERVICIOS GENERALES (ASG)</t>
  </si>
  <si>
    <t>6909142000</t>
  </si>
  <si>
    <t>8149142000</t>
  </si>
  <si>
    <t>6572912661</t>
  </si>
  <si>
    <t>MUNICIPIO DE CAYEY- ALUMBRADO PUBLICO</t>
  </si>
  <si>
    <t>5948149846</t>
  </si>
  <si>
    <t>MUNICIPIO DE ARROYO- EXCLUSIONES</t>
  </si>
  <si>
    <t>1149142000</t>
  </si>
  <si>
    <t>US INMIGRATION &amp; NATURALIZ</t>
  </si>
  <si>
    <t>4261741563</t>
  </si>
  <si>
    <t>CONSEJO SOBRE DEFICIENCIAS EN EL DESARROLLO (CEDD)</t>
  </si>
  <si>
    <t>5998901683</t>
  </si>
  <si>
    <t>EST EXPERIMENTAL-ADJUNTAS</t>
  </si>
  <si>
    <t>2589590000</t>
  </si>
  <si>
    <t>MUNICIPIO DE QUEBRADILLAS -  EXCLUSIONES</t>
  </si>
  <si>
    <t>3438763700</t>
  </si>
  <si>
    <t>JOB CORPS</t>
  </si>
  <si>
    <t>1832602417</t>
  </si>
  <si>
    <t>0693940000</t>
  </si>
  <si>
    <t>MUNICIPIO DE AGUADILLA- EXCLUSIONES</t>
  </si>
  <si>
    <t>4438750871</t>
  </si>
  <si>
    <t>MUNICIPIO DE JAYUYA- ALUMBRADO PUBLICO</t>
  </si>
  <si>
    <t>0683735287</t>
  </si>
  <si>
    <t>MUNICIPIO DE LARES- ALUMBRADO PUBLICO</t>
  </si>
  <si>
    <t>6561593468</t>
  </si>
  <si>
    <t>8228000784</t>
  </si>
  <si>
    <t>1302023967</t>
  </si>
  <si>
    <t>MUNICIPIO DE VEGA BAJA- ALUMBRADO PUBLICO</t>
  </si>
  <si>
    <t>03-1422-14202-000-000-0000</t>
  </si>
  <si>
    <t>0607790000</t>
  </si>
  <si>
    <t>MUNICIPIO DE GUANICA - CELI</t>
  </si>
  <si>
    <t>5417790000</t>
  </si>
  <si>
    <t>MUNICIPIO DE GUAYANILLA- CELI</t>
  </si>
  <si>
    <t>0378142000</t>
  </si>
  <si>
    <t>MUNICIPIO DE QUEBRADILLAS - CELI</t>
  </si>
  <si>
    <t>3346879952</t>
  </si>
  <si>
    <t>CORPORACION DEL CENTRO CARDIOVASCULAR DE PUERTO RICO Y EL CARIBE</t>
  </si>
  <si>
    <t>9417790000</t>
  </si>
  <si>
    <t>3645814716</t>
  </si>
  <si>
    <t>OFICINA DEL CONTRALOR</t>
  </si>
  <si>
    <t>1652280000</t>
  </si>
  <si>
    <t>MUNICIPIO DE VILLALBA-EXCLUSIONES</t>
  </si>
  <si>
    <t>4709132081</t>
  </si>
  <si>
    <t>DEPARTAMENTO DE CORRECCION Y REHABILITACION (DCR)</t>
  </si>
  <si>
    <t>2295140000</t>
  </si>
  <si>
    <t>7756030581</t>
  </si>
  <si>
    <t>DEPARTAMENTO DE SALUD - HOSPITAL UNIVERSITARIO</t>
  </si>
  <si>
    <t>2700451232</t>
  </si>
  <si>
    <t>INSTITUTO DE CIENCIAS FORENSES</t>
  </si>
  <si>
    <t>9022613771</t>
  </si>
  <si>
    <t>OFICINA DEL PROCURADOR DEL CIUDADANO</t>
  </si>
  <si>
    <t>5117790000</t>
  </si>
  <si>
    <t>HIDTA</t>
  </si>
  <si>
    <t>2449700000</t>
  </si>
  <si>
    <t>MUNICIPIO DE CABO ROJO-CELI</t>
  </si>
  <si>
    <t>7044497217</t>
  </si>
  <si>
    <t>4607790000</t>
  </si>
  <si>
    <t>3217790000</t>
  </si>
  <si>
    <t>2968272042</t>
  </si>
  <si>
    <t>FIDEICOMISO INSTITUCIONAL DE LA GUARDIA NACIONAL (FIGNA)</t>
  </si>
  <si>
    <t>7344851086</t>
  </si>
  <si>
    <t>1507790000</t>
  </si>
  <si>
    <t>MUNICIPIO DE BARRANQUITAS- CELI</t>
  </si>
  <si>
    <t>4332361000</t>
  </si>
  <si>
    <t>MUNICIPIO DE YABUCOA- CELI</t>
  </si>
  <si>
    <t>0536731000</t>
  </si>
  <si>
    <t>MUNICIPIO DE SALINAS - EXCLUSIONES</t>
  </si>
  <si>
    <t>1119142000</t>
  </si>
  <si>
    <t>9579171297</t>
  </si>
  <si>
    <t>0100799750</t>
  </si>
  <si>
    <t>MUNICIPIO DE GURABO- EXCLUSIONES</t>
  </si>
  <si>
    <t>2519142000</t>
  </si>
  <si>
    <t>2607790000</t>
  </si>
  <si>
    <t>1192044784</t>
  </si>
  <si>
    <t>4427790000</t>
  </si>
  <si>
    <t>U S CUSTOMS CARIBBEAN</t>
  </si>
  <si>
    <t>7736845181</t>
  </si>
  <si>
    <t>MUNICIPIO DE GURABO- CELI</t>
  </si>
  <si>
    <t>5553731775</t>
  </si>
  <si>
    <t>MUNICIPIO DE CANOVANAS- ALUMBRADO PUBLICO</t>
  </si>
  <si>
    <t>2159534403</t>
  </si>
  <si>
    <t>MUNICIPIO DE TOA BAJA- ALUMBRADO PUBLICO</t>
  </si>
  <si>
    <t>0022107827</t>
  </si>
  <si>
    <t>ADMINISTRACION PARA EL DESARROLLO DE EMPRESAS AGROPECUARIAS (ADEA)</t>
  </si>
  <si>
    <t>9607790000</t>
  </si>
  <si>
    <t>2809093927</t>
  </si>
  <si>
    <t>MUNICIPIO DE VIEQUES- CELI</t>
  </si>
  <si>
    <t>0430710133</t>
  </si>
  <si>
    <t>MUNICIPIO DE MOCA- ALUMBRADO PUBLICO</t>
  </si>
  <si>
    <t>3365503711</t>
  </si>
  <si>
    <t>DEPARTAMENTO DE LA VIVIENDA (DV)</t>
  </si>
  <si>
    <t>1519142000</t>
  </si>
  <si>
    <t>MUNICIPIO DE JUNCOS- CELI</t>
  </si>
  <si>
    <t>8011274760</t>
  </si>
  <si>
    <t>ASOC DE DUEÃ‘OS DE PASEO ALTO</t>
  </si>
  <si>
    <t>3721840033</t>
  </si>
  <si>
    <t>OFICINA DE LA PROCURADORA DE LAS MUJERES (OPM)</t>
  </si>
  <si>
    <t>2917790000</t>
  </si>
  <si>
    <t>EL YUNQUE NATIONAL FOREST</t>
  </si>
  <si>
    <t>3935022957</t>
  </si>
  <si>
    <t>MUNICIPIO DE ARECIBO- ALUMBRADO PUBLICO</t>
  </si>
  <si>
    <t>7105500000</t>
  </si>
  <si>
    <t>MUNICIPIO DE SAN SEBASTIAN - EXCLUSIONES</t>
  </si>
  <si>
    <t>7372940000</t>
  </si>
  <si>
    <t>MUNICIPIO DE UTUADO- CELI</t>
  </si>
  <si>
    <t>6948388928</t>
  </si>
  <si>
    <t>MUNICIPIO DE LAJAS- ALUMBRADO PUBLICO</t>
  </si>
  <si>
    <t>8420278681</t>
  </si>
  <si>
    <t>UNIVERSIDAD DE PUERTO RICO EN CAROLINA</t>
  </si>
  <si>
    <t>7539520000</t>
  </si>
  <si>
    <t>4619142000</t>
  </si>
  <si>
    <t>4609764700</t>
  </si>
  <si>
    <t>UNIVERSIDAD DE PUERTO RICO EN BAYAMON</t>
  </si>
  <si>
    <t>5019142000</t>
  </si>
  <si>
    <t>3249142000</t>
  </si>
  <si>
    <t>4230368390</t>
  </si>
  <si>
    <t>MUNICIPIO DE CAMUY- ALUMBRADO PUBLICO</t>
  </si>
  <si>
    <t>5020222278</t>
  </si>
  <si>
    <t>MUNICIPIO DE ARROYO- ALUMBRADO PUBLICO</t>
  </si>
  <si>
    <t>2417790000</t>
  </si>
  <si>
    <t>MUNICIPIO DE CIDRA- CELI</t>
  </si>
  <si>
    <t>2305550315</t>
  </si>
  <si>
    <t>MUNICIPIO DE CULEBRA- EXCLUSIONES</t>
  </si>
  <si>
    <t>4878142000</t>
  </si>
  <si>
    <t>MUNICIPIO DE MARICAO- CELI</t>
  </si>
  <si>
    <t>1178142000</t>
  </si>
  <si>
    <t>3032505804</t>
  </si>
  <si>
    <t>WRITEOFF BALANCES GOVERNMENT ACCOUNTS</t>
  </si>
  <si>
    <t>8919142000</t>
  </si>
  <si>
    <t>MUNICIPIO DE CAGUAS- ALUMBRADO PUBLICO</t>
  </si>
  <si>
    <t>8364041105</t>
  </si>
  <si>
    <t>5644650518</t>
  </si>
  <si>
    <t>MUNICIPIO DE GURABO- ALUMBRADO PUBLICO</t>
  </si>
  <si>
    <t>8777520847</t>
  </si>
  <si>
    <t>MUNICIPIO DE LAS PIEDRAS- ALUMBRADO PUBLICO</t>
  </si>
  <si>
    <t>2590954218</t>
  </si>
  <si>
    <t>MUNICIPIO DE BARCELONETA-EXCLUSIONES</t>
  </si>
  <si>
    <t>2658953033</t>
  </si>
  <si>
    <t>7896442760</t>
  </si>
  <si>
    <t>4239142000</t>
  </si>
  <si>
    <t>US FOOD AND DRUG ADMINISTR</t>
  </si>
  <si>
    <t>1139142000</t>
  </si>
  <si>
    <t>FEDERAL COMMUNICATION COMM</t>
  </si>
  <si>
    <t>03-1421-14203-000-000-0000</t>
  </si>
  <si>
    <t>4137790000</t>
  </si>
  <si>
    <t>U S ARMY RESERVE</t>
  </si>
  <si>
    <t>2707790000</t>
  </si>
  <si>
    <t>8719142000</t>
  </si>
  <si>
    <t>7303250165</t>
  </si>
  <si>
    <t>6707790000</t>
  </si>
  <si>
    <t>6560850146</t>
  </si>
  <si>
    <t>MUNICIPIO DE VEGA ALTA- EXCLUSIONES</t>
  </si>
  <si>
    <t>4261175367</t>
  </si>
  <si>
    <t>DEPARTAMENTO DE TRANSPORTACION Y OBRAS PUBLICAS (DTOP)</t>
  </si>
  <si>
    <t>6307790000</t>
  </si>
  <si>
    <t>9178557878</t>
  </si>
  <si>
    <t>4214135828</t>
  </si>
  <si>
    <t>ADMINISTRACION DE SERVICIOS MEDICOS DE PUERTO RICO (ASEM)</t>
  </si>
  <si>
    <t>4938285981</t>
  </si>
  <si>
    <t>INSTITUTO SOCIO-ECONOMICO COMUNITARIO(INSEC), INC</t>
  </si>
  <si>
    <t>6654696783</t>
  </si>
  <si>
    <t>MUNICIPIO DE MAUNABO- EXCLUSIONES</t>
  </si>
  <si>
    <t>9017790000</t>
  </si>
  <si>
    <t>CONSORCIO SUROESTE/SAN GERMAN</t>
  </si>
  <si>
    <t>2819142000</t>
  </si>
  <si>
    <t>MUNICIPIO DE COMERIO- CELI</t>
  </si>
  <si>
    <t>3113163192</t>
  </si>
  <si>
    <t>MUNICIPIO DE NARANJITO- CELI</t>
  </si>
  <si>
    <t>6468127415</t>
  </si>
  <si>
    <t>MUNICIPIO DE PATILLAS- EXCLUSIONES</t>
  </si>
  <si>
    <t>7978142000</t>
  </si>
  <si>
    <t>MUNICIPIO DE NAGUABO- CELI</t>
  </si>
  <si>
    <t>4030803733</t>
  </si>
  <si>
    <t>AUTORIDAD DEL PUERTO DE LAS AMERICAS</t>
  </si>
  <si>
    <t>7148566477</t>
  </si>
  <si>
    <t>CUERPO DE EMERGENCIAS MEDICAS DE PUERTO RICO (CEMPR)</t>
  </si>
  <si>
    <t>6217790000</t>
  </si>
  <si>
    <t>8909142000</t>
  </si>
  <si>
    <t>8615102226</t>
  </si>
  <si>
    <t>3117790000</t>
  </si>
  <si>
    <t>DHS, USCPB, NLC-LAGUNA</t>
  </si>
  <si>
    <t>7971962802</t>
  </si>
  <si>
    <t>MUNICIPIO DE RIO GRANDE- ALUMBRADO PUBLICO</t>
  </si>
  <si>
    <t>2878142000</t>
  </si>
  <si>
    <t>1137790000</t>
  </si>
  <si>
    <t>0283050000</t>
  </si>
  <si>
    <t>8417790000</t>
  </si>
  <si>
    <t>1617100000</t>
  </si>
  <si>
    <t>MUNICIPIO DE ISABELA- EXCLUSIONES</t>
  </si>
  <si>
    <t>6517790000</t>
  </si>
  <si>
    <t>MUNICIPIO DE SAN GERMAN- CELI</t>
  </si>
  <si>
    <t>8094329012</t>
  </si>
  <si>
    <t>EST EXPERIMENTAL GURABO</t>
  </si>
  <si>
    <t>6031501118</t>
  </si>
  <si>
    <t>DEPARTAMENTO DEL TRABAJO Y RECURSOS HUMANOS (DTRH)</t>
  </si>
  <si>
    <t>3236484462</t>
  </si>
  <si>
    <t>DEPARTAMENTO DE RECURSOS NATURALES Y AMBIENTALES (DRNA)</t>
  </si>
  <si>
    <t>5049142000</t>
  </si>
  <si>
    <t>3125355169</t>
  </si>
  <si>
    <t>MUNICIPIO DE GUAYNABO- EXCLUSIONES</t>
  </si>
  <si>
    <t>5705152316</t>
  </si>
  <si>
    <t>MUNICIPIO DE BARCELONETA- ALUMBRADO PUBLICO</t>
  </si>
  <si>
    <t>1807594833</t>
  </si>
  <si>
    <t>0282737114</t>
  </si>
  <si>
    <t>DEPARTAMENTO DE AGRICULTURA (DA)</t>
  </si>
  <si>
    <t>8412586199</t>
  </si>
  <si>
    <t>UNIVERSIDAD DE PUERTO RICO EN ARECIBO</t>
  </si>
  <si>
    <t>8729142000</t>
  </si>
  <si>
    <t>"PREPA CLOSED" CAMARA DE REPRESENTANTES</t>
  </si>
  <si>
    <t>0649091035</t>
  </si>
  <si>
    <t>CORPORACION DEL CONSERVATORIO DE MUSICA DE PUERTO RICO (CCMPR)</t>
  </si>
  <si>
    <t>5929142000</t>
  </si>
  <si>
    <t>FEDERAL BUREAU OF PRISONS</t>
  </si>
  <si>
    <t>1349142000</t>
  </si>
  <si>
    <t>U.S.A.F.- T.A.R.S. PO0004485</t>
  </si>
  <si>
    <t>0257917504</t>
  </si>
  <si>
    <t>3422979654</t>
  </si>
  <si>
    <t>UNIVERSIDAD DE PUERTO RICO EN AGUADILLA</t>
  </si>
  <si>
    <t>6029142000</t>
  </si>
  <si>
    <t>9034750633</t>
  </si>
  <si>
    <t>8507790000</t>
  </si>
  <si>
    <t>9124151652</t>
  </si>
  <si>
    <t>6441738310</t>
  </si>
  <si>
    <t>7960630285</t>
  </si>
  <si>
    <t>8257584489</t>
  </si>
  <si>
    <t>HOTEL DEVELOPMENT CORPORATION</t>
  </si>
  <si>
    <t>6807790000</t>
  </si>
  <si>
    <t>MUNICIPIO DE TOA ALTA- CELI</t>
  </si>
  <si>
    <t>4217197649</t>
  </si>
  <si>
    <t>OFICINA DE GERENCIA DE PERMISOS (OGPE)</t>
  </si>
  <si>
    <t>8517790000</t>
  </si>
  <si>
    <t>MUNICIPIO DE YAUCO- CELI</t>
  </si>
  <si>
    <t>7432291000</t>
  </si>
  <si>
    <t>6809648377</t>
  </si>
  <si>
    <t>MUNICIPIO DE MAYAGUEZ- ALUMBRADO PUBLICO</t>
  </si>
  <si>
    <t>9044050000</t>
  </si>
  <si>
    <t>0117790000</t>
  </si>
  <si>
    <t>SERVICIOS MEDICOS UNIVERSITARIOS INC</t>
  </si>
  <si>
    <t>1407790000</t>
  </si>
  <si>
    <t>6378142000</t>
  </si>
  <si>
    <t>7804723731</t>
  </si>
  <si>
    <t>7670819114</t>
  </si>
  <si>
    <t>MUNICIPIO DE CEIBA- ALUMBRADO PUBLICO</t>
  </si>
  <si>
    <t>6717343394</t>
  </si>
  <si>
    <t>MUNICIPIO DE HUMACAO- ALUMBRADO PUBLICO</t>
  </si>
  <si>
    <t>7435043063</t>
  </si>
  <si>
    <t>COMISION ESTATAL ELECCIONES</t>
  </si>
  <si>
    <t>7242854770</t>
  </si>
  <si>
    <t>MUNICIPIO DE NARANJITO - EXCLUSIONES</t>
  </si>
  <si>
    <t>4386019040</t>
  </si>
  <si>
    <t>ESTACION EXPERIMENTAL AGRICOLA</t>
  </si>
  <si>
    <t>4947188983</t>
  </si>
  <si>
    <t>UNIVERSIDAD DE PUERTO RICO EN CAYEY</t>
  </si>
  <si>
    <t>2119499793</t>
  </si>
  <si>
    <t>ADMINISTRACION DE FAMILIAS Y NINOS (ADFAN)</t>
  </si>
  <si>
    <t>4303660478</t>
  </si>
  <si>
    <t>3127790000</t>
  </si>
  <si>
    <t>CONSORCIO MAYAGUEZ-LAS MARIAS</t>
  </si>
  <si>
    <t>8809142000</t>
  </si>
  <si>
    <t>4227897288</t>
  </si>
  <si>
    <t>MUNICIPIO DE CAGUAS-EXCLUSIONES</t>
  </si>
  <si>
    <t>9201890741</t>
  </si>
  <si>
    <t>MUNICIPIO DE LAS MARIAS - EXCLUSIONES</t>
  </si>
  <si>
    <t>0213883991</t>
  </si>
  <si>
    <t>5539142000</t>
  </si>
  <si>
    <t>"PREPA CLOSED" SISTEMA RETIRO PARA MAESTROS</t>
  </si>
  <si>
    <t>9943660974</t>
  </si>
  <si>
    <t>MUNICIPIO DE MOROVIS- ALUMBRADO PUBLICO</t>
  </si>
  <si>
    <t>2341721307</t>
  </si>
  <si>
    <t>UPR RECINTO UNIV MAYAGUEZ</t>
  </si>
  <si>
    <t>7407790000</t>
  </si>
  <si>
    <t>3267869596</t>
  </si>
  <si>
    <t>DEPARTAMENTO DE ESTADO (DE)</t>
  </si>
  <si>
    <t>8217790000</t>
  </si>
  <si>
    <t>7768602000</t>
  </si>
  <si>
    <t>MUNICIPIO DE DORADO- EXCLUSIONES</t>
  </si>
  <si>
    <t>3203077450</t>
  </si>
  <si>
    <t>SENADO DE PUERTO RICO</t>
  </si>
  <si>
    <t>5239142000</t>
  </si>
  <si>
    <t>8807790000</t>
  </si>
  <si>
    <t>MUNICIPIO DE CIDRA- ALUMBRADO PUBLICO</t>
  </si>
  <si>
    <t>8601983046</t>
  </si>
  <si>
    <t>3178142000</t>
  </si>
  <si>
    <t>8904025520</t>
  </si>
  <si>
    <t>5868207244</t>
  </si>
  <si>
    <t>MUNICIPIO DE PATILLAS- CELI</t>
  </si>
  <si>
    <t>8215024317</t>
  </si>
  <si>
    <t>1909142000</t>
  </si>
  <si>
    <t>1227790000</t>
  </si>
  <si>
    <t>CONSORCIO SUR CENTRAL ASIFAL</t>
  </si>
  <si>
    <t>2232291000</t>
  </si>
  <si>
    <t>MUNICIPIO DE SAN JUAN- EXCLUSIONES</t>
  </si>
  <si>
    <t>1308064818</t>
  </si>
  <si>
    <t>4829142000</t>
  </si>
  <si>
    <t>FEDERAL AVIATION ADM.</t>
  </si>
  <si>
    <t>0718451466</t>
  </si>
  <si>
    <t>MUNICIPIO DE BARCELONETA - CELI</t>
  </si>
  <si>
    <t>6865386562</t>
  </si>
  <si>
    <t>DEPARTAMENTO DE SALUD - PROGRAMA ASISTENCIA MEDICA</t>
  </si>
  <si>
    <t>6521851727</t>
  </si>
  <si>
    <t>3107821463</t>
  </si>
  <si>
    <t>UNIVERSIDAD DE PUERTO RICO EN UTUADO</t>
  </si>
  <si>
    <t>5425961000</t>
  </si>
  <si>
    <t>MUNICIPIO DE LAS PIEDRAS- EXCLUSIONES</t>
  </si>
  <si>
    <t>4341524005</t>
  </si>
  <si>
    <t>7116063022</t>
  </si>
  <si>
    <t>LOTERIA DE PUERTO RICO</t>
  </si>
  <si>
    <t>6319142000</t>
  </si>
  <si>
    <t>9124280542</t>
  </si>
  <si>
    <t>AUTORIDAD DE LOS PUERTOS (AP)</t>
  </si>
  <si>
    <t>9507790000</t>
  </si>
  <si>
    <t>0319142000</t>
  </si>
  <si>
    <t>4888158467</t>
  </si>
  <si>
    <t>MUNICIPIO DE SALINAS- ALUMBRADO PUBLICO</t>
  </si>
  <si>
    <t>2646375045</t>
  </si>
  <si>
    <t>MUNICIPIO DE FAJARDO- ALUMBRADO PUBLICO</t>
  </si>
  <si>
    <t>6191975176</t>
  </si>
  <si>
    <t>MUNICIPIO DE PENUELAS- EXCLUSIONES</t>
  </si>
  <si>
    <t>3189281000</t>
  </si>
  <si>
    <t>8116850470</t>
  </si>
  <si>
    <t>6334821837</t>
  </si>
  <si>
    <t>SUPERINTENDENCIA DEL CAPITOLIO</t>
  </si>
  <si>
    <t>3417790000</t>
  </si>
  <si>
    <t>3339142000</t>
  </si>
  <si>
    <t>"PREPA CLOSED" OFIC PARA LA LIQUIDACION D</t>
  </si>
  <si>
    <t>2388347744</t>
  </si>
  <si>
    <t>MUNICIPIO DE RINCON - ALUMBRADO PUBLICO</t>
  </si>
  <si>
    <t>6045655765</t>
  </si>
  <si>
    <t>3700946289</t>
  </si>
  <si>
    <t>ESTACION EXPERIMENTAL - JUANA DIAZ</t>
  </si>
  <si>
    <t>4407790000</t>
  </si>
  <si>
    <t>7007387010</t>
  </si>
  <si>
    <t>MUNICIPIO DE HATILLO-  ALUMBRADO PUBLICO</t>
  </si>
  <si>
    <t>7315881048</t>
  </si>
  <si>
    <t>MUNICIPIO DE YAUCO- ALUMBRADO PUBLICO</t>
  </si>
  <si>
    <t>9809142000</t>
  </si>
  <si>
    <t>5219142000</t>
  </si>
  <si>
    <t>MUNICIPIO DE TRUJILLO ALTO- CELI</t>
  </si>
  <si>
    <t>9707790000</t>
  </si>
  <si>
    <t>9369003056</t>
  </si>
  <si>
    <t>DEPARTAMENTO DE SALUD - PROGRAMA WIC</t>
  </si>
  <si>
    <t>0439530858</t>
  </si>
  <si>
    <t>MUNICIPIO DE UTUADO- ALUMBRADO PUBLICO</t>
  </si>
  <si>
    <t>1917790000</t>
  </si>
  <si>
    <t>6390374191</t>
  </si>
  <si>
    <t>MUNICIPIO DE CATAÃ‘O- ALUMBRADO PUBLICO</t>
  </si>
  <si>
    <t>3357618923</t>
  </si>
  <si>
    <t>MUNICIPIO DE YABUCOA-ALUMBRADO PUBLICO</t>
  </si>
  <si>
    <t>7021223507</t>
  </si>
  <si>
    <t>3242496048</t>
  </si>
  <si>
    <t>3100567255</t>
  </si>
  <si>
    <t>OFICINA DE GERENCIA Y PRESUPUESTO (OGP)</t>
  </si>
  <si>
    <t>6297718347</t>
  </si>
  <si>
    <t>4782729844</t>
  </si>
  <si>
    <t>2517790000</t>
  </si>
  <si>
    <t>9937347254</t>
  </si>
  <si>
    <t>SERVICIO DE EXT AGRICOLA</t>
  </si>
  <si>
    <t>3049142000</t>
  </si>
  <si>
    <t>TROPICAL AGRIC RESEARCH ST</t>
  </si>
  <si>
    <t>7040804939</t>
  </si>
  <si>
    <t>MUNICIPIO DE MANATI- ALUMBRADO PUBLICO</t>
  </si>
  <si>
    <t>1491933759</t>
  </si>
  <si>
    <t>MUNICIPIO DE BAYAMON - EXCLUSIONES</t>
  </si>
  <si>
    <t>7365784983</t>
  </si>
  <si>
    <t>ADMINISTRACION PARA EL CUIDO Y DESARROLLO INTEGRAL DE LA NINEZ (ACUDEN)</t>
  </si>
  <si>
    <t>4047031076</t>
  </si>
  <si>
    <t>AUTORIDAD DE TIERRAS DE PUERTO RICO (AT)</t>
  </si>
  <si>
    <t>03-4104-40006-000-000-0000</t>
  </si>
  <si>
    <t>6506671238</t>
  </si>
  <si>
    <t>6504168670</t>
  </si>
  <si>
    <t>MUNICIPIO DE NAGUABO - EXCLUSIONES</t>
  </si>
  <si>
    <t>5507790000</t>
  </si>
  <si>
    <t>MUNICIPIO DE COROZAL- CELI</t>
  </si>
  <si>
    <t>2980401000</t>
  </si>
  <si>
    <t>8049944487</t>
  </si>
  <si>
    <t>1960209901</t>
  </si>
  <si>
    <t>MUNICIPIO DE OROCOVIS- ALUMBRADO PUBLICO</t>
  </si>
  <si>
    <t>0036220300</t>
  </si>
  <si>
    <t>MUNICIPIO DE JUNCOS- ALUMBRADO PUBLICO</t>
  </si>
  <si>
    <t>1327790000</t>
  </si>
  <si>
    <t>4516846447</t>
  </si>
  <si>
    <t>WJ NORRIS,ASSOCIATES</t>
  </si>
  <si>
    <t>5127790000</t>
  </si>
  <si>
    <t>CONSORCIO DE LA MONTANA</t>
  </si>
  <si>
    <t>7517790000</t>
  </si>
  <si>
    <t>9968142000</t>
  </si>
  <si>
    <t>7417790000</t>
  </si>
  <si>
    <t>5584302777</t>
  </si>
  <si>
    <t>MUNICIPIO DE AIBONITO- ALUMBRADO PUBLICO</t>
  </si>
  <si>
    <t>0385455814</t>
  </si>
  <si>
    <t>AUTORIDAD DEL DISTRITO DEL CENTRO CONVENCIONES</t>
  </si>
  <si>
    <t>1719142000</t>
  </si>
  <si>
    <t>9319789278</t>
  </si>
  <si>
    <t>0088142000</t>
  </si>
  <si>
    <t>0629142000</t>
  </si>
  <si>
    <t>9313183231</t>
  </si>
  <si>
    <t>3893366964</t>
  </si>
  <si>
    <t>MUNICIPIO DE VEGA ALTA- ALUMBRADO PUBLICO</t>
  </si>
  <si>
    <t>0417790000</t>
  </si>
  <si>
    <t>9232851000</t>
  </si>
  <si>
    <t>MUNICIPIO DE OROCOVIS- CELI</t>
  </si>
  <si>
    <t>3319142000</t>
  </si>
  <si>
    <t>MUNICIPIO DE LAS MARIAS- CELI</t>
  </si>
  <si>
    <t>4354014781</t>
  </si>
  <si>
    <t>US IMMIGRATION AND CUSTOMS ENFORCEMENT (ICE)</t>
  </si>
  <si>
    <t>2885980000</t>
  </si>
  <si>
    <t>MUNICIPIO DE HORMIGUEROS- EXCLUSIONES</t>
  </si>
  <si>
    <t>4551940000</t>
  </si>
  <si>
    <t>9360731000</t>
  </si>
  <si>
    <t>1313501000</t>
  </si>
  <si>
    <t>2523183476</t>
  </si>
  <si>
    <t>MUNICIPIO DE GUAYANILLA- ALUMBRADO PUBLICO</t>
  </si>
  <si>
    <t>6430305936</t>
  </si>
  <si>
    <t>MUNICIPIO DE NAGUABO- ALUMBRADO PUBLICO</t>
  </si>
  <si>
    <t>0664900530</t>
  </si>
  <si>
    <t>MUNICIPIO DE CAROLINA- EXCLUSIONES</t>
  </si>
  <si>
    <t>8317790000</t>
  </si>
  <si>
    <t>2629142000</t>
  </si>
  <si>
    <t>"PREPA CLOSED" DEPARTAMENTO DE RECREACION Y DEPORTES (DRD)</t>
  </si>
  <si>
    <t>0709225913</t>
  </si>
  <si>
    <t>8793940000</t>
  </si>
  <si>
    <t>MUNICIPIO DE RINCON- EXCLUSIONES</t>
  </si>
  <si>
    <t>1921370000</t>
  </si>
  <si>
    <t>MUNICIPIO DE AGUAS BUENAS- EXCLUSIONES</t>
  </si>
  <si>
    <t>8139521000</t>
  </si>
  <si>
    <t>8529142000</t>
  </si>
  <si>
    <t>4817790000</t>
  </si>
  <si>
    <t>FORCES SURVEILLANCE,SUPPORT</t>
  </si>
  <si>
    <t>3963290000</t>
  </si>
  <si>
    <t>MUNICIPIO DE LARES-  EXCLUSIONES</t>
  </si>
  <si>
    <t>0535402629</t>
  </si>
  <si>
    <t>8550880018</t>
  </si>
  <si>
    <t>6019732212</t>
  </si>
  <si>
    <t>MUNICIPIO DE FLORIDA- ALUMBRADO PUBLICO</t>
  </si>
  <si>
    <t>5963327475</t>
  </si>
  <si>
    <t>MUNICIPIO DE DORADO- ALUMBRADO PUBLICO</t>
  </si>
  <si>
    <t>0068209186</t>
  </si>
  <si>
    <t>MUNICIPIO DE AÃ‘ASCO- EXCLUSIONES</t>
  </si>
  <si>
    <t>8418952010</t>
  </si>
  <si>
    <t>7968295718</t>
  </si>
  <si>
    <t>MUNICIPIO DE SABANA GRANDE- EXCLUSIONES</t>
  </si>
  <si>
    <t>2363726665</t>
  </si>
  <si>
    <t>8210954266</t>
  </si>
  <si>
    <t>AGENCIA ESTATAL PARA EL MANEJO EMERGENCIAS Y ADMINISTRACION DE DESASTRES (AEMEAD)</t>
  </si>
  <si>
    <t>8927790000</t>
  </si>
  <si>
    <t>0707790000</t>
  </si>
  <si>
    <t>MUNICIPIO DE RIO GRANDE- CELI</t>
  </si>
  <si>
    <t>2407790000</t>
  </si>
  <si>
    <t>8475588419</t>
  </si>
  <si>
    <t>7474127275</t>
  </si>
  <si>
    <t>2193050000</t>
  </si>
  <si>
    <t>3201945796</t>
  </si>
  <si>
    <t>MUNICIPIO DE PENUELAS- ALUMBRADO PUBLICO</t>
  </si>
  <si>
    <t>9178142000</t>
  </si>
  <si>
    <t>4129142000</t>
  </si>
  <si>
    <t>4560622733</t>
  </si>
  <si>
    <t>MUNICIPIO DE MOCA- EXCLUSIONES</t>
  </si>
  <si>
    <t>9768961583</t>
  </si>
  <si>
    <t>6809142000</t>
  </si>
  <si>
    <t>9378142000</t>
  </si>
  <si>
    <t>1042331826</t>
  </si>
  <si>
    <t>MUNICIPIO DE CAROLINA- ALUMBRADO PUBLICO</t>
  </si>
  <si>
    <t>5449289656</t>
  </si>
  <si>
    <t>MUNICIPIO DE ISABELA - ALUMBRADO PUBLICO</t>
  </si>
  <si>
    <t>9237790000</t>
  </si>
  <si>
    <t>DEPARTMENT OF VETERAN AFFAIR / U S ARMY NATIONAL CEMETERY</t>
  </si>
  <si>
    <t>3871277499</t>
  </si>
  <si>
    <t>9462395562</t>
  </si>
  <si>
    <t>INSTITUTO DE ESTADISTICAS DE PUERTO RICO (IE)</t>
  </si>
  <si>
    <t>2589015288</t>
  </si>
  <si>
    <t>2244102000</t>
  </si>
  <si>
    <t>7088142000</t>
  </si>
  <si>
    <t>8619142000</t>
  </si>
  <si>
    <t>5309470194</t>
  </si>
  <si>
    <t>OFICINA ESTATAL DE CONSERVACION HISTORICA (OECH)</t>
  </si>
  <si>
    <t>0317790000</t>
  </si>
  <si>
    <t>3229142000</t>
  </si>
  <si>
    <t>9922875962</t>
  </si>
  <si>
    <t>CORP DEL FONDO DEL SEGURO</t>
  </si>
  <si>
    <t>4529142000</t>
  </si>
  <si>
    <t>3561601129</t>
  </si>
  <si>
    <t>CARRANZA PADILLA,JOSMARY</t>
  </si>
  <si>
    <t>3378142000</t>
  </si>
  <si>
    <t>0386762116</t>
  </si>
  <si>
    <t>MUNICIPIO DE JUNCOS- EXCLUSIONES</t>
  </si>
  <si>
    <t>7809142000</t>
  </si>
  <si>
    <t>2985501578</t>
  </si>
  <si>
    <t>OFICINA DEL PROCURADOR DE LAS PERSONAS PENSIONADAS Y DE LA TERCERA EDAD (OPPTE)</t>
  </si>
  <si>
    <t>9529142000</t>
  </si>
  <si>
    <t>2062365592</t>
  </si>
  <si>
    <t>MUNICIPIO DE VIEQUES-  EXCLUSIONES</t>
  </si>
  <si>
    <t>5322579234</t>
  </si>
  <si>
    <t>8558300000</t>
  </si>
  <si>
    <t>MUNICIPIO DE ARECIBO- EXCLUSIONES</t>
  </si>
  <si>
    <t>5517790000</t>
  </si>
  <si>
    <t>0979464842</t>
  </si>
  <si>
    <t>MUNICIPIO DE SAN GERMAN- ALUMBRADO PUBLICO</t>
  </si>
  <si>
    <t>1707790000</t>
  </si>
  <si>
    <t>3565042000</t>
  </si>
  <si>
    <t>2723983239</t>
  </si>
  <si>
    <t>SISTEMA RETIRO PARA MAESTROS</t>
  </si>
  <si>
    <t>3516110999</t>
  </si>
  <si>
    <t>UNIVERSIDAD DE PUERTO RICO EN PONCE</t>
  </si>
  <si>
    <t>8829142000</t>
  </si>
  <si>
    <t>2580935771</t>
  </si>
  <si>
    <t>AUTORIDAD DE EDIFICIOS PUBLICOS (AEP)</t>
  </si>
  <si>
    <t>4361120000</t>
  </si>
  <si>
    <t>4317790000</t>
  </si>
  <si>
    <t>3670717784</t>
  </si>
  <si>
    <t>AUTORIDAD DE TRANSPORTE MARITIMO DE PUERTO RICO Y LAS ISLAS MUNICIPIOS (ATM)</t>
  </si>
  <si>
    <t>6477212000</t>
  </si>
  <si>
    <t>MUNICIPIO DE CATANO- EXCLUSIONES</t>
  </si>
  <si>
    <t>1219142000</t>
  </si>
  <si>
    <t>SAN JUAN OBSERVATORY</t>
  </si>
  <si>
    <t>8791145094</t>
  </si>
  <si>
    <t>DEPARTAMENTO DE SEGURIDAD PUBLICA (NIE)</t>
  </si>
  <si>
    <t>5228221679</t>
  </si>
  <si>
    <t>6017790000</t>
  </si>
  <si>
    <t>CONS GUAYNABO / TOA BAJA</t>
  </si>
  <si>
    <t>3830088110</t>
  </si>
  <si>
    <t>MUNICIPIO DE JUANA DIAZ- ALUMBRADO PUBLICO</t>
  </si>
  <si>
    <t>6692745864</t>
  </si>
  <si>
    <t>DEPARTAMENTO DE SALUD-SALUD AMBIENTAL</t>
  </si>
  <si>
    <t>3499064596</t>
  </si>
  <si>
    <t>7919142000</t>
  </si>
  <si>
    <t>2991571000</t>
  </si>
  <si>
    <t>MUNICIPIO DE SAN LORENZO- EXCLUSIONES</t>
  </si>
  <si>
    <t>1629142000</t>
  </si>
  <si>
    <t>4160851886</t>
  </si>
  <si>
    <t>EST EXPERIMENTAL-LAJAS</t>
  </si>
  <si>
    <t>7613999109</t>
  </si>
  <si>
    <t>2395648377</t>
  </si>
  <si>
    <t>MUNICIPIO DE TRUJILLO ALTO - ALUMBRADO PUBLICO</t>
  </si>
  <si>
    <t>7094345250</t>
  </si>
  <si>
    <t>MUNICIPIO DE AGUADILLA- ALUMBRADO PUBLICO</t>
  </si>
  <si>
    <t>1716305527</t>
  </si>
  <si>
    <t>MUNICIPIO DE BARRANQUITAS- EXCLUSIONES</t>
  </si>
  <si>
    <t>9909142000</t>
  </si>
  <si>
    <t>9307790000</t>
  </si>
  <si>
    <t>2860335721</t>
  </si>
  <si>
    <t>US CUSTOMS AND BORDER PROTECTION</t>
  </si>
  <si>
    <t>5339691000</t>
  </si>
  <si>
    <t>U S POST OFFICE</t>
  </si>
  <si>
    <t>2907790000</t>
  </si>
  <si>
    <t>3539510131</t>
  </si>
  <si>
    <t>5278142000</t>
  </si>
  <si>
    <t>5702478095</t>
  </si>
  <si>
    <t>3994678395</t>
  </si>
  <si>
    <t>ADMINISTRACION COMPENSACIONES POR ACCIDENTES AUTOMOVILISTICOS (ACAA)</t>
  </si>
  <si>
    <t>1768187117</t>
  </si>
  <si>
    <t>6167973508</t>
  </si>
  <si>
    <t>7972655599</t>
  </si>
  <si>
    <t>MUNICIPIO DE CIALES- ALUMBRADO PUBLICO</t>
  </si>
  <si>
    <t>8418781000</t>
  </si>
  <si>
    <t>MUNICIPIO DE RIO GRANDE- EXCLUSIONES</t>
  </si>
  <si>
    <t>9407790000</t>
  </si>
  <si>
    <t>6607790000</t>
  </si>
  <si>
    <t>4078142000</t>
  </si>
  <si>
    <t>7317790000</t>
  </si>
  <si>
    <t>7106974861</t>
  </si>
  <si>
    <t>MUNICIPIO DE SAN GERMAN -EXCLUSIONES</t>
  </si>
  <si>
    <t>8878142000</t>
  </si>
  <si>
    <t>7850280035</t>
  </si>
  <si>
    <t>7310454649</t>
  </si>
  <si>
    <t>ADMINISTRACION DE LA INDUSTRIA Y EL DEPORTE HIPICO (AIDH)</t>
  </si>
  <si>
    <t>9119142000</t>
  </si>
  <si>
    <t>4978142000</t>
  </si>
  <si>
    <t>6417790000</t>
  </si>
  <si>
    <t>2267298022</t>
  </si>
  <si>
    <t>MUNICIPIO DE COMERIO- ALUMBRADO PUBLICO</t>
  </si>
  <si>
    <t>1996789552</t>
  </si>
  <si>
    <t>MUNICIPIO DE LAS MARIAS- ALUMBRADO PUBLICO</t>
  </si>
  <si>
    <t>6407790000</t>
  </si>
  <si>
    <t>7023330962</t>
  </si>
  <si>
    <t>MUNICIPIO DE CIALES- EXCLUSIONES</t>
  </si>
  <si>
    <t>3119142000</t>
  </si>
  <si>
    <t>SAN JUAN LABORATORIES</t>
  </si>
  <si>
    <t>5307790000</t>
  </si>
  <si>
    <t>5379842076</t>
  </si>
  <si>
    <t>COMPANIA PARA EL DESARROLLO INTEGRAL DE LA PENINSULA CANTERA (CDIPC)</t>
  </si>
  <si>
    <t>4973603423</t>
  </si>
  <si>
    <t>ADMINISTRACION PARA EL SUSTENTO DE MENORES (ASUME)</t>
  </si>
  <si>
    <t>8607790000</t>
  </si>
  <si>
    <t>0279029916</t>
  </si>
  <si>
    <t>7428521000</t>
  </si>
  <si>
    <t>MUNICIPIO DE LAJAS-  EXCLUSIONES</t>
  </si>
  <si>
    <t>0698741086</t>
  </si>
  <si>
    <t>0490318301</t>
  </si>
  <si>
    <t>MUNICIPIO DE QUEBRADILLAS-ALUMBRADO PUBLICO</t>
  </si>
  <si>
    <t>6362644782</t>
  </si>
  <si>
    <t>1330110595</t>
  </si>
  <si>
    <t>4838033991</t>
  </si>
  <si>
    <t>5988282593</t>
  </si>
  <si>
    <t>UNIVERSIDAD DE PUERTO RICO EN HUMACAO</t>
  </si>
  <si>
    <t>5719142000</t>
  </si>
  <si>
    <t>6242891297</t>
  </si>
  <si>
    <t>CORPORACION DE PUERTO RICO PARA LA DIFUSION PUBLICA (WIPR)</t>
  </si>
  <si>
    <t>5714517461</t>
  </si>
  <si>
    <t>4519142000</t>
  </si>
  <si>
    <t>3985774166</t>
  </si>
  <si>
    <t>MUNICIPIO DE MAUNABO- ALUMBRADO PUBLICO</t>
  </si>
  <si>
    <t>2729142000</t>
  </si>
  <si>
    <t>MUNICIPIO DE AIBONITO- CELI</t>
  </si>
  <si>
    <t>1772558514</t>
  </si>
  <si>
    <t>9278142000</t>
  </si>
  <si>
    <t>3735732037</t>
  </si>
  <si>
    <t>2478142000</t>
  </si>
  <si>
    <t>9317790000</t>
  </si>
  <si>
    <t>6123405074</t>
  </si>
  <si>
    <t>2639142000</t>
  </si>
  <si>
    <t>"PREPA CLOSED" LOTERIA DE PUERTO RICO</t>
  </si>
  <si>
    <t>4390333214</t>
  </si>
  <si>
    <t>MUNICIPIO DE MARICAO- ALUMBRADO PUBLICO</t>
  </si>
  <si>
    <t>6317790000</t>
  </si>
  <si>
    <t>4707790000</t>
  </si>
  <si>
    <t>8219142000</t>
  </si>
  <si>
    <t>7405874389</t>
  </si>
  <si>
    <t>7847316941</t>
  </si>
  <si>
    <t>7127790000</t>
  </si>
  <si>
    <t>CONSORCIO SURESTE JUNCOS-PATILLAS</t>
  </si>
  <si>
    <t>0909142000</t>
  </si>
  <si>
    <t>6664596683</t>
  </si>
  <si>
    <t>SISTEMA DE RETIRO DE LA UNIVERSIDAD DE PUERTO RICO</t>
  </si>
  <si>
    <t>0474577409</t>
  </si>
  <si>
    <t>8116891969</t>
  </si>
  <si>
    <t>MUNICIPIO DE BARRANQUITAS- ALUMBRADO PUBLICO</t>
  </si>
  <si>
    <t>4098721438</t>
  </si>
  <si>
    <t>4793940000</t>
  </si>
  <si>
    <t>MUNICIPIO DE AGUADA- EXCLUSIONES</t>
  </si>
  <si>
    <t>0916468519</t>
  </si>
  <si>
    <t>5985239552</t>
  </si>
  <si>
    <t>0407790000</t>
  </si>
  <si>
    <t>03-4103-40004-000-000-0000</t>
  </si>
  <si>
    <t>3917790000</t>
  </si>
  <si>
    <t>US POSTAL INSPECTION SERVICE</t>
  </si>
  <si>
    <t>4629142000</t>
  </si>
  <si>
    <t>6245172557</t>
  </si>
  <si>
    <t>INSTITUTO DE CULTURA PUERTORRIQUENA (ICP)</t>
  </si>
  <si>
    <t>9027212000</t>
  </si>
  <si>
    <t>MUNICIPIO DE TOA BAJA- EXCLUSIONES</t>
  </si>
  <si>
    <t>4807790000</t>
  </si>
  <si>
    <t>3333851607</t>
  </si>
  <si>
    <t>5508387787</t>
  </si>
  <si>
    <t>MUNICIPIO DE CANOVANAS- EXCLUSIONES</t>
  </si>
  <si>
    <t>7894786985</t>
  </si>
  <si>
    <t>2078911000</t>
  </si>
  <si>
    <t>0921370000</t>
  </si>
  <si>
    <t>5840165373</t>
  </si>
  <si>
    <t>8066708872</t>
  </si>
  <si>
    <t>8633194406</t>
  </si>
  <si>
    <t>MUNICIPIO DE SAN LORENZO- ALUMBRADO PUBLICO</t>
  </si>
  <si>
    <t>7750999801</t>
  </si>
  <si>
    <t>ESCUELA DE ARTES PLASTICAS (EAP)</t>
  </si>
  <si>
    <t>4514237057</t>
  </si>
  <si>
    <t>MUNICIPIO DE PATILLAS- ALUMBRADO PUBLICO</t>
  </si>
  <si>
    <t>4626350129</t>
  </si>
  <si>
    <t>MUNICIPIO DE GUAYNABO- ALUMBRADO PUBLICO</t>
  </si>
  <si>
    <t>8884710704</t>
  </si>
  <si>
    <t>MUNICIPIO DE GUAYAMA- EXCLUSIONES</t>
  </si>
  <si>
    <t>9249142000</t>
  </si>
  <si>
    <t>3703447927</t>
  </si>
  <si>
    <t>MUNICIPIO DE UTUADO- EXCLUSIONES</t>
  </si>
  <si>
    <t>4745461000</t>
  </si>
  <si>
    <t>POST OFFICE DEPTMENT</t>
  </si>
  <si>
    <t>1925743582</t>
  </si>
  <si>
    <t>1281079526</t>
  </si>
  <si>
    <t>MUNICIPIO DE SABANA GRANDE- ALUMBRADO PUBLICO</t>
  </si>
  <si>
    <t>7427790000</t>
  </si>
  <si>
    <t>U S FOREST SERVICE</t>
  </si>
  <si>
    <t>3168911000</t>
  </si>
  <si>
    <t>1654442178</t>
  </si>
  <si>
    <t>DEPARTAMENTO DE JUSTICIA (DJ)</t>
  </si>
  <si>
    <t>0679092098</t>
  </si>
  <si>
    <t>DHS/ICE</t>
  </si>
  <si>
    <t>3517790000</t>
  </si>
  <si>
    <t>1302768362</t>
  </si>
  <si>
    <t>MUNICIPIO DE CABO ROJO - ALUMBRADO PUBLICO</t>
  </si>
  <si>
    <t>4890613138</t>
  </si>
  <si>
    <t>0383050000</t>
  </si>
  <si>
    <t>MUNICIPIO DE COROZAL- EXCLUSIONES</t>
  </si>
  <si>
    <t>9817790000</t>
  </si>
  <si>
    <t>"PREPA CLOSED" AUTORIDAD PARA EL FINANCIAMIENTO DE LA INFRAESTRUCTURA DE PUERTO RICO (AFI)</t>
  </si>
  <si>
    <t>2551940000</t>
  </si>
  <si>
    <t>MUNICIPIO DE MANATI- EXCLUSIONES</t>
  </si>
  <si>
    <t>4335774167</t>
  </si>
  <si>
    <t>03-1435-14398-000-000-0000</t>
  </si>
  <si>
    <t>9384809358</t>
  </si>
  <si>
    <t>MUNICIPIO DE COROZAL- ALUMBRADO PUBLICO</t>
  </si>
  <si>
    <t>2174773790</t>
  </si>
  <si>
    <t>CORPORACION PROYECTO ENLACE CAÃ‘O MARTIN PENA (ENLACE)</t>
  </si>
  <si>
    <t>0461991598</t>
  </si>
  <si>
    <t>MUNICIPIO DE LOIZA- EXCLUSIONES</t>
  </si>
  <si>
    <t>5397270067</t>
  </si>
  <si>
    <t>1317790000</t>
  </si>
  <si>
    <t>8941856609</t>
  </si>
  <si>
    <t>MUNICIPIO DE AGUAS BUENAS- ALUMBRADO PUBLICO</t>
  </si>
  <si>
    <t>2894310000</t>
  </si>
  <si>
    <t>4037790000</t>
  </si>
  <si>
    <t>U S VETERANS ADMINISTRATION</t>
  </si>
  <si>
    <t>1417790000</t>
  </si>
  <si>
    <t>1194782673</t>
  </si>
  <si>
    <t>AUTORIDAD DE CONSERVACION Y DESARROLLO DE CULEBRA (ACDEC)</t>
  </si>
  <si>
    <t>7954419691</t>
  </si>
  <si>
    <t>4945567412</t>
  </si>
  <si>
    <t>BANCO DESARROLLO ECONOMICO PARA PUERTO RICO (BDE)</t>
  </si>
  <si>
    <t>0840024920</t>
  </si>
  <si>
    <t>9907790000</t>
  </si>
  <si>
    <t>MUNICIPIO DE GUAYNABO- CELI</t>
  </si>
  <si>
    <t>0976451000</t>
  </si>
  <si>
    <t>4249142000</t>
  </si>
  <si>
    <t>RURAL DEVELOPMENT</t>
  </si>
  <si>
    <t>6149142000</t>
  </si>
  <si>
    <t>SOIL CONSERVATION SERVICE</t>
  </si>
  <si>
    <t>5217790000</t>
  </si>
  <si>
    <t>2653748101</t>
  </si>
  <si>
    <t>7037790000</t>
  </si>
  <si>
    <t>RAMEY SCHOOL ARCH ROAD RAM</t>
  </si>
  <si>
    <t>7850691661</t>
  </si>
  <si>
    <t>COMISION INDUSTRIAL DE PUERTO RICO (CIPR)</t>
  </si>
  <si>
    <t>9222270000</t>
  </si>
  <si>
    <t>MUNICIPIO DE LUQUILLO - EXCLUSIONES</t>
  </si>
  <si>
    <t>8347860731</t>
  </si>
  <si>
    <t>AREA LOCAL DE DESAROLLO LABORAL</t>
  </si>
  <si>
    <t>3707790000</t>
  </si>
  <si>
    <t>4168411890</t>
  </si>
  <si>
    <t>MUNICIPIO DE SAN SEBASTIAN-ALUMBRADO PUBLICO</t>
  </si>
  <si>
    <t>6917332401</t>
  </si>
  <si>
    <t>9335653407</t>
  </si>
  <si>
    <t>ESTACION EXPERIMENTAL AGRICOLA-ISABELA</t>
  </si>
  <si>
    <t>7008460000</t>
  </si>
  <si>
    <t>MUNICIPIO DE TOA ALTA- EXCLUSIONES</t>
  </si>
  <si>
    <t>9200933558</t>
  </si>
  <si>
    <t>5839670653</t>
  </si>
  <si>
    <t>AUTORIDAD DE DESARROLLO TERRENOS ESTACION NAVAL PR (ROOSEVELT R)</t>
  </si>
  <si>
    <t>6078142000</t>
  </si>
  <si>
    <t>0507790000</t>
  </si>
  <si>
    <t>6719142000</t>
  </si>
  <si>
    <t>3607790000</t>
  </si>
  <si>
    <t>6337790000</t>
  </si>
  <si>
    <t>1429142000</t>
  </si>
  <si>
    <t>"PREPA CLOSED" DEPARTAMENTO DE EDUCACION (DE)</t>
  </si>
  <si>
    <t>03-4103-40003-000-000-0000</t>
  </si>
  <si>
    <t>5449142000</t>
  </si>
  <si>
    <t>"PREPA CLOSED" EST EXPERIMENTAL-LAJAS</t>
  </si>
  <si>
    <t>1517790000</t>
  </si>
  <si>
    <t>Portfolio</t>
  </si>
  <si>
    <t>Program</t>
  </si>
  <si>
    <t>PBCode</t>
  </si>
  <si>
    <t>FY2026 Federal Funded CapEx</t>
  </si>
  <si>
    <t>FY2026 Non-Federal Funded CapEx</t>
  </si>
  <si>
    <t>FY2027 Federal Funded CapEx</t>
  </si>
  <si>
    <t>FY2027 Non-Federal Funded CapEx</t>
  </si>
  <si>
    <t>FY2028 Federal Funded CapEx</t>
  </si>
  <si>
    <t>FY2028 Non-Federal Funded CapEx</t>
  </si>
  <si>
    <t>(F)</t>
  </si>
  <si>
    <t>(N)</t>
  </si>
  <si>
    <t>(P)</t>
  </si>
  <si>
    <t>Distribution Streetlighting</t>
  </si>
  <si>
    <t>PBUT5</t>
  </si>
  <si>
    <t>Billing Accuracy &amp; Back Office</t>
  </si>
  <si>
    <t>PBCS3</t>
  </si>
  <si>
    <t>Standardized Metering &amp; Meter Shop Setup</t>
  </si>
  <si>
    <t>PBUT29</t>
  </si>
  <si>
    <t>O&amp;M Modernize Customer Service Technology</t>
  </si>
  <si>
    <t>PBCS1</t>
  </si>
  <si>
    <t>O&amp;M Voice of the Customer</t>
  </si>
  <si>
    <t>PBCS2</t>
  </si>
  <si>
    <t xml:space="preserve">Meter Replacement &amp; Maintenance </t>
  </si>
  <si>
    <t>PBUT17</t>
  </si>
  <si>
    <t>AMI Implementation Program</t>
  </si>
  <si>
    <t>PBUT36</t>
  </si>
  <si>
    <t>Loss Recovery Program</t>
  </si>
  <si>
    <t>PBUT31</t>
  </si>
  <si>
    <t>New Business Connections</t>
  </si>
  <si>
    <t>PBUT38</t>
  </si>
  <si>
    <t>Retail Wheeling</t>
  </si>
  <si>
    <t>PBCS4</t>
  </si>
  <si>
    <t>Generation (D-2)</t>
  </si>
  <si>
    <t>Misc. Plant Decommissioning</t>
  </si>
  <si>
    <t xml:space="preserve">Vehicle Fleet Decommissioning </t>
  </si>
  <si>
    <t xml:space="preserve">Misc.  FAASt Funding </t>
  </si>
  <si>
    <t xml:space="preserve">Misc. Subrecipient Management Costs  </t>
  </si>
  <si>
    <t xml:space="preserve">Costa Sur Plant </t>
  </si>
  <si>
    <t xml:space="preserve">San Juan Plant </t>
  </si>
  <si>
    <t xml:space="preserve">Palo Seco Plant </t>
  </si>
  <si>
    <t>Aguirre Plant</t>
  </si>
  <si>
    <t>Aguirre Combined Cycle</t>
  </si>
  <si>
    <t>Mayaguez Plant</t>
  </si>
  <si>
    <t>Cambalache Plant</t>
  </si>
  <si>
    <t>Peakers</t>
  </si>
  <si>
    <t xml:space="preserve">O&amp;M Temporary Power </t>
  </si>
  <si>
    <t xml:space="preserve">O&amp;M  BESS </t>
  </si>
  <si>
    <t xml:space="preserve">O&amp;M New Peakers </t>
  </si>
  <si>
    <t xml:space="preserve">Misc. All Plants Service Fees </t>
  </si>
  <si>
    <t>HydroCo (D-2)</t>
  </si>
  <si>
    <t>HydroCo CapEx</t>
  </si>
  <si>
    <t>Transmission (D-3)</t>
  </si>
  <si>
    <t>OT Telecom Systems &amp; Network</t>
  </si>
  <si>
    <t>PBIT1</t>
  </si>
  <si>
    <t>Transmission Line Rebuild</t>
  </si>
  <si>
    <t>PBUT33</t>
  </si>
  <si>
    <t>Transmission Priority Pole Replacements</t>
  </si>
  <si>
    <t>PBUT13</t>
  </si>
  <si>
    <t>Assessment of Transmission Lines</t>
  </si>
  <si>
    <t>PBUT32</t>
  </si>
  <si>
    <t>Distribution (D-4)</t>
  </si>
  <si>
    <t>Distribution Line Rebuild</t>
  </si>
  <si>
    <t>PBUT6</t>
  </si>
  <si>
    <t>Distribution Pole &amp; Conductor Repair</t>
  </si>
  <si>
    <t>PBUT30</t>
  </si>
  <si>
    <t>Grid Automation</t>
  </si>
  <si>
    <t>PBUT4</t>
  </si>
  <si>
    <t>Distribution Lines Assessment</t>
  </si>
  <si>
    <t>PBUT34</t>
  </si>
  <si>
    <t>Distribution Grid Reliability</t>
  </si>
  <si>
    <t>PBUT39</t>
  </si>
  <si>
    <t>Substations</t>
  </si>
  <si>
    <t>Substation Rebuilds</t>
  </si>
  <si>
    <t>PBUT8</t>
  </si>
  <si>
    <t>Substation Reliability</t>
  </si>
  <si>
    <t>PBUT7</t>
  </si>
  <si>
    <t>Substation Physical Security</t>
  </si>
  <si>
    <t>PBUT18</t>
  </si>
  <si>
    <t>Control Center &amp; Buildings</t>
  </si>
  <si>
    <t xml:space="preserve">Facilities Development &amp; Implementation </t>
  </si>
  <si>
    <t>PBFM1</t>
  </si>
  <si>
    <t>Critical Energy Management System Upgrades</t>
  </si>
  <si>
    <t>PBUT22</t>
  </si>
  <si>
    <t>Control Center Construction &amp; Refurbishment</t>
  </si>
  <si>
    <t>PBUT24</t>
  </si>
  <si>
    <t>Regional Operations Physical Security</t>
  </si>
  <si>
    <t>PBUT19</t>
  </si>
  <si>
    <t>Enabling</t>
  </si>
  <si>
    <t>Vegetation Management and Capital Clearing Implementation</t>
  </si>
  <si>
    <t>PBOP7</t>
  </si>
  <si>
    <t>T&amp;D Fleet</t>
  </si>
  <si>
    <t>PBOP1</t>
  </si>
  <si>
    <t>Tools Repair &amp; Management</t>
  </si>
  <si>
    <t>PBOP5</t>
  </si>
  <si>
    <t>O&amp;M HSEQ and Technical Training</t>
  </si>
  <si>
    <t>PBHE1</t>
  </si>
  <si>
    <t>Project Management Software and Tools</t>
  </si>
  <si>
    <t>PBCP4</t>
  </si>
  <si>
    <t xml:space="preserve">Asset Data Integrity </t>
  </si>
  <si>
    <t>PBUT27</t>
  </si>
  <si>
    <t>Emergency Response Preparedness</t>
  </si>
  <si>
    <t>PBHE8</t>
  </si>
  <si>
    <t>O&amp;M Workflow Processes &amp; Tracking</t>
  </si>
  <si>
    <t>PBOP3</t>
  </si>
  <si>
    <t>Materials Management</t>
  </si>
  <si>
    <t>PBOP6</t>
  </si>
  <si>
    <t>O&amp;M Permits Processes &amp; Management</t>
  </si>
  <si>
    <t>PBRE1</t>
  </si>
  <si>
    <t>Compliance &amp; Studies</t>
  </si>
  <si>
    <t>PBUT1</t>
  </si>
  <si>
    <t>Microgrid Installation and Integration</t>
  </si>
  <si>
    <t>PBUT37</t>
  </si>
  <si>
    <t>O&amp;M Renewables Integration, Minigrids &amp; Generation Studies</t>
  </si>
  <si>
    <t>PBRE7</t>
  </si>
  <si>
    <t>IT OT Asset Management</t>
  </si>
  <si>
    <t>PBIT4</t>
  </si>
  <si>
    <t>O&amp;M Critical Financial Controls</t>
  </si>
  <si>
    <t>PBFM2</t>
  </si>
  <si>
    <t>O&amp;M Public Safety</t>
  </si>
  <si>
    <t>PBHE3</t>
  </si>
  <si>
    <t>IT OT Collaboration &amp; Analytics</t>
  </si>
  <si>
    <t>PBIT5</t>
  </si>
  <si>
    <t>Update to Third Party Use, Audit, Contract and Billing Procedures</t>
  </si>
  <si>
    <t>PBRE2</t>
  </si>
  <si>
    <t>O&amp;M Land Record Management</t>
  </si>
  <si>
    <t>PBRE5</t>
  </si>
  <si>
    <t>Critical Financial Systems</t>
  </si>
  <si>
    <t>PBFM4</t>
  </si>
  <si>
    <t>O&amp;M Waste Management</t>
  </si>
  <si>
    <t>PBHE4</t>
  </si>
  <si>
    <t>IT OT Cybersecurity Program</t>
  </si>
  <si>
    <t>PBIT2</t>
  </si>
  <si>
    <t xml:space="preserve">IT OT Enablement Program </t>
  </si>
  <si>
    <t>PBIT3</t>
  </si>
  <si>
    <t>HoldCo Capex</t>
  </si>
  <si>
    <t>GenCo Assets</t>
  </si>
  <si>
    <t>Vega Baja Plant Decommissioning Project</t>
  </si>
  <si>
    <t>Palo Seco Plant Decommissioning Project</t>
  </si>
  <si>
    <t>Jobos Plant Decommissioning Project</t>
  </si>
  <si>
    <t>Yabucoa Plant Decommissioning Project</t>
  </si>
  <si>
    <t>Daguao Plant Decommissioning Project</t>
  </si>
  <si>
    <t>Aguirre Plant Decommissioning Project</t>
  </si>
  <si>
    <t>Costa Sur Plant Decommissioning Project</t>
  </si>
  <si>
    <t>Vehicles Fleet to Decommission</t>
  </si>
  <si>
    <t>164988 - PW 11855 - FAASt Generation FleeT (Includes: BESS &amp; Peakers Installation &amp; Construction Management Costs)</t>
  </si>
  <si>
    <t>335168 - PW9510 - FAASt A&amp;E PREPA</t>
  </si>
  <si>
    <t>673691 - PW10710 - FAASt Equipment and Materials</t>
  </si>
  <si>
    <t>669233 - PW 10568 - FAASt Aguirre Power Plant 002 Units 1 &amp; 2</t>
  </si>
  <si>
    <t>669498 - PW 10571 - FAASt Aguirre Power Plant 001 Infrastructure</t>
  </si>
  <si>
    <t>662957 - PW 10606 - FAASt Palo Seco Power Plant 001 Units 3 &amp; 4</t>
  </si>
  <si>
    <t xml:space="preserve">667744 - PW 10608 - FAASt San Juan Power Plant - Auxiliary Infrastructure </t>
  </si>
  <si>
    <t>671481 - PW 10609 - FAASt Palo Seco 002- Auxiliary Infrastructure</t>
  </si>
  <si>
    <t>662947 - PW 10615 - FAASt San Juan 001 Units 5 &amp; 6</t>
  </si>
  <si>
    <t>669815 - PW 10622 - FAASt Aguirre Power Plant 003 Combined Cycle</t>
  </si>
  <si>
    <t>673006 - PW 10694 - FAASt Costa Sur 002 -Infrastructure Projects</t>
  </si>
  <si>
    <t xml:space="preserve">672950 - PW 10702 - FAASt Costa Sur Power Plant Permanent </t>
  </si>
  <si>
    <t>767305 - PW 108066 - FAASt [Auxiliary Equipment] (Generation)</t>
  </si>
  <si>
    <t>687480 - PW 11085 - FAASt San Juan Power Plant 002 Units 7 &amp; 8</t>
  </si>
  <si>
    <t>83182 - PW 1294 - Subrecipient Management Cost - Maria</t>
  </si>
  <si>
    <t>437384 - PW 506 - Subrecipient Management Cost - Earthquake</t>
  </si>
  <si>
    <t>721698 - PW 554 - Subrecipient Management Cost - Fiona</t>
  </si>
  <si>
    <t>Costa Sur Plant</t>
  </si>
  <si>
    <t>Water Treatment Plant Maintenance Services (Sewer and Processed Waters)</t>
  </si>
  <si>
    <t xml:space="preserve">Auxiliary Equipment Procurement and Repair Works for Boilers </t>
  </si>
  <si>
    <t>Inspection, and Repair Refractory, Insulation</t>
  </si>
  <si>
    <t>Remove, Supply and Install Boiler Water Wall Panel</t>
  </si>
  <si>
    <t>AH Replacement Basket, Seal and Trunnion Unit 6</t>
  </si>
  <si>
    <t>Procurement of Parts for the Major Repair Unit 6</t>
  </si>
  <si>
    <t>Costa Sur 6 Major Program Outage Turbine/Generator</t>
  </si>
  <si>
    <t>Repair of the Regeneration System, Polishers Demi Water Treatment Plan</t>
  </si>
  <si>
    <t>Repair of Peripheral Security Fences</t>
  </si>
  <si>
    <t>Fire Protection System - Improvements, Inspection and Repairs</t>
  </si>
  <si>
    <t>Water Pretreatment and Treatment (DEMI) Reverse Osmosis &amp; Electrodionization System Maintenance Services</t>
  </si>
  <si>
    <t>Corrosion protection for Natural Gas Pipelines</t>
  </si>
  <si>
    <t>Corrosion Protection for Unit 5</t>
  </si>
  <si>
    <t>Corrosion Protection for Unit 6</t>
  </si>
  <si>
    <t>Repair of Worker Bathrooms Different Buildings</t>
  </si>
  <si>
    <t>Rehabilitation of CEMS (Air Quality Compliance EPA)</t>
  </si>
  <si>
    <t>Protective Mesh on the Condenser Inlet Suction to Comply with 316B (Clean Water Act)</t>
  </si>
  <si>
    <t>Environmental Outage Costa Sur 6</t>
  </si>
  <si>
    <t>Environmental Outage Costa Sur 5</t>
  </si>
  <si>
    <t>Procurement and Installation of 1 Stand By Generator 1MW 4160V for 800HP Fire Pump 2, Foam Fire Protection System for the Fuel Oil Facilities</t>
  </si>
  <si>
    <t>Repair a Set of Turbine Rotors (HP,IP, LPA, LPB) and Diaphragms</t>
  </si>
  <si>
    <t>Procurement and Instalation of A/C System for Switchgears Rooms (4160V and 480V) Units 5 and 6</t>
  </si>
  <si>
    <t>Procurement and Instalation of (2) Stand By Generators 500kW for Water Well Pums #10 and #13</t>
  </si>
  <si>
    <t>Procurement of 1 Condenser Vacuum Pumps Skid Unit 5</t>
  </si>
  <si>
    <t>Procurement of 1 Condenser Vacuum Pumps Skid Unit 6</t>
  </si>
  <si>
    <t xml:space="preserve">Procurement of (2) 72" Butterfly Valve W/ Electrical Operators for North and South Sectionalizer Valves CCWP's </t>
  </si>
  <si>
    <t>Procurement and Installation of 2 Acoustic Gas Temperature Measurement System for Boilers Units 5 and 6</t>
  </si>
  <si>
    <t>Procurement and Installation of 2 Sets of Opacity Monitor Durag (One per Stack, Two Stacks per Unit) Units 5 and 6</t>
  </si>
  <si>
    <t>Purchase of Paint for Structure and Equipments</t>
  </si>
  <si>
    <t>Generator Inspection, Test &amp; Maintenance Unit 5</t>
  </si>
  <si>
    <t>Generator Inspection, Test &amp; Maintenance Unit 6</t>
  </si>
  <si>
    <t xml:space="preserve">New Electrical Substation for 4 Guaypao Water Well </t>
  </si>
  <si>
    <t>Auxiliary Equipment Procurement and Repair Works for Turbines</t>
  </si>
  <si>
    <t>Maintenance of Metering Station, PRV1, PRV2 and PRV3, Replacement of Isolation Valves, Painting and Integrity Tests</t>
  </si>
  <si>
    <t xml:space="preserve">Structural Steel </t>
  </si>
  <si>
    <t>San Juan Plant</t>
  </si>
  <si>
    <t>LTSA UNITS 5 &amp; 6</t>
  </si>
  <si>
    <t>Units 5 and 6 Gas Conversion Infrastructure Project (Surcharge)</t>
  </si>
  <si>
    <t>General Repair STG6 - Not Included in Federal Funds</t>
  </si>
  <si>
    <t>HRSG Hot Spots Mitigations U 5&amp;6</t>
  </si>
  <si>
    <t>Upgrade Communication Profibus U5-6</t>
  </si>
  <si>
    <t>Acquisition &amp; Installation BFWP LP U5 &amp; 6 (3 Pumps)</t>
  </si>
  <si>
    <t>Procurement and installation Air Compressors for Instrumentation Equipment</t>
  </si>
  <si>
    <t>Condensers Coating &amp; Repair U5&amp;6</t>
  </si>
  <si>
    <t>Buy Electrical Motors and Associate Electrical Components for All Plant</t>
  </si>
  <si>
    <t>Material and Rewind Generator Rotor 7</t>
  </si>
  <si>
    <t>General Repair Boiler U7 Not included in Fed Funds</t>
  </si>
  <si>
    <t>Water Treatment  Plant  Multimedia Filter Parts &amp; Maintenance Services</t>
  </si>
  <si>
    <t>DEMI Water Treatment Resin Purchase</t>
  </si>
  <si>
    <t>Boiler Structure Coating Application 5 to 9 (9, 7, 5, 6)</t>
  </si>
  <si>
    <t>Fire Protection for Unit 5 to 9 Improvements</t>
  </si>
  <si>
    <t>HRSG Remaining Life Pressure Parts Assessment U5&amp;6</t>
  </si>
  <si>
    <t>CTG Thermal Insulation Blankets Replacement, Acquisition &amp; Installation U5&amp;6</t>
  </si>
  <si>
    <t>HRSG Desuperheater Valves U5&amp;6</t>
  </si>
  <si>
    <t>STG Thermal Insulation Blankets U5&amp;6</t>
  </si>
  <si>
    <t>HRSG's Silencers Replacement U5&amp;6</t>
  </si>
  <si>
    <t>Continuous Cleaning System Condensers U7</t>
  </si>
  <si>
    <t>General Maintenance and Major Repair STG5&amp;6</t>
  </si>
  <si>
    <t>Buy Actuators Valves Condensers U7</t>
  </si>
  <si>
    <t xml:space="preserve">Reverse Osmosis and Ultrafiltration Water Pretreatment System Parts &amp; Services </t>
  </si>
  <si>
    <t>Buy CCWP-5&amp;6</t>
  </si>
  <si>
    <t xml:space="preserve">Update and Commissioning a DCS for SJ 5-6 </t>
  </si>
  <si>
    <t>San Juan 5 Programmed Outage (CT, STG, HRSG)</t>
  </si>
  <si>
    <t>Environmental Outage Unit 9</t>
  </si>
  <si>
    <t>Environmental Outage Unit 7</t>
  </si>
  <si>
    <t>Auxiliary Equipment Boiler, HRSG, Turbines &amp; Generators</t>
  </si>
  <si>
    <t>Catalytic Maintenance HRGS5</t>
  </si>
  <si>
    <t>Units 5 &amp; 6 STG Overhead Crane</t>
  </si>
  <si>
    <t>Removal of Old Overhead Crane from Travelling Screens 9-10 (Safety)</t>
  </si>
  <si>
    <t>Units 5 &amp; 6 CT Bypass Hydraulic System Rehabilitation</t>
  </si>
  <si>
    <t>Units 5 &amp; 6 Condenser Pit Draining System Rehabilitation</t>
  </si>
  <si>
    <t>Reverse Osmosis and Ultrafiltration Water Pretreatment System DCS Foxboro</t>
  </si>
  <si>
    <t>Units 5 &amp; 6 CT Bypass Valves System Rehabilitation</t>
  </si>
  <si>
    <t>Units 7 and 9 Battery Chargers Replacement</t>
  </si>
  <si>
    <t>Units 5 to 9 Electrical Breakers Rehabilitation</t>
  </si>
  <si>
    <t>Units 5 &amp; 6 Compress Air Dryers Rehabilitation</t>
  </si>
  <si>
    <t>Units 5 &amp; 6 Switch Gear Ventilation Sytem Rehabilitation</t>
  </si>
  <si>
    <t>Unit 5 STG Main Valves Rehabilitation</t>
  </si>
  <si>
    <t>General Repair U9 Not Included in Fed Funds</t>
  </si>
  <si>
    <t>San Juan Cooling Towers 7 &amp; 9 Pumps Rehabilitation</t>
  </si>
  <si>
    <t>San Juan CT 5 &amp; 6 Torque Converter Repair</t>
  </si>
  <si>
    <t xml:space="preserve">STG5&amp;6 Switch Gear Rehabilitation </t>
  </si>
  <si>
    <t>SJ9 Elevator Installation</t>
  </si>
  <si>
    <t>Upgade Lock Out-Tag Out Systems</t>
  </si>
  <si>
    <t>Upgrade Panel Alarms Electrical Control Room</t>
  </si>
  <si>
    <t>STG's 5 &amp; 6 DC Lube Oil Control System Replacement</t>
  </si>
  <si>
    <t>Repair Units 7-10 SJ and Modify to Gas</t>
  </si>
  <si>
    <t>San Juan Chem Shed (Reliablity Improvement)</t>
  </si>
  <si>
    <t>Palo Seco Plant</t>
  </si>
  <si>
    <t>New Multimedia Filter Water Treatment Plant</t>
  </si>
  <si>
    <t>Turbine Area Crane Maintenance-Repair</t>
  </si>
  <si>
    <t>Unit #4 Economizer Water Inlet Valve</t>
  </si>
  <si>
    <t>Steam Coil Units 3 &amp; 4 Replacement</t>
  </si>
  <si>
    <t>Boiler U3 &amp; U4 Structure Reinforcement &amp; Coating</t>
  </si>
  <si>
    <t xml:space="preserve">Jetty Area Dredging </t>
  </si>
  <si>
    <t>Travelling Screens Repair</t>
  </si>
  <si>
    <t>Internal Fixed Screens Replacement</t>
  </si>
  <si>
    <t>Water Waste Treatment Plant Repairs</t>
  </si>
  <si>
    <t>UPS Cyberex/ABB 3 &amp; 4 Upgrade</t>
  </si>
  <si>
    <t>Demi Raw Water Pumps Replacement</t>
  </si>
  <si>
    <t xml:space="preserve">Nautilus 2 WTP Rehabilitation </t>
  </si>
  <si>
    <t>Switchgear Units 3 &amp; 4</t>
  </si>
  <si>
    <t>Environmental Outage Unit 3</t>
  </si>
  <si>
    <t>Environmental Outage Unit 4</t>
  </si>
  <si>
    <t>Demi Ionic Cationic Vessels</t>
  </si>
  <si>
    <t>Laboratory Automatization</t>
  </si>
  <si>
    <t>Unit # 3 Electro Hydraulic System Accumulators Refurbish</t>
  </si>
  <si>
    <t>Correct Safety Issues on Sargazum Area</t>
  </si>
  <si>
    <t>Unit 3 and 4 Chimney Balcony Rehabilitation</t>
  </si>
  <si>
    <t>Administrative Building Second Floor Remodeling</t>
  </si>
  <si>
    <t>Unit 3 and 4 Battery Chargers</t>
  </si>
  <si>
    <t>Hydraulic Servo Oil Conditioning System for Units 3 and 4</t>
  </si>
  <si>
    <t>Aguirre Unit 1 - Environmental Maintenance Project</t>
  </si>
  <si>
    <t>Aguirre Unit 2 - Environmental Maintenance Project</t>
  </si>
  <si>
    <t>Replacement of Trifectas for Burner Corners U1 &amp; U2 (Valve)</t>
  </si>
  <si>
    <t>Motor Replacement D/A Pump U1 &amp; U2</t>
  </si>
  <si>
    <t>Original Condenser Water Boxes Rehabilitation U1</t>
  </si>
  <si>
    <t>Original Condenser Water Boxes Installation U1</t>
  </si>
  <si>
    <t>Purchase of 480 VAC (LA3000, LA1600 &amp; LA600 Series) Breakers for Unit 1 Switch Gear</t>
  </si>
  <si>
    <t>Replacement of Battery Charger &amp; UPS U1</t>
  </si>
  <si>
    <t>Boiler G-7-8-9 Duct Joints, Unit 1</t>
  </si>
  <si>
    <t>Installation Of Fan Ducts, Unit 1</t>
  </si>
  <si>
    <t xml:space="preserve">HP &amp; IP Rotors Rehabilitation &amp; Trip block </t>
  </si>
  <si>
    <t>Low Pressure Spare Turbines Recertification (Rotors) U2</t>
  </si>
  <si>
    <t>Purchase of 480VAC (LA3000 series) Breakers for Unit 2 Switch Gear</t>
  </si>
  <si>
    <t>Boiler G-7-8-9 Duct Joints, Unit 2</t>
  </si>
  <si>
    <t>Installation Of Fan Ducts, Unit 2</t>
  </si>
  <si>
    <t>Generator Rotor Rewind</t>
  </si>
  <si>
    <t>Purchase of Material for Generator Rotor Rewind</t>
  </si>
  <si>
    <t>Generator Stator Rewind</t>
  </si>
  <si>
    <t>Purchase of Material for Generator Stator Rewind &amp; Install</t>
  </si>
  <si>
    <t>Aguirre 2 Major Programmed Outage</t>
  </si>
  <si>
    <t>Turbine Driven Boiler Feed Pumps Two Bundle Acquisition</t>
  </si>
  <si>
    <t>Covering of Structural Elements and Auxiliary Equipment's</t>
  </si>
  <si>
    <t>Fuel Loading Arms Rehabilitation</t>
  </si>
  <si>
    <t>Over head Crane Acquisition for Condensers Intake Water Pumps Area</t>
  </si>
  <si>
    <t>Vacuum Pump Acquisition</t>
  </si>
  <si>
    <t>LO. &amp; BC. Service Pumps and Motors Acquisition (2)</t>
  </si>
  <si>
    <t>Auxiliary Equipment</t>
  </si>
  <si>
    <t>Raw Water Pump (RWP)</t>
  </si>
  <si>
    <t>Hotwell Level Regulator</t>
  </si>
  <si>
    <t>Diesel Engine &amp; Fire System Pumps</t>
  </si>
  <si>
    <t>Fender System for the Fuel Receipt Dock</t>
  </si>
  <si>
    <t>Transmission Rotor Drive Air Heater</t>
  </si>
  <si>
    <t>Degasifier Rehabilitation At The DEMI Plant</t>
  </si>
  <si>
    <t>Rehabilitation Of The Existing Reverse Osmosis System</t>
  </si>
  <si>
    <t>New Reverse Osmosis System</t>
  </si>
  <si>
    <t>Internal/External Treatment of Cations at the DEMI Plant</t>
  </si>
  <si>
    <t>Internal/External Treatment of Anions at the DEMI Plant</t>
  </si>
  <si>
    <t>Supply and Install On-Line DEMI Instruments (Sodium, Silica) – Training/Commissioning</t>
  </si>
  <si>
    <t>Supply and Install Acid Tank for the Thermo Cooling Towers</t>
  </si>
  <si>
    <t>Process and Safety Valves</t>
  </si>
  <si>
    <t>Replacement Of Economizer U1 &amp; U2</t>
  </si>
  <si>
    <t>Generator Spare Rotor Rewind</t>
  </si>
  <si>
    <t xml:space="preserve">Replacement of Second Rotatory Screens &amp; Parts </t>
  </si>
  <si>
    <t>Critical Motor Adquisition for Induced, Forced &amp; Gas Recirculation Fans (3)</t>
  </si>
  <si>
    <t>Boiler Chemical Cleaning and Boiler Improvement U-2 Aguirre Steam Plant</t>
  </si>
  <si>
    <t>Turbine Lube oil Cooler Adquisition U1 &amp; U2 and Replacement</t>
  </si>
  <si>
    <t>Reconstruction Service For The Rotary Screens Header</t>
  </si>
  <si>
    <t>Replacement of Battery Charger &amp; UPS U2</t>
  </si>
  <si>
    <t>Reconstruction Service For The Boiler Dry Ash Material Storage Facility</t>
  </si>
  <si>
    <t>Aguirre Steam Turbine U2 Low Pressure Gland Housing Air Leakage Repair</t>
  </si>
  <si>
    <t>Aguirre Chem shed (Reliablitiy Improvement)</t>
  </si>
  <si>
    <t xml:space="preserve">Aguirre CC STG 1 &amp; 2 MI </t>
  </si>
  <si>
    <t>Major Inspection of Units GT 1-1. Necessary Repairs on the Heat Recovery Steam Generators. Auxiliary Equipment to be Repaired (Fuel, Water Pumps, MCC, Compressors, Among Others).</t>
  </si>
  <si>
    <t>Major inspection of units GT 1-2. Necessary Repairs on the Heat Recovery Steam Generators. Auxiliary Equipment to be Repaired (Fuel, Water Pumps, MCC, Compressors, Among Others).</t>
  </si>
  <si>
    <t>Major inspection of units GT 2-4. Necessary Repairs on the Heat Recovery Steam Generators. Auxiliary Equipment to be Repaired (Fuel, Water Pumps, MCC, Compressors, Among Others).</t>
  </si>
  <si>
    <t xml:space="preserve">Combustion Inspection of Units GT 1-1, GT 1-2, GT 1-3, GT 2-2, GT 2-3, GT 2-4. Battery Banks Replacement. </t>
  </si>
  <si>
    <t>Anticorrosion Coating, Structure Repair and Structural Repairs of Heat Recovery Systems.</t>
  </si>
  <si>
    <t>Control Systems Improvement in Gas Turbine Units</t>
  </si>
  <si>
    <t>Building Roof Sealing, Windows and Doors Repairs and Paint</t>
  </si>
  <si>
    <t>230 KV Breakers (OCB-0084 &amp; OCB-0082)</t>
  </si>
  <si>
    <t>Steam Path, Steam Pipes &amp; Auxiliar Repair and Rehabilitation</t>
  </si>
  <si>
    <t>GT CO2 Fire Systems Repair</t>
  </si>
  <si>
    <t>UPS of Control Systems Replace for STAG 1 &amp; 2</t>
  </si>
  <si>
    <t>Repair &amp; Replacement of Combustion Components 2 Units</t>
  </si>
  <si>
    <t xml:space="preserve">Hot Section Inspection Unidad 3A   </t>
  </si>
  <si>
    <t>Hot Section Inspection U1A</t>
  </si>
  <si>
    <t>Hot Section Inspection U2A</t>
  </si>
  <si>
    <t>Hot Section Inspection U4B</t>
  </si>
  <si>
    <t>Hot Section Inspection U1B</t>
  </si>
  <si>
    <t>Hot Section Inspection U2B</t>
  </si>
  <si>
    <t>Hot Section Inspection U3B</t>
  </si>
  <si>
    <t>DEMI Plant Capacity Increase</t>
  </si>
  <si>
    <t>Protective Coating Against Corrosion For Units</t>
  </si>
  <si>
    <t>Turbo Compressor Inspection Materials GTS 2 &amp; 3</t>
  </si>
  <si>
    <t>Non HGP Parts</t>
  </si>
  <si>
    <t>Inspection C (TFA Services + Gen Insp + RLM) GT2 &amp; GT3</t>
  </si>
  <si>
    <t>HTS SFC, HMI, BLUE LINE, P13 Controls Contract</t>
  </si>
  <si>
    <t>Compressor Inspection &amp; Maintenance (RLM)</t>
  </si>
  <si>
    <t>Painting And Anticorrosive Protection Of Units, Including Chimneys</t>
  </si>
  <si>
    <t>Auxiliary Equipment Replacements (AC &amp;DC motors, Valves)</t>
  </si>
  <si>
    <t xml:space="preserve">Compressor Replacement for GT 2 &amp; 3 </t>
  </si>
  <si>
    <t>Fin Fan Coolers Maintenance GT 2 &amp; 3</t>
  </si>
  <si>
    <t>Battery Banks Replacement GT 2 &amp; 3</t>
  </si>
  <si>
    <t>Enclossure Repair GT 2 &amp; 3</t>
  </si>
  <si>
    <t>Turbine Transformer Maintenance</t>
  </si>
  <si>
    <t>Crane Maintenance</t>
  </si>
  <si>
    <t>Logic Modification For The GT3 Black Start System</t>
  </si>
  <si>
    <t>Repair Unit 1 Cambalache</t>
  </si>
  <si>
    <t xml:space="preserve">Combustion Inspection &amp; Repair Frame 5000 </t>
  </si>
  <si>
    <t xml:space="preserve">Mobil Pac Annual Audit </t>
  </si>
  <si>
    <t xml:space="preserve">Communication System Mobil Pac </t>
  </si>
  <si>
    <t>Mobil Pac Hot Gas Inspection (GG &amp; PT) (12,000 Fired Hours -Diesel) (1 Unit Per Year)</t>
  </si>
  <si>
    <t>Auxiliary Equipments</t>
  </si>
  <si>
    <t>Culebra Engines Annual Inspection &amp; Maintenance</t>
  </si>
  <si>
    <t>Vieques Engines Annual Inspection &amp; Maintenance</t>
  </si>
  <si>
    <t>Temp Pwr</t>
  </si>
  <si>
    <t>O&amp;M - Temporary Power</t>
  </si>
  <si>
    <t>BESS</t>
  </si>
  <si>
    <t>O&amp;M - BESS</t>
  </si>
  <si>
    <t>New PK</t>
  </si>
  <si>
    <t>O&amp;M - New Peakers</t>
  </si>
  <si>
    <t>All Plants</t>
  </si>
  <si>
    <t>Coordination Studies</t>
  </si>
  <si>
    <t>Oil shed (Environmental improvement )</t>
  </si>
  <si>
    <t>Vibration system Upgrade (Reliabilty improvement )</t>
  </si>
  <si>
    <t>Inspection/Rehabilitation of All Fuel /Water Handling Assets (i.e. Pipelines, Storage Tanks, Pumps, Demi, etc.)</t>
  </si>
  <si>
    <t>Upgrage Collect Brush Rigging Assembly all sites SJU, AG, CS, PS</t>
  </si>
  <si>
    <t>Install New Water Chemistry Analyzers and Pumps SJU, AG, CS, PS</t>
  </si>
  <si>
    <t xml:space="preserve">Purchase Spare Transformer Bushing for All Sites </t>
  </si>
  <si>
    <t>Performance Test of the System</t>
  </si>
  <si>
    <t>Substations Maintenance</t>
  </si>
  <si>
    <t>OT/DCS Updates/Upgrades (Is necessary for the mandatory update of the PI)</t>
  </si>
  <si>
    <t>Transformer and Switchgear Electrical Protection</t>
  </si>
  <si>
    <t>Warehouses Reconditioning</t>
  </si>
  <si>
    <t>ERP Upgrades</t>
  </si>
  <si>
    <t>EAM Upgrades</t>
  </si>
  <si>
    <t>Fuel Mass Balance Efficiency</t>
  </si>
  <si>
    <t>AI Digitization &amp; Analytics</t>
  </si>
  <si>
    <t>Data Lake</t>
  </si>
  <si>
    <t>OT Demarcation &amp; Separation</t>
  </si>
  <si>
    <t xml:space="preserve">OT Cyber Security </t>
  </si>
  <si>
    <t>OT DCS Upgrades &amp; Standards</t>
  </si>
  <si>
    <t>VOIP Upgrades</t>
  </si>
  <si>
    <t>EMP Hardening</t>
  </si>
  <si>
    <t>NERC Compliance</t>
  </si>
  <si>
    <t>OPGW Upgrades (Bandwidth and/or DWDM etc)</t>
  </si>
  <si>
    <t>Computer Replacements</t>
  </si>
  <si>
    <t>Infrastructure Support Hardware (UPS, Battery Banks, Racks, etc.)</t>
  </si>
  <si>
    <t>Network &amp; Telecom Hardware</t>
  </si>
  <si>
    <t>Server Upgrades</t>
  </si>
  <si>
    <t>HydroCo Assets</t>
  </si>
  <si>
    <t>Facility 1</t>
  </si>
  <si>
    <t>Facility 2</t>
  </si>
  <si>
    <t>Facility 3</t>
  </si>
  <si>
    <t>Facility 4</t>
  </si>
  <si>
    <t>Facility 5</t>
  </si>
  <si>
    <t>Facility 6</t>
  </si>
  <si>
    <t>Facility 7</t>
  </si>
  <si>
    <t>Facility 8</t>
  </si>
  <si>
    <t>Facility 9</t>
  </si>
  <si>
    <t>Facility 10</t>
  </si>
  <si>
    <t>Facility</t>
  </si>
  <si>
    <t>Program 
(IT OT Telecom Systems &amp; Network, Transmission Line Rebuild, Transmission Priority Pole Replacements, Assessment of Transmission Lines)</t>
  </si>
  <si>
    <t>Transmission</t>
  </si>
  <si>
    <t>Program 
(Line Rebuild, Pole and Conductor Repair, Automation, Lines Assessment)</t>
  </si>
  <si>
    <t>Distribution</t>
  </si>
  <si>
    <t>Substations (D-3, D-4)</t>
  </si>
  <si>
    <t>HoldCo CapEx</t>
  </si>
  <si>
    <t>TEST YEAR</t>
  </si>
  <si>
    <t>PRESENT</t>
  </si>
  <si>
    <t>RATE CLASS</t>
  </si>
  <si>
    <t>KWH</t>
  </si>
  <si>
    <t>REVENUES</t>
  </si>
  <si>
    <t>GRS</t>
  </si>
  <si>
    <t>General Residential Service</t>
  </si>
  <si>
    <t>LRS</t>
  </si>
  <si>
    <t>Lifeline Residential Service</t>
  </si>
  <si>
    <t>RH3</t>
  </si>
  <si>
    <t>Residential Service for Public Housing</t>
  </si>
  <si>
    <t>RFR</t>
  </si>
  <si>
    <t>Residential Fixed Rate for Public Housing Under Ownership of the Public Housing Administration</t>
  </si>
  <si>
    <t>TOTAL RESIDENTIAL</t>
  </si>
  <si>
    <t>GSS</t>
  </si>
  <si>
    <t>General Service at Secondary Distribution Voltage</t>
  </si>
  <si>
    <t>USSL</t>
  </si>
  <si>
    <t>Unmetered Service for Small Loads</t>
  </si>
  <si>
    <t>CATV</t>
  </si>
  <si>
    <t>Cable TV Power Supplies</t>
  </si>
  <si>
    <t>SMALL COMMERCIAL</t>
  </si>
  <si>
    <t>GSP</t>
  </si>
  <si>
    <t>General Service at Primary Distribution Voltage</t>
  </si>
  <si>
    <t>TOU-P</t>
  </si>
  <si>
    <t>Time of Use at Primary Distribution Voltage</t>
  </si>
  <si>
    <t>MEDIUM C&amp;I</t>
  </si>
  <si>
    <t>GST</t>
  </si>
  <si>
    <t>General Service at Transmission Voltage</t>
  </si>
  <si>
    <t>TOU-T</t>
  </si>
  <si>
    <t>Time of Use at Transmission Voltage</t>
  </si>
  <si>
    <t>LIS</t>
  </si>
  <si>
    <t>Large Industrial Service</t>
  </si>
  <si>
    <t>PPBB</t>
  </si>
  <si>
    <t>Power Producers Connected at PREPA Bus Bar</t>
  </si>
  <si>
    <t>LARGE C&amp;I</t>
  </si>
  <si>
    <t>PLG</t>
  </si>
  <si>
    <t>Public Lighting General</t>
  </si>
  <si>
    <t>LP-13</t>
  </si>
  <si>
    <t>Outdoor Sports Field Lighting</t>
  </si>
  <si>
    <t>TOTAL PUBLIC LIGHTING</t>
  </si>
  <si>
    <t>GAS</t>
  </si>
  <si>
    <t>General Agricultural Service and Aqueduct Pumps Operated by Rural Communities</t>
  </si>
  <si>
    <t>TOTAL OTHER</t>
  </si>
  <si>
    <t>TOTAL ELECTRIC RETAIL REVENUE</t>
  </si>
  <si>
    <t>PROPOSED</t>
  </si>
  <si>
    <t>PROPOSED REVENUE</t>
  </si>
  <si>
    <t>BILLING</t>
  </si>
  <si>
    <t>INCREASE</t>
  </si>
  <si>
    <t>TYPE OF SERVICE</t>
  </si>
  <si>
    <t>UNITS</t>
  </si>
  <si>
    <t>RATES</t>
  </si>
  <si>
    <t>AMOUNT</t>
  </si>
  <si>
    <t>PERCENT</t>
  </si>
  <si>
    <t>GRS - General Residential Service</t>
  </si>
  <si>
    <t>CUSTOMER CHARGE</t>
  </si>
  <si>
    <t>per month</t>
  </si>
  <si>
    <t>ELECTRICITY SERVICE</t>
  </si>
  <si>
    <t>Energy (first 425 kWh)</t>
  </si>
  <si>
    <t>per kWh</t>
  </si>
  <si>
    <t>Energy (&gt;425 kWh)</t>
  </si>
  <si>
    <t>TOTAL GRS</t>
  </si>
  <si>
    <t>LRS - Lifeline Residnetial Service</t>
  </si>
  <si>
    <t>TOTAL LRS</t>
  </si>
  <si>
    <t>RH3 - Residential Service for Public Housing</t>
  </si>
  <si>
    <t>TOTAL RH3</t>
  </si>
  <si>
    <t>RFR - Residential Fixed Rate for Public Housing Under Ownership of the Public Housing Administration</t>
  </si>
  <si>
    <t>1 Room</t>
  </si>
  <si>
    <t>2-3 Room</t>
  </si>
  <si>
    <t>4-5 Room</t>
  </si>
  <si>
    <t>Energy (1 Room, in Excess of 600 kWh)</t>
  </si>
  <si>
    <t>Energy (2-3 Room, in Excess of 800 kWh)</t>
  </si>
  <si>
    <t>Energy (4-5 Room, in Excess of 1000 kWh)</t>
  </si>
  <si>
    <t>TOTAL RFR</t>
  </si>
  <si>
    <t>GSS - General Service at Secondary Distribution Voltage</t>
  </si>
  <si>
    <t>TOTAL GSS</t>
  </si>
  <si>
    <t>GSP - General Service at Primary Distribution Voltage</t>
  </si>
  <si>
    <t>DISTRIBUTION SERVICE</t>
  </si>
  <si>
    <t>Contracted Demand Demand</t>
  </si>
  <si>
    <t>per kW</t>
  </si>
  <si>
    <t>Excess Demand</t>
  </si>
  <si>
    <t>Energy (first 300 kWh per kW of maximum demand)</t>
  </si>
  <si>
    <t>Energy (&gt;300 kWh per kW of maximum demand)</t>
  </si>
  <si>
    <t>TOTAL GSP</t>
  </si>
  <si>
    <t>GST - General Service at Transmission Voltage</t>
  </si>
  <si>
    <t>TOTAL GST</t>
  </si>
  <si>
    <t>TOU-P - Time of Use at Primary Distribution Voltage</t>
  </si>
  <si>
    <t>Demand (On-Peak Period, 15 consecutive min)</t>
  </si>
  <si>
    <t>Demand (Off-Peak Period, 15 consecutive min)</t>
  </si>
  <si>
    <t>Energy (On-Peak Period)</t>
  </si>
  <si>
    <t>Energy (Off-Peak Period)</t>
  </si>
  <si>
    <t>TOTAL TOU-P</t>
  </si>
  <si>
    <t>TOU-T - Time of Use at Transmission Voltage</t>
  </si>
  <si>
    <t>TOTAL TOU-T</t>
  </si>
  <si>
    <t>LIS - Large Industrial Service</t>
  </si>
  <si>
    <t>Contracted Demand Demand (shall not include offsets due to Net Metering or the output of other customer owned generation equipment)</t>
  </si>
  <si>
    <t>Energy (first 584 kWh per kW of maximum demand)</t>
  </si>
  <si>
    <t>Energy (&gt;584 kWh per kW of maximum demand)</t>
  </si>
  <si>
    <t>TOTAL LIS</t>
  </si>
  <si>
    <t>GAS - General Agricultural Service and Aqueduct Pumps Operated by Rural Communities</t>
  </si>
  <si>
    <t>TOTAL GAS</t>
  </si>
  <si>
    <t>CATV - Cable TV Power Supplies</t>
  </si>
  <si>
    <t>Energy (60 Volts, 656 kWh)</t>
  </si>
  <si>
    <t>Energy (90 Volts, 494 kWh)</t>
  </si>
  <si>
    <t>Energy (Different Consumption)</t>
  </si>
  <si>
    <t>TOTAL CATV</t>
  </si>
  <si>
    <t>USSL - Unmetered Service for Small Loads</t>
  </si>
  <si>
    <t>TOTAL USSL</t>
  </si>
  <si>
    <t>PPBB - Power Producers Connected at PREPA Bus Bar</t>
  </si>
  <si>
    <t>TOTAL PPBB</t>
  </si>
  <si>
    <t>TOTAL</t>
  </si>
  <si>
    <t>NUMBER OF</t>
  </si>
  <si>
    <t>NEW</t>
  </si>
  <si>
    <t>PUBLIC LIGHTING GENERAL - PLG</t>
  </si>
  <si>
    <t>MONTHLY BASIC CHARGE</t>
  </si>
  <si>
    <t>LED Street Lights</t>
  </si>
  <si>
    <t>MONTHLY BASIC CHARGE - URBAN ZONE</t>
  </si>
  <si>
    <t>MONTHLY BASIC CHARGE - RURAL ZONE</t>
  </si>
  <si>
    <t>Total Public Lighting Rate for Streets and Roadways Systems Owned by PREPA (Codification 420) (Lamps Count)</t>
  </si>
  <si>
    <t>Public Lighting Rate for Streets and Roadways Systems without Operation, Maintenance and Materials Renewal Costs</t>
  </si>
  <si>
    <t>Dusk to Dawn Luminaires</t>
  </si>
  <si>
    <t>High Pressure Sodium Lamp</t>
  </si>
  <si>
    <t>Mercury Vapor</t>
  </si>
  <si>
    <t>Total Dusk to Dawn Luminaires (Lamps Count)</t>
  </si>
  <si>
    <t>Total Public Plazas (Lamps Count)</t>
  </si>
  <si>
    <t>Total Traffic Lights (kWh)</t>
  </si>
  <si>
    <t>Total Ball Parks and Other Free Admission Parks (Lamps Count)</t>
  </si>
  <si>
    <t>Telephone Booths</t>
  </si>
  <si>
    <t>per booth</t>
  </si>
  <si>
    <t>Total Telephone Booths (Lamps Count)</t>
  </si>
  <si>
    <t>Bus Shelter</t>
  </si>
  <si>
    <t>per bus shelter</t>
  </si>
  <si>
    <t>Total Bus Shelter (Lamps Count)</t>
  </si>
  <si>
    <t>Police Strobe Lights</t>
  </si>
  <si>
    <t>per strobe light</t>
  </si>
  <si>
    <t>Total Police Strobe Lights (Lamps Count)</t>
  </si>
  <si>
    <t>TOTAL PLG</t>
  </si>
  <si>
    <t>N/A - Some of the above totals are Lamp Counts, others are kWh.</t>
  </si>
  <si>
    <t>TOTAL LIGHTING</t>
  </si>
  <si>
    <t>kWh</t>
  </si>
  <si>
    <t>FCA - Fuel Charge Adjustment Rider</t>
  </si>
  <si>
    <t xml:space="preserve">PPCA - Purchased Power Charge Adjustment </t>
  </si>
  <si>
    <t xml:space="preserve">CILTA - Contributions in Lieu of Taxes (CILT) – Municipalities </t>
  </si>
  <si>
    <t xml:space="preserve">SUBA-HH – Subsidies, Public Lighting (Municipal) and Other Subventions Help to Humans Subsidies </t>
  </si>
  <si>
    <t xml:space="preserve">SUBA-NHH - Subsidies, Public Lighting (Municipal) and Other SubventionsNon Help to Humans Subsidies </t>
  </si>
  <si>
    <t>EE - Energy Efficiency Rider</t>
  </si>
  <si>
    <t>TOTAL RIDERS</t>
  </si>
  <si>
    <t>Information for Schedule E-3 is contained 
in Schedule M-4</t>
  </si>
  <si>
    <t>Information for Schedule E-4 is contained 
in Schedule M-4</t>
  </si>
  <si>
    <t>Information for Schedule F-1 is contained in Schedule O-1</t>
  </si>
  <si>
    <t>Information for Schedule F-2 is contained in Schedule O-2</t>
  </si>
  <si>
    <t>Information for Schedule F-3 is contained in Schedule O-3</t>
  </si>
  <si>
    <t>Sch F-3</t>
  </si>
  <si>
    <t>Page 1 of 1</t>
  </si>
  <si>
    <t>Return to Index</t>
  </si>
  <si>
    <t>Witness: Lastname (LUMA)</t>
  </si>
  <si>
    <t>Rider</t>
  </si>
  <si>
    <t>Purpose</t>
  </si>
  <si>
    <t>Fuel Cost Adjustment</t>
  </si>
  <si>
    <t xml:space="preserve">Purchased Power Adjustment </t>
  </si>
  <si>
    <t xml:space="preserve">Contribution in Lieu of Taxes </t>
  </si>
  <si>
    <t xml:space="preserve">Subsidies (various) </t>
  </si>
  <si>
    <t xml:space="preserve">Energy Efficiency </t>
  </si>
  <si>
    <t>[Insert]</t>
  </si>
  <si>
    <t>Information for Schedule F-4 is contained in Schedule O-3</t>
  </si>
  <si>
    <t>Information for Schedule F-5 is contained 
in Schedule C-10</t>
  </si>
  <si>
    <t>GENERATION AND FUEL BUDGET PER PLANT (FY2026)
Load Projection: 19-Mar-2025
July 2025 - June 2026</t>
  </si>
  <si>
    <t>Plant Name</t>
  </si>
  <si>
    <t>Aguirre</t>
  </si>
  <si>
    <t>Fuel Type</t>
  </si>
  <si>
    <t>Residual</t>
  </si>
  <si>
    <t>BBL (x1000)</t>
  </si>
  <si>
    <t>MBTU (x1000)</t>
  </si>
  <si>
    <t>Fuel Cost ($000)</t>
  </si>
  <si>
    <t>Ship Cost ($000)</t>
  </si>
  <si>
    <t>Total Cost ($000)</t>
  </si>
  <si>
    <t>$/BBL</t>
  </si>
  <si>
    <t>$/MBTU</t>
  </si>
  <si>
    <t>GWHR</t>
  </si>
  <si>
    <t>$/MWHR</t>
  </si>
  <si>
    <t>Palo Seco</t>
  </si>
  <si>
    <t>San Juan 7 &amp; 9</t>
  </si>
  <si>
    <t>Diesel</t>
  </si>
  <si>
    <t>Cambalache</t>
  </si>
  <si>
    <t>Combustion Turbines, Palo Seco Mobile Pack &amp; Mayagüez</t>
  </si>
  <si>
    <t>EcoElectrica</t>
  </si>
  <si>
    <t>Natural Gas</t>
  </si>
  <si>
    <t>MCF (x1000)</t>
  </si>
  <si>
    <r>
      <t>BBL</t>
    </r>
    <r>
      <rPr>
        <i/>
        <sz val="8"/>
        <color rgb="FF000000"/>
        <rFont val="Arial"/>
        <family val="2"/>
      </rPr>
      <t>Equivalent</t>
    </r>
    <r>
      <rPr>
        <b/>
        <sz val="11"/>
        <color rgb="FF000000"/>
        <rFont val="Arial"/>
        <family val="2"/>
      </rPr>
      <t xml:space="preserve"> (x1000)</t>
    </r>
  </si>
  <si>
    <t>Generation Cost ($000)</t>
  </si>
  <si>
    <t>TM Generators</t>
  </si>
  <si>
    <t>Costa Sur</t>
  </si>
  <si>
    <t>Generation</t>
  </si>
  <si>
    <t>Total Residual Cost ($000)</t>
  </si>
  <si>
    <t>Total NG Cost ($000)</t>
  </si>
  <si>
    <t>GWHR (residual)</t>
  </si>
  <si>
    <t>GWHR (natural gas)</t>
  </si>
  <si>
    <t>GWHR Total</t>
  </si>
  <si>
    <t>$/MWHR Total</t>
  </si>
  <si>
    <t>$/MBTU Total</t>
  </si>
  <si>
    <t>San Juan Combined Cycle 5 &amp; 6</t>
  </si>
  <si>
    <t xml:space="preserve">Ship Cost ($000) </t>
  </si>
  <si>
    <t>Total Diesel Cost ($000)</t>
  </si>
  <si>
    <t>GWHR (diesel)</t>
  </si>
  <si>
    <t>Hydro</t>
  </si>
  <si>
    <t>FCA Totals</t>
  </si>
  <si>
    <t>Water</t>
  </si>
  <si>
    <t>Total Cost ($)</t>
  </si>
  <si>
    <r>
      <t>BBL</t>
    </r>
    <r>
      <rPr>
        <i/>
        <sz val="8"/>
        <color theme="1"/>
        <rFont val="Arial"/>
        <family val="2"/>
      </rPr>
      <t>Equivalent</t>
    </r>
    <r>
      <rPr>
        <sz val="8"/>
        <color theme="1"/>
        <rFont val="Arial"/>
        <family val="2"/>
      </rPr>
      <t xml:space="preserve"> </t>
    </r>
    <r>
      <rPr>
        <sz val="11"/>
        <color theme="1"/>
        <rFont val="Arial"/>
        <family val="2"/>
      </rPr>
      <t>(x1000)</t>
    </r>
  </si>
  <si>
    <r>
      <t xml:space="preserve">$/BBL </t>
    </r>
    <r>
      <rPr>
        <i/>
        <sz val="8"/>
        <color theme="1"/>
        <rFont val="Arial"/>
        <family val="2"/>
      </rPr>
      <t>Equivalent</t>
    </r>
  </si>
  <si>
    <t>2027 FCA Pro-Forma</t>
  </si>
  <si>
    <t>2028 FCA Pro-Forma</t>
  </si>
  <si>
    <t>PURCHASED POWER BUDGET PER PLANT (FY2026)
Load Projection: 19-Mar-2025
July 2025 - June 2026</t>
  </si>
  <si>
    <t>Co-Generators</t>
  </si>
  <si>
    <t>Renewables</t>
  </si>
  <si>
    <t>AES</t>
  </si>
  <si>
    <t>Solar</t>
  </si>
  <si>
    <t>Wind</t>
  </si>
  <si>
    <t>Date</t>
  </si>
  <si>
    <t>MMBTU</t>
  </si>
  <si>
    <t>$/MWH</t>
  </si>
  <si>
    <t>LandFill Gas</t>
  </si>
  <si>
    <t>Fixed Cost ($000)</t>
  </si>
  <si>
    <t>Total Co-Generators</t>
  </si>
  <si>
    <t>Total Renewables</t>
  </si>
  <si>
    <t>Total PPCA</t>
  </si>
  <si>
    <t>2027 PPCA Pro-Forma</t>
  </si>
  <si>
    <t>2028 PCA Pro-Forma</t>
  </si>
  <si>
    <t>See Schedule E-2 for calculation of pro-forma EE Rider</t>
  </si>
  <si>
    <t>Schedule G Requirement
Note: See PREPA HoldCo's supplemental filing</t>
  </si>
  <si>
    <t>(a) RPS obligations incurred by PREPA from 2015 through June 30, 2025</t>
  </si>
  <si>
    <t>FY15</t>
  </si>
  <si>
    <t>FY16</t>
  </si>
  <si>
    <t>FY17</t>
  </si>
  <si>
    <t>FY18</t>
  </si>
  <si>
    <t>FY19</t>
  </si>
  <si>
    <t>FY20</t>
  </si>
  <si>
    <t>FY21</t>
  </si>
  <si>
    <t>FY22</t>
  </si>
  <si>
    <t>FY23</t>
  </si>
  <si>
    <t>FY24</t>
  </si>
  <si>
    <r>
      <t>FY25 YTD</t>
    </r>
    <r>
      <rPr>
        <b/>
        <vertAlign val="superscript"/>
        <sz val="11"/>
        <color theme="1"/>
        <rFont val="Calibri"/>
        <family val="2"/>
        <scheme val="minor"/>
      </rPr>
      <t>2</t>
    </r>
  </si>
  <si>
    <t>Renewable purchases (MWh)</t>
  </si>
  <si>
    <r>
      <t>REC purchases ($)</t>
    </r>
    <r>
      <rPr>
        <vertAlign val="superscript"/>
        <sz val="11"/>
        <color theme="1"/>
        <rFont val="Calibri"/>
        <family val="2"/>
        <scheme val="minor"/>
      </rPr>
      <t>1</t>
    </r>
  </si>
  <si>
    <t>Total ($)</t>
  </si>
  <si>
    <r>
      <rPr>
        <vertAlign val="superscript"/>
        <sz val="10"/>
        <color theme="1"/>
        <rFont val="Calibri"/>
        <family val="2"/>
        <scheme val="minor"/>
      </rPr>
      <t>1</t>
    </r>
    <r>
      <rPr>
        <sz val="10"/>
        <color theme="1"/>
        <rFont val="Calibri"/>
        <family val="2"/>
        <scheme val="minor"/>
      </rPr>
      <t xml:space="preserve"> Includes administrative cost of RECs</t>
    </r>
  </si>
  <si>
    <r>
      <rPr>
        <vertAlign val="superscript"/>
        <sz val="10"/>
        <color theme="1"/>
        <rFont val="Calibri"/>
        <family val="2"/>
        <scheme val="minor"/>
      </rPr>
      <t>2</t>
    </r>
    <r>
      <rPr>
        <sz val="10"/>
        <color theme="1"/>
        <rFont val="Calibri"/>
        <family val="2"/>
        <scheme val="minor"/>
      </rPr>
      <t xml:space="preserve"> Actuals through May 31, 2025</t>
    </r>
  </si>
  <si>
    <t>(b) PREPA's projected RPS obligations for the rate year beginning July 1, 2025</t>
  </si>
  <si>
    <t>FY26</t>
  </si>
  <si>
    <t>FY27</t>
  </si>
  <si>
    <t>FY28</t>
  </si>
  <si>
    <t>REC registration fees ($)</t>
  </si>
  <si>
    <r>
      <rPr>
        <vertAlign val="superscript"/>
        <sz val="10"/>
        <color theme="1"/>
        <rFont val="Calibri"/>
        <family val="2"/>
        <scheme val="minor"/>
      </rPr>
      <t>1</t>
    </r>
    <r>
      <rPr>
        <sz val="10"/>
        <color theme="1"/>
        <rFont val="Calibri"/>
        <family val="2"/>
        <scheme val="minor"/>
      </rPr>
      <t xml:space="preserve"> It is only a subset of PPOAs (i.e., not all PPOAs) in which RECs are still being purchased independently of energy. In many current PPOAs and all future PPOAs, RECs are obtained along with the energy purchase</t>
    </r>
  </si>
  <si>
    <t>The estimates shall identify and distinguish among the following costs</t>
  </si>
  <si>
    <t>February 12th Requirement</t>
  </si>
  <si>
    <t>LUMA Response</t>
  </si>
  <si>
    <t>(a) the cost incurred to provide credits to net-metering customers when (i) those customers export excess energy production (not counting any accumulated excess that exists at the end of the year), and (ii) that exported production is counted towards RPS compliance;</t>
  </si>
  <si>
    <t>There is no identifiable cost for exported production counted toward RPS compliance.</t>
  </si>
  <si>
    <t>(b) the cost incurred to provide credits to residential customers (75%) and public-school customers (25%), when (i) those customers have excess energy production accumulated after the end of the fiscal year, and (ii) that excess energy production is counted towards RPS compliance</t>
  </si>
  <si>
    <t>Please refer to Table 1 below</t>
  </si>
  <si>
    <t>(c) the cost incurred to buy renewable energy certificates under purchase power agreements</t>
  </si>
  <si>
    <t>(1) There are no REC purchase costs associated with net metering exportation from distributed PV systems and 
(2) REC purchase costs are separately identifiable from energy purchase costs only for a few existing utility-scale renewable energy projects.</t>
  </si>
  <si>
    <t>(d) the cost to buy renewable energy certificates in the market promulgated by the proposed Regulation of Renewable Energy Certificates and compliance with the Renewable Energy Portfolio of Puerto Rico (NEPR-MI-2021-0011); and</t>
  </si>
  <si>
    <t>LUMA has not calculated the cost to buy renewable energy certificates promulgated by a proposed regulation</t>
  </si>
  <si>
    <t>(e) the cost incurred to pay fines for RPS noncompliance</t>
  </si>
  <si>
    <t>The cost of non-compliance has not been estimated because there never has been a cost of non-compliance</t>
  </si>
  <si>
    <t>Table 1. Costs incurred to provide year-end credits</t>
  </si>
  <si>
    <t>Fiscal Year</t>
  </si>
  <si>
    <t>End Year KWh  rollover</t>
  </si>
  <si>
    <t>Customer credit at the end of the year (75%)</t>
  </si>
  <si>
    <t>Department of Education (25%)</t>
  </si>
  <si>
    <t>Total Rollover credit</t>
  </si>
  <si>
    <t>Customers</t>
  </si>
  <si>
    <t>Cost per kWh Total Credited</t>
  </si>
  <si>
    <t>See Testimony of Witness Shannon for discussion on proposed Revenue Decoupling Mechanism</t>
  </si>
  <si>
    <t>See Testimony of Witness Figueroa for discussion on proposed Storm Cost Rider (ORR)</t>
  </si>
  <si>
    <t>Exh.</t>
  </si>
  <si>
    <t>Sched.</t>
  </si>
  <si>
    <t>Apdx.</t>
  </si>
  <si>
    <t>Config.</t>
  </si>
  <si>
    <t>Exhibit</t>
  </si>
  <si>
    <t>ELECTRIC CONSUMER ANALYSIS: PRESENT AND PROPOSED RATES</t>
  </si>
  <si>
    <t>TEST YEAR ENDED DECEMBER 31, 2025</t>
  </si>
  <si>
    <t>I. Physical operations</t>
  </si>
  <si>
    <t>A. Generation</t>
  </si>
  <si>
    <t>1. [Genera] Generation adequacy</t>
  </si>
  <si>
    <t>a. Power demand studies</t>
  </si>
  <si>
    <t>b. Power demand studiesDistributed generation support studies</t>
  </si>
  <si>
    <t>c. Cogeneration project evaluation and oversight</t>
  </si>
  <si>
    <t>d. Renewable Energy Certificates payments</t>
  </si>
  <si>
    <t>2. Generation optimization</t>
  </si>
  <si>
    <t>3. [Genera] Maintenance -corrective (generation)</t>
  </si>
  <si>
    <t>4. [Genera] Maintenance -preventive (generation)</t>
  </si>
  <si>
    <t>5. [HydroCo] Maintenance -corrective (generation)</t>
  </si>
  <si>
    <t>6. [HydroCo] Maintenance -preventive (generation)</t>
  </si>
  <si>
    <t>7. [Genera] Gas plant conversion</t>
  </si>
  <si>
    <t>8. [Genera] Decommissioning and site remediation</t>
  </si>
  <si>
    <t>9. [Genera] Coordination of generation and transmission planning and implementation with the PREB-approved Integrated Resource Plan</t>
  </si>
  <si>
    <t>10. [HydroCo] Coordination of generation and transmission planning and implementation with the PREB-approved Integrated Resource Plan</t>
  </si>
  <si>
    <t>11. [LUMA] Integration of renewable generation and other purchased power (operating costs; interconnection facilities and transmission upgrades are covered under capital expenditures)</t>
  </si>
  <si>
    <t>12. [Genera] Energy storage to ride through system outages</t>
  </si>
  <si>
    <t>13. [Genera] Environmental Process Compliance -Law 416 Article 4 B (III) of Puerto Rico Environmental Policy Act and NEPA Process (federal)</t>
  </si>
  <si>
    <t>14. [Genera] Construction and operation permits</t>
  </si>
  <si>
    <t>15. [Genera] Black start unit repairs and new equipment installation (Aguirre and Costa Sur power plants)</t>
  </si>
  <si>
    <t>16. [Genera] Information technology relating to generation, specifically enabling technologies for generation (including, but not limited to, distributed control systems (DCS, electric protection hardware, training simulators, control and supervision instrumentation, and telecommunication)</t>
  </si>
  <si>
    <t>17. [Genera] Major equipment replacement</t>
  </si>
  <si>
    <t>18. [Genera] Planned maintenance and critical component replacement program</t>
  </si>
  <si>
    <t>19. [Genera] Fuel expense (see Schedule F-5)</t>
  </si>
  <si>
    <t>20. [Genera] Purchased power expense (see Schedule F-5)</t>
  </si>
  <si>
    <t>21. [Genera] Generation Maintenance Reserve [GMR]</t>
  </si>
  <si>
    <t>a. Forced outages</t>
  </si>
  <si>
    <t>b. Forced outages</t>
  </si>
  <si>
    <t>c. Planned maintenance</t>
  </si>
  <si>
    <t>d. Maintenance -preventive</t>
  </si>
  <si>
    <t>B. [LUMA] Transmission</t>
  </si>
  <si>
    <t>1. Transmission maintenance: corrective</t>
  </si>
  <si>
    <t>2. Transmission maintenance: preventive</t>
  </si>
  <si>
    <t>3. Vegetation management (including, but not limited to, tree trimming and transmission right-of-way and line clearing, VM reset)</t>
  </si>
  <si>
    <t>4. Transmission: repair and harden</t>
  </si>
  <si>
    <t>5. Transmission losses (technical)</t>
  </si>
  <si>
    <t>6. Transmission losses (nontechnical)</t>
  </si>
  <si>
    <t>7. Energy storage to support bulk power system</t>
  </si>
  <si>
    <t>8. Wheeling</t>
  </si>
  <si>
    <t>C. [LUMA] Distribution</t>
  </si>
  <si>
    <t>1. Distribution: repair and harden (including, but not limited to, poles (testing and replacement), wires and related equipment such as line transformers)</t>
  </si>
  <si>
    <t>2. Distribution maintenance -preventive</t>
  </si>
  <si>
    <t>3. Distribution maintenance -corrective</t>
  </si>
  <si>
    <t>4. Vegetation management (including tree trimming, and transmission right-of-way and line clearing, VM reset)</t>
  </si>
  <si>
    <t>5. Metering Infrastructure: advanced and legacy</t>
  </si>
  <si>
    <t>6. Net Metering: installation and interconnection of residential PV</t>
  </si>
  <si>
    <t>7. Repairs of meters, lines, and poles</t>
  </si>
  <si>
    <t>8. Streetlight installation</t>
  </si>
  <si>
    <t>9. Streetlight maintenance</t>
  </si>
  <si>
    <t>10. Substations: modernization</t>
  </si>
  <si>
    <t>11. Substations; repair and harden</t>
  </si>
  <si>
    <t>12. Storage</t>
  </si>
  <si>
    <t>13. Electric vehicle charging infrastructure</t>
  </si>
  <si>
    <t>14. Pole attachment costs</t>
  </si>
  <si>
    <t>D. [All of LUMA, Genera, PREPA unless specifically indicated] General</t>
  </si>
  <si>
    <t>1. Building repair</t>
  </si>
  <si>
    <t>2. [LUMA] Energy control center: repair and harden</t>
  </si>
  <si>
    <t>3. [LUMA] Labor -physical operations</t>
  </si>
  <si>
    <t>4. [Genera] Labor -physical operations</t>
  </si>
  <si>
    <t>5. [HydroCo] Labor -physical operations</t>
  </si>
  <si>
    <t>6. Materials and supplies inventory management</t>
  </si>
  <si>
    <t>7. [LUMA] Safety equipment</t>
  </si>
  <si>
    <t>8. [Genera] Safety equipment</t>
  </si>
  <si>
    <t>9. [HydroCo] Safety equipment</t>
  </si>
  <si>
    <t>10. [LUMA] Tools: repair and management</t>
  </si>
  <si>
    <t>11. [Genera] Tools: repair and management</t>
  </si>
  <si>
    <t>12. [HydroCo] Tools: repair and management</t>
  </si>
  <si>
    <t>13. [LUMA] Vehicles: repair and maintenance</t>
  </si>
  <si>
    <t>14. [Genera] Vehicles: repair and maintenance</t>
  </si>
  <si>
    <t>15. [HydroCo] Vehicles: repair and maintenance</t>
  </si>
  <si>
    <t>16. [Genera] Reserve Account for generation-related energy losses (technical and nontechnical)</t>
  </si>
  <si>
    <t>17. Management and operations audit</t>
  </si>
  <si>
    <t>18. [LUMA] New business service connection</t>
  </si>
  <si>
    <t>19. Security enabling technologies (including, but not limited to, cameras and facility control access equipment installation and maintenance services)</t>
  </si>
  <si>
    <t>II. Nonphysical operations</t>
  </si>
  <si>
    <t>A. Customer service and information</t>
  </si>
  <si>
    <t>1. [LUMA] Customer meter reading and billing</t>
  </si>
  <si>
    <t>2. [LUMA, Genera, PREPA] Information technology (including, but not limited to, systems capex, including customer information systems, accounting systems enterprise resource management systems}</t>
  </si>
  <si>
    <t>3. [LUMA Genera, PREPA] Workflow processes and tracking</t>
  </si>
  <si>
    <t>4. [LUMA, Genera, PREPA] Workforce management systems</t>
  </si>
  <si>
    <t>5. [LUMA] Billed revenue collection</t>
  </si>
  <si>
    <t>6. [LUMA] Accounts receivable aging and collection</t>
  </si>
  <si>
    <t>7. [LUMA] Customer payment processing</t>
  </si>
  <si>
    <t>8. [LUMA] Call center operations and staffing</t>
  </si>
  <si>
    <t>9. [LUMA, Genera, PREPA] Customer communications (including, but not limited to, bill inserts, informative and educational advertising, customer-facing web content)</t>
  </si>
  <si>
    <t>10. [LUMA] Revenue management and protection</t>
  </si>
  <si>
    <t>11. [LUMA] Key accounts</t>
  </si>
  <si>
    <t>12. [LUMA] Customer programs (including, but not limited to, net metering, energy efficiency, demand response, and electric vehicles)</t>
  </si>
  <si>
    <t>13. [LUMA] Process development and governance functions</t>
  </si>
  <si>
    <t>B. Vendors, contractors, and workforce</t>
  </si>
  <si>
    <t>1. [LUMA] Vendors, contractors</t>
  </si>
  <si>
    <t>a. Accounts payable, vendor invoice review, payment processing</t>
  </si>
  <si>
    <t>b. Vendor contract management, RFP process, bid evaluations, contracts</t>
  </si>
  <si>
    <t>c. Vendor work oversight, problem management</t>
  </si>
  <si>
    <t>d. Quality assurance</t>
  </si>
  <si>
    <t>e. Process improvement</t>
  </si>
  <si>
    <t>f. Training, including safety training and job function training</t>
  </si>
  <si>
    <t>g. Payroll processing</t>
  </si>
  <si>
    <t>h. Payroll taxes and taxes other than income taxes</t>
  </si>
  <si>
    <t>i. Labor generally</t>
  </si>
  <si>
    <t>j. Safety training</t>
  </si>
  <si>
    <t>2. [Genera] Vendors, contractors</t>
  </si>
  <si>
    <t>k. Regulation &amp; environmental</t>
  </si>
  <si>
    <t>l. Materials and supplies inventory management</t>
  </si>
  <si>
    <t>3. [Genera] Regulation and environmental expenses</t>
  </si>
  <si>
    <t>a. Environmental Process Compliance -Law 416 Article 4 B [III] of Puerto Rico Environmental Policy Act and NEPA Process (federal)</t>
  </si>
  <si>
    <t>b. Construction and operation permit</t>
  </si>
  <si>
    <t>c. Emergency Response Plan</t>
  </si>
  <si>
    <t>C. PREPA Labor (salaries, wages, benefits, overtime)</t>
  </si>
  <si>
    <t>1. Pension staff</t>
  </si>
  <si>
    <t>2. Board of Directors</t>
  </si>
  <si>
    <t>3. All other employees</t>
  </si>
  <si>
    <t>D. PREPA Necessary Maintenance Expense</t>
  </si>
  <si>
    <t>E. Cybersecurity</t>
  </si>
  <si>
    <t>1. LUMA</t>
  </si>
  <si>
    <t>2. Genera</t>
  </si>
  <si>
    <t>3. PREPA</t>
  </si>
  <si>
    <t>F. [LUMA] Energy efficiency</t>
  </si>
  <si>
    <t>G. [LUMA] T&amp;D fire mitigation program</t>
  </si>
  <si>
    <t>H. [LUMA, Genera, PREPA] Fleet dispatch information</t>
  </si>
  <si>
    <t>I. [LUMA, Genera, PREPA] Insurance</t>
  </si>
  <si>
    <t>J. [LUMA, Genera, PREPA] Security services (including, but not limited to, surveillance and patrolling contracts and equipment)</t>
  </si>
  <si>
    <t>III. Capital expenditures</t>
  </si>
  <si>
    <t>A. Generation CapEx</t>
  </si>
  <si>
    <t>1. [Genera] Enabling technologies for generation (including, but not limited to, distributed control systems (DCS), electric protection hardware, training simulators, control and supervision instrumentation, and telecommunication)</t>
  </si>
  <si>
    <t>2. [General Painting or metal coating to protect structures such as boilers, turbines, generators and auxiliary equipment</t>
  </si>
  <si>
    <t>3. [General Gas plant conversions</t>
  </si>
  <si>
    <t>4. [General Major equipment replacement</t>
  </si>
  <si>
    <t>5. [HydroCo] Hydroelectric plants</t>
  </si>
  <si>
    <t>B. [LUMA] Transmission CapEx</t>
  </si>
  <si>
    <t>1. Interconnection facilities and transmission upgrades necessary to integrate renewable energy generation into the transmission system</t>
  </si>
  <si>
    <t>2. Enabling technologies for transmission (including, but not limited to, SCADA, transmission and sub transmission electric lines, switch yards, transmission centers protection systems, and remote terminal units (RTUs))</t>
  </si>
  <si>
    <t>3. NERC-required expenditures to address contingencies arising from outages (aka transmission planning (TPL) standards)</t>
  </si>
  <si>
    <t>4. Energy storage to support the bulk power system</t>
  </si>
  <si>
    <t>C. [LUMA] Distribution CapEx</t>
  </si>
  <si>
    <t>1. Enabling technologies for distribution (including, but not limited to, SCADA and storm software, distribution electric lines, switch yards, and substations protection systems)</t>
  </si>
  <si>
    <t>2. Remote Terminal Units for distribution</t>
  </si>
  <si>
    <t>3. Advanced metering infrastructure</t>
  </si>
  <si>
    <t>4. Distribution automation</t>
  </si>
  <si>
    <t>D. [LUMA] Geographic Information System</t>
  </si>
  <si>
    <t>E. [LUMA, Genera, PREPA] IT systems (including, but not limited to, customer information systems, accounting systems, enterprise resource management systems)</t>
  </si>
  <si>
    <t>F. [LUMA, Genera, PREPA] General and Administrative CapEx</t>
  </si>
  <si>
    <t>IV. Financial Costs</t>
  </si>
  <si>
    <t>A. [LUMA] Collection efforts: retail customers</t>
  </si>
  <si>
    <t>B. [LUMA] Collection efforts: third party attachments</t>
  </si>
  <si>
    <t>C. [LUMA] Uncollectibles [aka bad debt]</t>
  </si>
  <si>
    <t>D. [PREPA] Title III debt</t>
  </si>
  <si>
    <t>E. [LUMA] New debt</t>
  </si>
  <si>
    <t>F. [LUMA] FOMB costs</t>
  </si>
  <si>
    <t>G. [LUMA, Genera] Fixed fees</t>
  </si>
  <si>
    <t>H. [LUMA, Genera) Incentive compensation fee</t>
  </si>
  <si>
    <t>I. [LUMA] 2% Reserve for excess expenditures</t>
  </si>
  <si>
    <t>J. [PREPA] Pensions costs</t>
  </si>
  <si>
    <t>1. Legacy obligations subject to the Title III proceeding</t>
  </si>
  <si>
    <t>2. Legacy obligations subject to the Title III proceedingContinuing
obligations (currently outside of Title III)</t>
  </si>
  <si>
    <t>K. [LUMA] RPS compliance</t>
  </si>
  <si>
    <t>L. [PREPAJ Local litigation claims settlement</t>
  </si>
  <si>
    <t>M. [PREPA] Retiree medical benefits</t>
  </si>
  <si>
    <t>N. [LUMA, Genera, HydroCo] FEMA grants cost share</t>
  </si>
  <si>
    <t>O. Margin</t>
  </si>
  <si>
    <t>P. Working capital</t>
  </si>
  <si>
    <t>V. General services</t>
  </si>
  <si>
    <t>A. [Genera] Shared services (including, but not limited to, administrativeand managerial services involving information technology, finance,and accounting)</t>
  </si>
  <si>
    <t>1. Labor</t>
  </si>
  <si>
    <t>2. Materials and supplies</t>
  </si>
  <si>
    <t>3. Transportation</t>
  </si>
  <si>
    <t>4. Insurance-property and casualty</t>
  </si>
  <si>
    <t>5. IT services</t>
  </si>
  <si>
    <t>6. Utilities and rents</t>
  </si>
  <si>
    <t>B. [PREPA] Shared services (including, but not limited to, administrativeand managerial services involving information technology, finance,and accounting)</t>
  </si>
  <si>
    <t>7. Professional and technical outsourced services</t>
  </si>
  <si>
    <t>C. [LUMA] Support services</t>
  </si>
  <si>
    <t>1. Facilities, fleet and Health, Safety and Environmental Quality (HSEQ), and emergency preparedness</t>
  </si>
  <si>
    <t>2. Legal and procurement</t>
  </si>
  <si>
    <t>3. Strategic affairs</t>
  </si>
  <si>
    <t>4. Compliance</t>
  </si>
  <si>
    <t>D. [Genera] Support services</t>
  </si>
  <si>
    <t>1. Legal</t>
  </si>
  <si>
    <t>2. Regulation &amp; environmental expenses</t>
  </si>
  <si>
    <t>3. Professional and technical outsourced services</t>
  </si>
  <si>
    <t>E. [PREPA] Support services</t>
  </si>
  <si>
    <t>1. Legal services (non-Title III)</t>
  </si>
  <si>
    <t>2. Professional &amp; technical outsource services</t>
  </si>
  <si>
    <t>3. Regulation &amp; environmental expenses</t>
  </si>
  <si>
    <t>4. External financial audit services</t>
  </si>
  <si>
    <t>5. Obligatory government fees &amp; expenses and other</t>
  </si>
  <si>
    <t>VI. Adjustors and surcharges</t>
  </si>
  <si>
    <t>A. [LUMA] Adjusted quarterly</t>
  </si>
  <si>
    <t>1. Fuel costs (FCA)</t>
  </si>
  <si>
    <t>2. Purchased power: capacity and energy (PPCA)</t>
  </si>
  <si>
    <t>3. Subsidy - fuel oil subsidy (FOS)</t>
  </si>
  <si>
    <t>4. Energy efficiency (EE)</t>
  </si>
  <si>
    <t>B. [LUMA] Adjusted annually</t>
  </si>
  <si>
    <t>1. GILT</t>
  </si>
  <si>
    <t>2. Subsidies -help for humans [SUBA-HH} -including irrigation costs</t>
  </si>
  <si>
    <t>3. Subsidies -non -help for humans [SUBA-NHH]</t>
  </si>
  <si>
    <t>C. [LUMA] Outage Recovery Rider</t>
  </si>
  <si>
    <t>VII. Miscellaneous</t>
  </si>
  <si>
    <t>A. [LUMA, Genera, PREPA] Emergency Response Plan</t>
  </si>
  <si>
    <t>B. [LUMA] Energy Management System</t>
  </si>
  <si>
    <t>C. [LUMA, Genera] Improved efficiencies and resulting savings (including, but not limited to, contract efficiencies, revenue collections, reduction in system technical and non-technical losses, unbilled customers, and other efficiencies)</t>
  </si>
  <si>
    <t>D. Irrigation: All HydroCo expenditures</t>
  </si>
  <si>
    <t>E. [LUMA] Payments to support the operation of public entities associated with energy regulation (established in the PR Act 57 enacted in 2014)</t>
  </si>
  <si>
    <r>
      <t xml:space="preserve">F. [LUMA] Incentives to support the Economic Development - </t>
    </r>
    <r>
      <rPr>
        <i/>
        <sz val="11"/>
        <color theme="1"/>
        <rFont val="Calibri"/>
        <family val="2"/>
        <scheme val="minor"/>
      </rPr>
      <t>"Ley de Incentivos Económicos para el Desarrollo de Puerto Rico"</t>
    </r>
    <r>
      <rPr>
        <sz val="11"/>
        <color theme="1"/>
        <rFont val="Calibri"/>
        <family val="2"/>
        <scheme val="minor"/>
      </rPr>
      <t>, Act 73-2008, as superseded by Act 60-2019.</t>
    </r>
  </si>
  <si>
    <t>Rate Review - Phase I Matrix</t>
  </si>
  <si>
    <t>Reference to Section II.a.i.a.i of PREB June 30, 2023 R&amp;O:</t>
  </si>
  <si>
    <t>LUMA is not requesting clarifications for any of the schedules or filing requirements enumerated in Regulation 8720.</t>
  </si>
  <si>
    <t>Col A</t>
  </si>
  <si>
    <t>Col B</t>
  </si>
  <si>
    <t>Col C</t>
  </si>
  <si>
    <t>Col D</t>
  </si>
  <si>
    <t>Col E</t>
  </si>
  <si>
    <t>Col F</t>
  </si>
  <si>
    <t>Col G</t>
  </si>
  <si>
    <t>Col H</t>
  </si>
  <si>
    <t>Col I</t>
  </si>
  <si>
    <t>Col J</t>
  </si>
  <si>
    <t>Col K</t>
  </si>
  <si>
    <t>Col L</t>
  </si>
  <si>
    <t>Reference to Section II.a.i of PREB June 30, 2023 R&amp;O:</t>
  </si>
  <si>
    <t>a-ii</t>
  </si>
  <si>
    <t>a-iii</t>
  </si>
  <si>
    <t>d</t>
  </si>
  <si>
    <t>Sch</t>
  </si>
  <si>
    <t>Requirement Summary</t>
  </si>
  <si>
    <t>Full Requirement Description
(Regulation 8720)</t>
  </si>
  <si>
    <t>Capability Classification</t>
  </si>
  <si>
    <t>LUMA Dependency on Other Entities</t>
  </si>
  <si>
    <t>Updated Requirement Description for Current Rate Proceeding</t>
  </si>
  <si>
    <t>Rationale</t>
  </si>
  <si>
    <t>Phase II Requirement</t>
  </si>
  <si>
    <t>Phase III Requirement</t>
  </si>
  <si>
    <t>Deferred Until Future Proceeding</t>
  </si>
  <si>
    <t>Suspended Requirement</t>
  </si>
  <si>
    <t>Change in FY2025 filing</t>
  </si>
  <si>
    <t>Schedule A-1 shall present a computation of the change in the Base Rates gross revenue requirement being requested by PREPA. It shall include information on the test year Embedded Cost of Service and pro forma adjusted rate year Embedded Cost of Service as well as the debt service and interest costs. It will also include the proposed coverage on debt service and interest, as well as a comparison of revenues at proposed and current rates.</t>
  </si>
  <si>
    <t>Partial - Alternative Proposed</t>
  </si>
  <si>
    <t>Genera, PREPA</t>
  </si>
  <si>
    <t>Schedule A-1 shall present a computation of the net operating income for the test year, including the requested revenue requirement increase.  The test year is the fiscal year beginning July 1, 2024.</t>
  </si>
  <si>
    <t xml:space="preserve">Requirement classified as Partial - Alternative Proposed as LUMA is proposing an alternative, forward-looking definition for "test year".  In this Rate Proceeding, the test year refers to the fiscal year beginning July 1, 2024 (fiscal year 2025).  Accordingly, references to the "rate year" in the Regulation are not applicable as the test year is the future period upon which rates will be determined. </t>
  </si>
  <si>
    <t>Test Year Result of Operations with Pro Forma Adjustments</t>
  </si>
  <si>
    <t>Schedule A-2 shall contain a summary of the Results of Operations for the test year and with PREPA's pro forma adjustments.</t>
  </si>
  <si>
    <t>Schedule A-2 shall contain a summary of the Results of Operations for the test year.</t>
  </si>
  <si>
    <t>Requirement classified as Partial - Alternative Proposed due to the forward-looking test year to be utilized in this Rate Proceeding. With the use of the forward-looking test year, pro forma adjustments are not applicable.</t>
  </si>
  <si>
    <t>A-3</t>
  </si>
  <si>
    <t>Summary of Debt Service and Interest Coverage Requirements</t>
  </si>
  <si>
    <t>Schedule A-3 shall contain a summary of debt service and interest coverage requirements that are used by PREPA to develop  its requested revenue requirement.</t>
  </si>
  <si>
    <t>Yes - Alternative Proposed</t>
  </si>
  <si>
    <t>FOMB</t>
  </si>
  <si>
    <t>Schedule A-3 shall contain a summary of existing debt service and interest coverage requirements that are used by PREPA to develop its requested revenue requirement.</t>
  </si>
  <si>
    <t>Requirement shall be satisfied by FOMB-provided schedules through resolution of the Title III proceedings as part of Phase III.</t>
  </si>
  <si>
    <t>A-4</t>
  </si>
  <si>
    <t>Summary of Plant in Service and Accumulated Depreciation (Two Prior, Three Subsequent Years)</t>
  </si>
  <si>
    <t>Schedule A-4 shall present a summary of Plant in Service and Accumulated Depreciation for the test year, the previous two (2) years, and estimated for the next three (3) years, as well as projected construction expenditures for the three (3) years following the end of the test year.</t>
  </si>
  <si>
    <t>No - Not Applicable/Relevant</t>
  </si>
  <si>
    <t xml:space="preserve">Information cannot be provided for this Rate Proceeding due to limitations of PREPA's financial reporting and the ongoing accounting / balance sheet remediation initiatives that are currently part of the Commonwealth's 2023 Fiscal Plan. </t>
  </si>
  <si>
    <t>A-5</t>
  </si>
  <si>
    <t>Summary of Financial Position and Changes in Financial Position (Through End of Test Year and Projected Three Years)</t>
  </si>
  <si>
    <t>Schedule A-5 shall present PREPA's financial position, and changes in the financial position through the end of the test year, and as projected for the three (3) years subsequent to the test year.</t>
  </si>
  <si>
    <t>Schedule A-5 shall show the most recent available audited financial statements, including the statement of net position and statement of changes in net position.</t>
  </si>
  <si>
    <t>Information cannot be provided for the requested period due to limitations of PREPA's financial reporting and the ongoing accounting / balance sheet remediation initiatives that are currently part of the Commonwealth's 2023 Fiscal Plan.
LUMA will provide the most recent available audited financial statements as an alternative.</t>
  </si>
  <si>
    <t>A-6</t>
  </si>
  <si>
    <t xml:space="preserve">Detail of Types of Costs Recovered through FCA/PPCA </t>
  </si>
  <si>
    <t>Schedule A-6 shall present all charges and costs included under "Fuel Adjustment" and "Energy Purchase Adjustment" as of the effective date of Act 57-2014 and shall detail PREPA's proposed method of recovering fuel and purchased power costs. PREPA's proposed method for recovery of fuel and purchased energy costs must conform with the following requirements from Act 4-2016: The Commission shall approve under the "fuel adjustment" and "energy purchase adjustment" items only those costs directly related to the purchase of fuel  and the purchase of energy, respectively, or such variable portion in the fuel and energy price that is not included in the basic rate, as the case may be. No other expense or charge may be denominated nor included as "fuel adjustment"  or "energy purchase adjustment."</t>
  </si>
  <si>
    <t>Yes - No Alternative Proposed</t>
  </si>
  <si>
    <t>Genera</t>
  </si>
  <si>
    <t>Same as Regulation 8720</t>
  </si>
  <si>
    <t>Test Year Original Cost Rate Base</t>
  </si>
  <si>
    <t>Schedule B-1 shall present a summary of test year original cost rate base elements.</t>
  </si>
  <si>
    <t xml:space="preserve">Information cannot be provided for this Rate Proceeding due to limitations of PREPA's financial reporting and the ongoing accounting / balance sheet remediation initiatives that are currently part of the Commonwealth's 2023 Fiscal Plan.
Additionally, the return on rate base approach is not being utilized to establish the revenue requirement in this proceeding. </t>
  </si>
  <si>
    <t>Pro Forma Adjustments to Rate Base</t>
  </si>
  <si>
    <t>Schedule B-2 shall present each pro forma adjustment to rate base (one column for each adjustment). PREPA shall discuss and explain each adjustment in prefiled direct testimony and shall provide supporting workpapers showing the derivation of each adjustment.</t>
  </si>
  <si>
    <t xml:space="preserve">Not applicable as the return on rate base approach is not being utilized to establish the revenue requirement in this proceeding. </t>
  </si>
  <si>
    <t xml:space="preserve">Calculation of Working Capital </t>
  </si>
  <si>
    <t>Schedule B-3 shall present a computation of Working Capital.</t>
  </si>
  <si>
    <t>Test Year Income Statement with Adjustments and Adjusted Results</t>
  </si>
  <si>
    <t>Schedule C-1 shall present the test year income statement, showing the amounts recorded during the test  year in each account in column 1; pro forma adjustments,  by account, in column 2; and adjusted results in column 3.</t>
  </si>
  <si>
    <t xml:space="preserve">Schedule C-1 shall present the test year income statement. </t>
  </si>
  <si>
    <t>Summary of Pro Forma Adjustments</t>
  </si>
  <si>
    <t>Schedule C-2 shall present the income statement pro forma adjustments (one adjustment per column). PREPA shall discuss and explain each adjustment in prefiled direct testimony and shall provide supporting work­ papers showing the derivation of each adjustment.</t>
  </si>
  <si>
    <t>Requirement is not applicable.  With the use of the forward-looking test year, pro forma adjustments are not utilized.</t>
  </si>
  <si>
    <t>Gross Revenue Conversion Factor</t>
  </si>
  <si>
    <t>Schedule C-3 shall present the calculation of the Gross Revenue Conversion Factor. An explanation and support must be provided for each item that is incorporated into the Gross Revenue Conversion Factor.</t>
  </si>
  <si>
    <t>Requirement is not applicable as PREPA does not pay income tax and includes bad debt expense as a line item in the revenue requirement calculation.  A gross revenue conversion factor is not necessary for revenue requirement purposes.</t>
  </si>
  <si>
    <t>D-1</t>
  </si>
  <si>
    <t>Summary of Capitalization</t>
  </si>
  <si>
    <t>Schedule D-1 shall include a summary of capitalization, including long-term debt, short term debt, owners' equity, and any other components of capitalization that are being used to develop the revenue requirement.</t>
  </si>
  <si>
    <t xml:space="preserve">Requirement is not applicable as PREPA's debt is currently being restructured under the Title III process. </t>
  </si>
  <si>
    <t>D-2</t>
  </si>
  <si>
    <t xml:space="preserve">Long Term Debt Detail </t>
  </si>
  <si>
    <t>Schedule D-2 shall include an itemized listing of long-term debt and related interest and debt service requirements.</t>
  </si>
  <si>
    <t>Classified as Partial - Alternative Proposed as PREPA's IRP proceeding is currently under review. The parties shall provide construction / Capex requirements in alignment with other long-term plans or the previously approved IRP.</t>
  </si>
  <si>
    <t>D-3</t>
  </si>
  <si>
    <t>Short Term Debt Detail</t>
  </si>
  <si>
    <t>Schedule D-3 shall include an itemized listing of short-term debt and related interest and debt service requirements.</t>
  </si>
  <si>
    <t>D-4</t>
  </si>
  <si>
    <t>Schedule D-4 shall include information for capital leases and the related payment obligations for the test year and each of the three (3) years following the test year.</t>
  </si>
  <si>
    <t>D-5</t>
  </si>
  <si>
    <t>Long Term Purchased Power Agreements (Test Year and Three Subsequent Years)</t>
  </si>
  <si>
    <t>Schedule D-5 shall include information for long-term purchased power agreements, including for payment obligations for the test year and each of the three (3) years following the test year.</t>
  </si>
  <si>
    <t>Schedule D-5 shall include information for long-term purchased power agreements, including for payment obligations for the forward-looking test year.</t>
  </si>
  <si>
    <t xml:space="preserve">Requirement classified as Partial - Alternative Proposed due to the forward-looking test year to be utilized in this Rate Proceeding. </t>
  </si>
  <si>
    <t>D-6</t>
  </si>
  <si>
    <t>Debt Securitization Detail (PREPA Revitalization Act)</t>
  </si>
  <si>
    <t>Schedule D-6 shall include an itemized listing of any debt that has been securitized through the securitization process set forth in the PREPA Revitalization Act and related interest and debt service requirements.</t>
  </si>
  <si>
    <t xml:space="preserve">This is a legacy PREPA requirement and not applicable to this Rate Proceeding. </t>
  </si>
  <si>
    <t>Balance Sheet (Test Year, Two Previous years, Three Subsequent Years)</t>
  </si>
  <si>
    <t>Schedule E-1 shall show balance sheets for the beginning and end of test year, for the previous two (2) years, and estimated for the three (3) years following the test year.</t>
  </si>
  <si>
    <t xml:space="preserve">Schedule E-1 shall show the most recent available audited financial statements, including the balance sheet. </t>
  </si>
  <si>
    <t>Information cannot be provided for this Rate Proceeding due to limitations of PREPA's financial reporting and the ongoing accounting / balance sheet remediation initiatives that are currently part of the Commonwealth's 2023 Fiscal Plan.
LUMA will provide the most recent available audited financials as an alternative.</t>
  </si>
  <si>
    <t>Income Statement (Test Year, Two Previous Years, Three Subsequent Years)</t>
  </si>
  <si>
    <t>Schedule E-2 shall show income statements for the test year, for the previous two (2) years, and estimated for the three (3) years following the test year.</t>
  </si>
  <si>
    <t>Statement of Changes in Financial Position (Test Year, Two Previous years, Three Subsequent Years)</t>
  </si>
  <si>
    <t>Schedule E-3 shall show a statement of changes in financial position for the test year, for the previous two (2) years, and estimated for the three (3) years following the test year.</t>
  </si>
  <si>
    <t>Schedule E-3 shall show the most recent available audited financial statements, including the statement of changes in net position.</t>
  </si>
  <si>
    <t>Statement of Changes in PREPA's Net Position (Deficit) (Test Year, Two Previous Years, Three Subsequent Years)</t>
  </si>
  <si>
    <t>Schedule E-4 shall show a statement of changes in PREPA's Net Position (Deficit) balance for the test year, for the previous two (2) years, and estimated for the three (3) years following the test year.</t>
  </si>
  <si>
    <t>Schedule E-4 shall show the most recent available audited financial statements, including the statement of changes in net position.</t>
  </si>
  <si>
    <t>Utility Plant in Service and A/D by Account (Test Year, Two Previous Years, Three Subsequent Years)</t>
  </si>
  <si>
    <t>Schedule E-5 shall show a listing of Utility Plant in Service and Accumulated Depreciation by account for the beginning and end of test year, for the previous two (2) years, and estimated  for the three  (3) years  following the test year.</t>
  </si>
  <si>
    <t>Information cannot be provided for this Rate Proceeding due to limitations of PREPA's financial reporting and the ongoing accounting / balance sheet remediation initiatives that are currently part of the Commonwealth's 2023 Fiscal Plan.</t>
  </si>
  <si>
    <t>E-6</t>
  </si>
  <si>
    <t xml:space="preserve">Departmental / Functional Operating Income Statements (Test Year, Two Previous Years, Three Subsequent Years) </t>
  </si>
  <si>
    <t>Schedule E-6 shall show departmental/functional operating income statements for the test year, the previous two (2) years, and estimates for the three (3) years following the test year.</t>
  </si>
  <si>
    <t>E-7</t>
  </si>
  <si>
    <t>Various Operating Statistics (i.e. Debt Service Coverage, Number of Employees) (Test Year, Two Previous Years, Three Subsequent Years)</t>
  </si>
  <si>
    <t>Schedule E-7 shall show operating statistics, including debt service coverage, interest coverage, funds from operations, number of employees (in full time equivalents) and other operating statistics used to manage the business, for the test year, the previous two  (2) years, and estimated for the three (3) years following the test year.</t>
  </si>
  <si>
    <t>Schedule E-7 shall show operating statistics, including number of employees (in full time equivalents) and other operating statistics used to manage the business, for the test year, the previous two (2) years, and estimated for the three (3) years following the test year.</t>
  </si>
  <si>
    <t>Requirement classified as Partial - Alternative Proposed as debt service and interest coverage statistics are not applicable given PREPA's Title III proceedings. LUMA is also leveraging a forward-looking test year in this rate proceeding.</t>
  </si>
  <si>
    <t>E-8</t>
  </si>
  <si>
    <t>Schedule E-8 shall show details of Contributions in Lieu of Taxes (CILT), including the test year amounts of CILT associated with each PREPA government client to which CILT applies. This schedule shall also  show details of accounts receivable from each PREPA government client to which CILT applies as of the beginning and end of test year, including an aging of such accounts receivable.   A schedule of accounts receivable  aging for other PREPA  government  clients  to  which  CILT  does  not  apply  will  also  be provided.</t>
  </si>
  <si>
    <t>E-9</t>
  </si>
  <si>
    <t>Notes to the Financial Statements</t>
  </si>
  <si>
    <t>Schedule E-9 shall include notes to the financial statements.</t>
  </si>
  <si>
    <t>LUMA is classifying this schedule as Partial - Alternative Proposed due to the fact that a forward-looking test year is leveraged in this rate proceeding. Although Schedule E-9 doesn't specifically mention a test year, the remaining schedules in section E are intended to include a test year. Therefore, LUMA is mapping to Partial - Alternative Proposed for consistency.</t>
  </si>
  <si>
    <t>Projected Income Statement at Present and Proposed Rates for Three Years</t>
  </si>
  <si>
    <t>Schedule F-1 shall contain projected income statements at present and proposed rates, for a minimum of three (3) years.</t>
  </si>
  <si>
    <t>Projected Changes in Financial Position and Debt Service Coverage at Present and Proposed Rates for Three Years</t>
  </si>
  <si>
    <t>Schedule F-2 shall contain projected changes in financial position and debt service coverage at present and proposed rates, for a minimum of three (3) years.</t>
  </si>
  <si>
    <t xml:space="preserve">Information cannot be provided for this Rate Proceeding due to limitations of PREPA's financial reporting and the ongoing accounting / balance sheet remediation initiatives that are currently part of the Commonwealth's 2023 Fiscal Plan. In addition, PREPA's debt is currently being restructured under the Title III process. </t>
  </si>
  <si>
    <t>Projected Construction and Capital Expenditures for Three Years Including Alignment with IRP</t>
  </si>
  <si>
    <t>Schedule F-3 shall list projected construction and capital expenditure requirements for each of the three (3) years following the test year. This Schedule shall include an explanation of how the projected capital expeditures correspond with PREPA's Integrated Resource Plan.</t>
  </si>
  <si>
    <t>Schedule F-3 shall list projected construction and capital expenditure requirements for each of the three (3) years following the test year. This Schedule shall include an explanation of how the projected capital expeditures correspond with the previously approved IRP, which is currently being revised, or other resource or capital planning initiatives.</t>
  </si>
  <si>
    <t>Detailed Supporting Documentation for Projections</t>
  </si>
  <si>
    <t>Schedule F-4 shall include a detailed description and references to supporting documentation used in developing the projections.</t>
  </si>
  <si>
    <t>G-1</t>
  </si>
  <si>
    <t>Fully Allocated Embedded Cost of Service at Present Rates</t>
  </si>
  <si>
    <t>Schedule G-1 shall show a fully allocated embedded cost of service study at present rates.</t>
  </si>
  <si>
    <t xml:space="preserve">LUMA intends to file a modified cost of service analysis that uses direct allocation of costs wherever possible. LUMA acknowledges the data limitations and the complexities underlying their root causes, and continues to actively participate in moving the utility toward remediation. </t>
  </si>
  <si>
    <t>G-2</t>
  </si>
  <si>
    <t>Fully Allocated Embedded Cost of Service at Proposed Rates</t>
  </si>
  <si>
    <t>Schedule G-2 shall show a fully allocated embedded cost of service study at proposed rates.</t>
  </si>
  <si>
    <t>G-3</t>
  </si>
  <si>
    <t>Revenue Allocation by Class at Proposed Rates</t>
  </si>
  <si>
    <t>Schedule G-3 shall show the total revenue at proposed rates and the allocation of revenue at proposed rates among the customer service classes.</t>
  </si>
  <si>
    <t>G-4</t>
  </si>
  <si>
    <t>Expense Allocation by Class at Proposed Rates</t>
  </si>
  <si>
    <t>Schedule G-4 shall show the total expenses,  by  account,  at proposed  rates and the allocation of expenses at proposed rates among the customer service classes.</t>
  </si>
  <si>
    <t>G-5</t>
  </si>
  <si>
    <t>Allocation Factors and Calculations</t>
  </si>
  <si>
    <t>Schedule G-5 shall provide explanations and calculations showing how each of the allocation factors used in the Embedded Cost of Service study was derived.</t>
  </si>
  <si>
    <t>G-6</t>
  </si>
  <si>
    <t xml:space="preserve">Optional: Alternative Methodologies for Calculating Embedded Cost of Service </t>
  </si>
  <si>
    <t>In Schedule G-6, PREPA may present optional information, such as alternative methodologies and results for calculating the class Embedded Cost of Service. An explanation shall be provided for each alternative method that is being presented by PREPA, along with detailed supporting calculations.</t>
  </si>
  <si>
    <t xml:space="preserve">See rationale from G-1 and G-2. LUMA intends to file a modified cost of service analysis that uses direct allocation of costs wherever possible. LUMA acknowledges the data limitations and the complexities underlying their root causes, and continues to actively participate in moving the utility toward remediation. </t>
  </si>
  <si>
    <t>H-1</t>
  </si>
  <si>
    <t>Summary of Revenues by Class at Present and Proposed Rates</t>
  </si>
  <si>
    <t>Schedule H-1 shall present a summary, by  customer  classification,  of revenues  at present  and proposed  rates.</t>
  </si>
  <si>
    <t>H-2</t>
  </si>
  <si>
    <t>Revenue Requirement Analysis at Present and Proposed Rates (Billing Determinants)</t>
  </si>
  <si>
    <t>Schedule H-2 shall present an analysis of the revenue requirement by detailed class of service at present and proposed rates, showing the billing determinants, rates and revenues, by class of service.</t>
  </si>
  <si>
    <t>H-3</t>
  </si>
  <si>
    <t>Explanation of Changes between Current and Proposed Rates</t>
  </si>
  <si>
    <t>Schedule H-3 shall present and explain  changes   between  current  and proposed rates, by class of service.</t>
  </si>
  <si>
    <t>H-4</t>
  </si>
  <si>
    <t>Schedule H-4 shall present a customer bill impact analysis, showing dollar and percent impacts for each customer class at varying levels of electric usage.</t>
  </si>
  <si>
    <t>H-5</t>
  </si>
  <si>
    <t>Schedule H-5 shall present a bill count and bill frequency analysis.</t>
  </si>
  <si>
    <t>H-6</t>
  </si>
  <si>
    <t>Proof of Revenue</t>
  </si>
  <si>
    <t>Schedule H-6 shall present a proof of revenue.</t>
  </si>
  <si>
    <t>I-1</t>
  </si>
  <si>
    <t>Consulting Engineers' Report for Test Year</t>
  </si>
  <si>
    <t>Schedule I-1 shall include a copy of the Consulting Engineers' Report for the Fiscal Year that is being used as the historic test year.</t>
  </si>
  <si>
    <t>I-2</t>
  </si>
  <si>
    <t>Audited Financial Statements for Historical Test Year</t>
  </si>
  <si>
    <t>Schedule I-2 shall include audited financial statements and an independent auditor's opinion on such financial statements for the Fiscal Year that is being used as the historic test year.</t>
  </si>
  <si>
    <t>Schedule I-2 shall include the most recent audited financial statements.</t>
  </si>
  <si>
    <t>Requirement classified as Partial - Alternative Proposed due to the forward-looking test year to be utilized in this Rate Proceeding.  LUMA will provide the most recent available audited financials as an alternative.</t>
  </si>
  <si>
    <t>I-3</t>
  </si>
  <si>
    <t xml:space="preserve">Chief Restructuring Officer's Report </t>
  </si>
  <si>
    <t>Schedule I-3 shall include the Chief Restructuring Officer's reports to PREPA's Board of Directors or Governing Board from  September 2014 through the filing date, and shall be updated through the duration of PREPA's rate case as additional reports are prepared.</t>
  </si>
  <si>
    <t>I-4</t>
  </si>
  <si>
    <t>Business Plan for Rate Year</t>
  </si>
  <si>
    <t>Schedule I-4 shall include the Business Plan for the period encompassing the Rate Year.</t>
  </si>
  <si>
    <t>Schedule I-4 shall include the most recent FOMB Certified Fiscal Plan.</t>
  </si>
  <si>
    <t>LUMA plans to submit/reference the PREPA Fiscal Plan, as certified by FOMB, for this requirement, which encompasses the forward-looking test year.</t>
  </si>
  <si>
    <t>J-1</t>
  </si>
  <si>
    <t>Proposed Tariffs</t>
  </si>
  <si>
    <t>Schedule J-1 shall present PREPA's proposed tariffs.</t>
  </si>
  <si>
    <t>J-2</t>
  </si>
  <si>
    <t>Schedule J-2 shall present PREPA's current tariffs  with  changes  shown  in legal redline to derive PREPA's proposed tariffs.</t>
  </si>
  <si>
    <t>J-3</t>
  </si>
  <si>
    <t>Plan of Rider Surcharge Administration for Each Rider</t>
  </si>
  <si>
    <t>Schedule J-3 shall contain a draft Plan of Rider Surcharge Administration for each proposed surcharge or rider.</t>
  </si>
  <si>
    <t>J-4</t>
  </si>
  <si>
    <t>Schedule J-4 shall contain a draft Energy Efficiency Tariff Rider designed to fund any energy efficiency programs ordered or authorized by the Commission (such as those anticipated by Article IV of the Commission's Regulations for Integrated Resource Planning for the Puerto Rico Electric Power Authority approved on May 22, 2015). Such Rider shall be a blank form with spaces  identified for categories of costs to be recovered, the frequency and timing of updates to those costs, the allocation of those costs among and within customer classes, and the formula used to compute the rate. If PREPA believes that certain components of the Rider should be determined following the determination of the scope and composition of the energy-efficiency portfolio, PREPA may designate those components as "to be determined" and provide an explanation of the factors that would affect its ultimate recommendation.</t>
  </si>
  <si>
    <t>J-5</t>
  </si>
  <si>
    <t>Decoupling Mechanism Tariff</t>
  </si>
  <si>
    <t>Schedule J-5 shall contain a draft tariff for a decoupling mechanism. Such draft tariff shall include (i) a provision for a Commission-determined base revenue requirement; (ii) an annual reconciliation mechanism that makes positive or negative adjustments to rates as necessary to cause actual revenues to equal authorized revenues; (iii) a proposed allocation of costs among and within customer classes; and (iv) a maximum percentage rate adjustment (for example, 3%) to be allowed  in any year's reconciliation, along with a mechanism for recovering or crediting in a future year amounts varying from such maximum.</t>
  </si>
  <si>
    <t xml:space="preserve">This is not being proposed in this Rate Proceeding. </t>
  </si>
  <si>
    <t>K-1</t>
  </si>
  <si>
    <t>Schedule K-1 shall include descriptions of affiliates and a listing of their officers, directors and board members (if different from the officers or board members of PREPA). This description shall include a description of the function of the companies operating within PREPA Holdings, including (but not limited to): PREPA Networks, LLC (also known as PREPA.Net), InterAmerican Energy Sources, LLC, and Consolidated Telecom of  Puerto Rico, LLC. A list of the officers and directors/board members of each of these companies if different from the officers or board members of PREPA</t>
  </si>
  <si>
    <t>PREPA</t>
  </si>
  <si>
    <t>L-1</t>
  </si>
  <si>
    <t>Proposed Fixed Charge for PREPA's Obligation to Bondholders</t>
  </si>
  <si>
    <t>Schedule L-1 shall present calculations for a proposed fixed charge showing the amount customers shall pay on account of PREPA's obligations to bondholders, which would guarantee the annual payment of PREPA's obligations to bondholders, taking into consideration  any  reduction  in PREPA's debt as a result of the issuance of Restructuring Bonds pursuant to the PREPA Revitalization Act. The prefiled testimony shall explain the derivation of the proposed fixed charge.</t>
  </si>
  <si>
    <t>Schedule L-1 shall present calculations for a proposed fixed charge showing the amount customers shall pay on account of PREPA's obligations to bondholders, which would guarantee the annual payment of PREPA's obligations to bondholders, taking into consideration  any  reduction  in PREPA's debt as a result of the issuance of Restructuring Bonds pursuant to the PREPA's Plan of Adjustment under Title III of PROMESA. The prefiled testimony shall explain the derivation of the proposed fixed charge.</t>
  </si>
  <si>
    <t xml:space="preserve">LUMA interprets that this information will be consistent with the outcome of PREPA's Title III proceedings and not the PREPA Revitalization Act.
Requirement shall be satisfied by FOMB-provided schedules through resolution of the Title III proceedings as part of Phase III.
</t>
  </si>
  <si>
    <t>L-2</t>
  </si>
  <si>
    <t>Detail of Subsidies Included in Rates</t>
  </si>
  <si>
    <t>Schedule L-2 shall present a detailed listing of all subsidies that are reflected in the proposed rates. The prefiled testimony shall describe their legal basis, purposes and beneficiaries; and evaluate them on a legal basis in terms of their cost (both the magnitude of the cost and who bears the cost) and their benefits.</t>
  </si>
  <si>
    <t>Schedule L-2 shall present a detailed listing of all subsidies that are reflected in the proposed rates. The prefiled testimony shall describe their purposes and beneficiaries.</t>
  </si>
  <si>
    <t xml:space="preserve">LUMA proposes removing the legal basis and cost/benefit analysis requirement. </t>
  </si>
  <si>
    <t>M-1</t>
  </si>
  <si>
    <t>Rate Design Proposal (Including Fixed Charge, Energy Charge and Demand Charge)</t>
  </si>
  <si>
    <t>Schedule M-1 shall present a rate-design proposal that includes, for each customer class or sub-class, (i) a fixed monthly charge equal to the incremental cost of serving an additional customer in that class or sub-class; (ii) where appropriate, a demand charge; and (iii) variable charges sufficient to collect all other costs necessary to serve that class or sub-class.</t>
  </si>
  <si>
    <t>M-2</t>
  </si>
  <si>
    <t>Rate Design Proposal with Rates Unbundled (Customer, Generation, Transmission, Distribution)</t>
  </si>
  <si>
    <t>Schedule M-2 shall present, for each rate design presented in Schedule M-1, the associated costs unbundled  among the  following  four  functions: customer costs (e.g. metering, billing and customer service), physical distribution, transmission and generation. For each of these four categories, Schedule M-2 shall also identify that portion of PREPA's book cost that, in the event of customer bypass (either economic or uneconomic),  would  need to be recovered  from the bypassing customer to avoid the shifting of such cost to other customers.</t>
  </si>
  <si>
    <t>M-3</t>
  </si>
  <si>
    <t xml:space="preserve">Alternative Rate Design Proposal </t>
  </si>
  <si>
    <t>Schedule M-3 shall present any other rate design proposal PREPA wishes the Commission to consider. Should PREPA elect to present a Schedule M-3, its prefiled testimony shall describe the advantages and disadvantages of such approach, as compared to the approaches presented in Schedule M-1 and M- 2, and shall show the effects of both approaches on the bills of residential consumers at different levels of consumption.</t>
  </si>
  <si>
    <t>N-1</t>
  </si>
  <si>
    <t>Formula Rate Proposal</t>
  </si>
  <si>
    <t>If PREPA proposes a formula rate structure, it shall be presented on Schedule N-1. However, the formal application shall also include an alternative rate structure that is more typical of utility rate filings; specifically, one that does not envision either annual rate increases occurring outside of a base rate case, or "true-ups" for cost elements other than fuel and purchased power. The prefiled testimony shall describe the advantages and disadvantages of both approaches.
The required alternative to the proposal or preferred solution presented on Schedule N-1 must reflect care and rigor comparable to that reflected in PREPA's preferred solution.</t>
  </si>
  <si>
    <t>Pre-Filed Written Testimony</t>
  </si>
  <si>
    <t>Public Notice</t>
  </si>
  <si>
    <t>Proposed Requirement Description for Current Rate Proceeding</t>
  </si>
  <si>
    <t>Phase III</t>
  </si>
  <si>
    <t>Defer</t>
  </si>
  <si>
    <t>Suspend</t>
  </si>
  <si>
    <t>Determination of Base Rate Revenue Requirement and Change in Base Rates</t>
  </si>
  <si>
    <t>Schedule A-1 shall present a computation of the change in the Base Rates gross revenue requirement being requested by PREPA. It shall include information on the test year Embedded Cost of Service and pro forma adjusted rate year Embedded Cost of Service as well as the debt service and interest costs. It will also include the proposed coeverage on debt service and interest, as well as a comparison of revenues at proposed and current rates.</t>
  </si>
  <si>
    <t>Schedule A-1 shall present a computation of the net operating income for the test year, including the requested revenue requirement increase.</t>
  </si>
  <si>
    <t>Classified as partial due to no debt coverage or interest stats applicable. 
LUMA is proposing an alternative, forward-looking definition for "Test Year". 
In the Regulation for this rate proceeding, the definition of "Test Year" should refer to the Fiscal Year beginning July 1st, immediately following the filing of the rate review application.</t>
  </si>
  <si>
    <t>Forward-looking test year leveraged in this rate proceeding. Due to forward-looking test year, pro forma adjustments would already be captured in the forecast.</t>
  </si>
  <si>
    <t>Applies to existing debt and will be provided by FOMB through Title III proceedings.</t>
  </si>
  <si>
    <t>Information cannot be provided for this Rate Proceeding due to limitations of PREPA's financial reporting and the ongoing accounting / balance sheet remediation initiatives that are currently part of the Commonwealth's 2023 Fiscal Plan</t>
  </si>
  <si>
    <t>Schedule A-5 shall show the most recent available audited statements of changes in financial position.</t>
  </si>
  <si>
    <t>Not applicable due to the PREPA's Title III proceedings and the lack of a return on rate base approach</t>
  </si>
  <si>
    <t>Schedule C-1 shall present the test year income statement, showing the amounts in each account</t>
  </si>
  <si>
    <t>Not applicable because PREPA does not pay income tax and includes bad debt expense as a line item in the revenue requirement calculation.  Therefore a gross revenue conversion factor is not necessary for revenue requirement purposes.</t>
  </si>
  <si>
    <t>Not applicable due to PREPA's Title III proceedings</t>
  </si>
  <si>
    <t>Schedules to be provided by FOMB given concurrent proceedings re: PREPA's pension charge and legacy debt charge</t>
  </si>
  <si>
    <t>Forward-looking test year leveraged in this Rate Proceeding</t>
  </si>
  <si>
    <t>Not applicable, legacy PREPA requirement</t>
  </si>
  <si>
    <t>Schedule E-1 shall show the most recent available audited balance sheets.</t>
  </si>
  <si>
    <t>Forward-looking test year leveraged in this Rate Proceeding. For projections, LUMA intends to leverage revenue and expense projections published through FOMB's Fiscal Plans.</t>
  </si>
  <si>
    <t>Schedule E-3 shall show the most recent available audited statements of changes in financial position.</t>
  </si>
  <si>
    <t>Schedule E-4 shall show the most recent available audited statements of changes in PREPA's Net Position (Deficit) balance.</t>
  </si>
  <si>
    <t>Schedule E-7 shall show operating statistics, including funds from operations, number of employees (in full time equivalents) and other operating statistics used to manage the business, for the test year, the previous two  (2) years, and estimated for the three (3) years following the test year.</t>
  </si>
  <si>
    <t>Debt service coverage / interest statistics removed given PREPA's Title III proceedings. LUMA is also leveraging a forward-looking test year in this rate proceeding.</t>
  </si>
  <si>
    <t>LUMA is classifying this schedule as "Partial - Alternative Proposed" due to the fact that a forward-looking test year is leveraged in this rate proceeding. Although Schedule E-9 doesn't specifically mention a test year, the remaining schedules in section E are intended to include a test year. Therefore, LUMA is mapping to "Partial/Alternative" for consistency.</t>
  </si>
  <si>
    <t>Not applicable due to PREPA's Title III proceedings and due to limitations of PREPA's financial reporting and the ongoing accounting / balance sheet remediation initiatives that are currently part of the Commonwealth's 2023 Fiscal Plan.</t>
  </si>
  <si>
    <t>Classified as "Partial - Alternative Proposed" as PREPA's IRP proceeding is currently under review. The parties can provide construction / capex requirements in alignment with other long-term plans or the previously approved IRP.</t>
  </si>
  <si>
    <t>Schedule I-2 shall provide the most recent audited financial statements.</t>
  </si>
  <si>
    <t>LUMA plans to submit/reference the PREPA 2023 Fiscal Plan, as certified by FOMB, for this requirement, which encompasses the Rate period.</t>
  </si>
  <si>
    <t>Not proposed or within scope for Phase II of this rate proceeding</t>
  </si>
  <si>
    <t>LUMA interprets that this information will be consistent with the outcome of PREPA's Title III proceedings and not the PREPA Revitalization Act.</t>
  </si>
  <si>
    <t>LUMA proposes removing the cost/benefit analysis requirement.</t>
  </si>
  <si>
    <t>Not proposed or within scope for Phase II rate filing</t>
  </si>
  <si>
    <r>
      <t>Table 2-3. LUMA’s Updates to Revenue Requirement – Update #1</t>
    </r>
    <r>
      <rPr>
        <sz val="9"/>
        <rFont val="Arial"/>
        <family val="2"/>
      </rPr>
      <t> </t>
    </r>
  </si>
  <si>
    <r>
      <t>(A)</t>
    </r>
    <r>
      <rPr>
        <sz val="9"/>
        <rFont val="Arial"/>
      </rPr>
      <t> </t>
    </r>
  </si>
  <si>
    <r>
      <t>(B)</t>
    </r>
    <r>
      <rPr>
        <sz val="9"/>
        <rFont val="Arial"/>
      </rPr>
      <t> </t>
    </r>
  </si>
  <si>
    <r>
      <t>(C)</t>
    </r>
    <r>
      <rPr>
        <sz val="9"/>
        <rFont val="Arial"/>
      </rPr>
      <t> </t>
    </r>
  </si>
  <si>
    <r>
      <t>(D)</t>
    </r>
    <r>
      <rPr>
        <sz val="9"/>
        <rFont val="Arial"/>
      </rPr>
      <t> </t>
    </r>
  </si>
  <si>
    <r>
      <rPr>
        <b/>
        <sz val="9"/>
        <color rgb="FF000000"/>
        <rFont val="Arial"/>
      </rPr>
      <t>(E)</t>
    </r>
    <r>
      <rPr>
        <sz val="9"/>
        <color rgb="FF000000"/>
        <rFont val="Arial"/>
      </rPr>
      <t> </t>
    </r>
  </si>
  <si>
    <r>
      <rPr>
        <b/>
        <sz val="9"/>
        <color rgb="FF000000"/>
        <rFont val="Arial"/>
      </rPr>
      <t>(F)</t>
    </r>
    <r>
      <rPr>
        <sz val="9"/>
        <color rgb="FF000000"/>
        <rFont val="Arial"/>
      </rPr>
      <t> </t>
    </r>
  </si>
  <si>
    <r>
      <rPr>
        <b/>
        <sz val="9"/>
        <color rgb="FF000000"/>
        <rFont val="Arial"/>
      </rPr>
      <t>(G)</t>
    </r>
    <r>
      <rPr>
        <sz val="9"/>
        <color rgb="FF000000"/>
        <rFont val="Arial"/>
      </rPr>
      <t> </t>
    </r>
  </si>
  <si>
    <r>
      <t>C-2 Reference</t>
    </r>
    <r>
      <rPr>
        <sz val="9"/>
        <rFont val="Arial"/>
        <family val="2"/>
      </rPr>
      <t> </t>
    </r>
  </si>
  <si>
    <r>
      <t>Line Item Reference(s)</t>
    </r>
    <r>
      <rPr>
        <sz val="9"/>
        <rFont val="Arial"/>
        <family val="2"/>
      </rPr>
      <t> </t>
    </r>
  </si>
  <si>
    <r>
      <t>Applicable Fiscal Year</t>
    </r>
    <r>
      <rPr>
        <sz val="9"/>
        <rFont val="Arial"/>
        <family val="2"/>
      </rPr>
      <t> </t>
    </r>
  </si>
  <si>
    <r>
      <t>Description</t>
    </r>
    <r>
      <rPr>
        <sz val="9"/>
        <rFont val="Arial"/>
        <family val="2"/>
      </rPr>
      <t> </t>
    </r>
  </si>
  <si>
    <r>
      <t>Adjustment</t>
    </r>
    <r>
      <rPr>
        <sz val="9"/>
        <rFont val="Arial"/>
        <family val="2"/>
      </rPr>
      <t> </t>
    </r>
  </si>
  <si>
    <r>
      <t>Reason for Change</t>
    </r>
    <r>
      <rPr>
        <sz val="9"/>
        <rFont val="Arial"/>
        <family val="2"/>
      </rPr>
      <t> </t>
    </r>
  </si>
  <si>
    <r>
      <t>Reference to Other Schedules</t>
    </r>
    <r>
      <rPr>
        <sz val="9"/>
        <rFont val="Arial"/>
        <family val="2"/>
      </rPr>
      <t> </t>
    </r>
  </si>
  <si>
    <r>
      <t>C-2 Optimal &amp; C-2 Constrained</t>
    </r>
    <r>
      <rPr>
        <sz val="9"/>
        <rFont val="Arial"/>
        <family val="2"/>
      </rPr>
      <t> </t>
    </r>
  </si>
  <si>
    <r>
      <t>42</t>
    </r>
    <r>
      <rPr>
        <sz val="9"/>
        <rFont val="Arial"/>
        <family val="2"/>
      </rPr>
      <t> </t>
    </r>
  </si>
  <si>
    <t>2026 </t>
  </si>
  <si>
    <t>FOMB Advisor Costs </t>
  </si>
  <si>
    <t>$18,324,982 </t>
  </si>
  <si>
    <t>Inadvertent error in July 3rd filing. This number was provided by the FOMB. </t>
  </si>
  <si>
    <t>See NPFGC-of-LUMA-PROV-19 for details. </t>
  </si>
  <si>
    <r>
      <t>41</t>
    </r>
    <r>
      <rPr>
        <sz val="9"/>
        <rFont val="Arial"/>
        <family val="2"/>
      </rPr>
      <t> </t>
    </r>
  </si>
  <si>
    <t>LUMA Interim Costs </t>
  </si>
  <si>
    <t>$8,750,000 </t>
  </si>
  <si>
    <r>
      <t>Inadvertent omission in July 3</t>
    </r>
    <r>
      <rPr>
        <vertAlign val="superscript"/>
        <sz val="7"/>
        <rFont val="Arial"/>
        <family val="2"/>
      </rPr>
      <t>rd</t>
    </r>
    <r>
      <rPr>
        <sz val="9"/>
        <rFont val="Arial"/>
        <family val="2"/>
      </rPr>
      <t xml:space="preserve"> filing. </t>
    </r>
    <r>
      <rPr>
        <i/>
        <sz val="9"/>
        <rFont val="Arial"/>
        <family val="2"/>
      </rPr>
      <t xml:space="preserve">LUMA Interim Costs </t>
    </r>
    <r>
      <rPr>
        <sz val="9"/>
        <rFont val="Arial"/>
        <family val="2"/>
      </rPr>
      <t xml:space="preserve">are LUMA’s costs associated with supporting the Title III process. In years past these have been included in and approved as part of the </t>
    </r>
    <r>
      <rPr>
        <i/>
        <sz val="9"/>
        <rFont val="Arial"/>
        <family val="2"/>
      </rPr>
      <t>PREPA Restructuring &amp; Title III</t>
    </r>
    <r>
      <rPr>
        <sz val="9"/>
        <rFont val="Arial"/>
        <family val="2"/>
      </rPr>
      <t xml:space="preserve"> line. For the July 3</t>
    </r>
    <r>
      <rPr>
        <vertAlign val="superscript"/>
        <sz val="7"/>
        <rFont val="Arial"/>
        <family val="2"/>
      </rPr>
      <t>rd</t>
    </r>
    <r>
      <rPr>
        <sz val="9"/>
        <rFont val="Arial"/>
        <family val="2"/>
      </rPr>
      <t xml:space="preserve"> filing, these were inadvertently missed. </t>
    </r>
  </si>
  <si>
    <t>2027 </t>
  </si>
  <si>
    <t>$5,866,071 </t>
  </si>
  <si>
    <t>Inadvertent error in July 3rd filing. </t>
  </si>
  <si>
    <t>$6,562,500 </t>
  </si>
  <si>
    <t>2028 </t>
  </si>
  <si>
    <t>$9,197,272 </t>
  </si>
  <si>
    <t>$4,375,000 </t>
  </si>
  <si>
    <r>
      <t>Inadvertent omission in July 3</t>
    </r>
    <r>
      <rPr>
        <vertAlign val="superscript"/>
        <sz val="7"/>
        <rFont val="Arial"/>
        <family val="2"/>
      </rPr>
      <t>rd</t>
    </r>
    <r>
      <rPr>
        <sz val="9"/>
        <rFont val="Arial"/>
        <family val="2"/>
      </rPr>
      <t xml:space="preserve"> filing. </t>
    </r>
    <r>
      <rPr>
        <i/>
        <sz val="9"/>
        <rFont val="Arial"/>
        <family val="2"/>
      </rPr>
      <t xml:space="preserve">LUMA Interim Costs </t>
    </r>
    <r>
      <rPr>
        <sz val="9"/>
        <rFont val="Arial"/>
        <family val="2"/>
      </rPr>
      <t xml:space="preserve">are LUMA’s costs associated with supporting the Title III process. In years past these have been approved as part of the </t>
    </r>
    <r>
      <rPr>
        <i/>
        <sz val="9"/>
        <rFont val="Arial"/>
        <family val="2"/>
      </rPr>
      <t>PREPA Restructuring &amp; Title III</t>
    </r>
    <r>
      <rPr>
        <sz val="9"/>
        <rFont val="Arial"/>
        <family val="2"/>
      </rPr>
      <t xml:space="preserve"> line. For the July 3</t>
    </r>
    <r>
      <rPr>
        <vertAlign val="superscript"/>
        <sz val="7"/>
        <rFont val="Arial"/>
        <family val="2"/>
      </rPr>
      <t>rd</t>
    </r>
    <r>
      <rPr>
        <sz val="9"/>
        <rFont val="Arial"/>
        <family val="2"/>
      </rPr>
      <t xml:space="preserve"> filing, these were inadvertently missed. </t>
    </r>
  </si>
  <si>
    <r>
      <t>7</t>
    </r>
    <r>
      <rPr>
        <sz val="9"/>
        <rFont val="Arial"/>
        <family val="2"/>
      </rPr>
      <t> </t>
    </r>
  </si>
  <si>
    <t>Other Income </t>
  </si>
  <si>
    <t>$27,903,135 </t>
  </si>
  <si>
    <r>
      <t xml:space="preserve">Inadvertent error in July 3rd filing. </t>
    </r>
    <r>
      <rPr>
        <i/>
        <sz val="9"/>
        <rFont val="Arial"/>
        <family val="2"/>
      </rPr>
      <t>Other Income</t>
    </r>
    <r>
      <rPr>
        <sz val="9"/>
        <rFont val="Arial"/>
        <family val="2"/>
      </rPr>
      <t xml:space="preserve"> has been standardized to the number used in the Energy Bureau’s July 31</t>
    </r>
    <r>
      <rPr>
        <vertAlign val="superscript"/>
        <sz val="7"/>
        <rFont val="Arial"/>
        <family val="2"/>
      </rPr>
      <t>st</t>
    </r>
    <r>
      <rPr>
        <sz val="9"/>
        <rFont val="Arial"/>
        <family val="2"/>
      </rPr>
      <t xml:space="preserve"> Provisional Rate Order.  </t>
    </r>
  </si>
  <si>
    <t>$30,646,002 </t>
  </si>
  <si>
    <t>Inadvertent error in July 3rd filing. This number is based on the FY2026 forecast, inflated by 3.48%. </t>
  </si>
  <si>
    <t>$34,010,047 </t>
  </si>
  <si>
    <t>Inadvertent error in July 3rd filing. This number is based on the FY2027 forecast, inflated by 3.48%. </t>
  </si>
  <si>
    <r>
      <t>C-2 Constrained</t>
    </r>
    <r>
      <rPr>
        <sz val="9"/>
        <rFont val="Arial"/>
        <family val="2"/>
      </rPr>
      <t> </t>
    </r>
  </si>
  <si>
    <r>
      <t>60</t>
    </r>
    <r>
      <rPr>
        <sz val="9"/>
        <rFont val="Arial"/>
        <family val="2"/>
      </rPr>
      <t> </t>
    </r>
  </si>
  <si>
    <t>FY2027 </t>
  </si>
  <si>
    <t>Non Federally Funded Capital </t>
  </si>
  <si>
    <t>Inadvertent error in the Constrained Budget for PBUT4.  </t>
  </si>
  <si>
    <t>D-1 Constrained, cell M47 </t>
  </si>
  <si>
    <r>
      <t xml:space="preserve">See PC-of-LUMA-TRS-6 </t>
    </r>
    <r>
      <rPr>
        <sz val="9"/>
        <rFont val="Arial"/>
        <family val="2"/>
      </rPr>
      <t>for details. </t>
    </r>
  </si>
  <si>
    <r>
      <t xml:space="preserve">Exhibit 2.04, tab </t>
    </r>
    <r>
      <rPr>
        <i/>
        <sz val="9"/>
        <rFont val="Arial"/>
        <family val="2"/>
      </rPr>
      <t xml:space="preserve">5.4 – Imp Prog Summary, </t>
    </r>
    <r>
      <rPr>
        <sz val="9"/>
        <rFont val="Arial"/>
        <family val="2"/>
      </rPr>
      <t>cell N23 </t>
    </r>
  </si>
  <si>
    <t>FY2028 </t>
  </si>
  <si>
    <t>Inadvertent error in the Constrained Budget for PBUT4. </t>
  </si>
  <si>
    <t>D-1 Constrained, cell Q47 </t>
  </si>
  <si>
    <r>
      <t xml:space="preserve">Exhibit 2.04, tab </t>
    </r>
    <r>
      <rPr>
        <i/>
        <sz val="9"/>
        <rFont val="Arial"/>
        <family val="2"/>
      </rPr>
      <t xml:space="preserve">5.4 – Imp Prog Summary, </t>
    </r>
    <r>
      <rPr>
        <sz val="9"/>
        <rFont val="Arial"/>
        <family val="2"/>
      </rPr>
      <t>cell T23 </t>
    </r>
  </si>
  <si>
    <t>C-2 Optimal </t>
  </si>
  <si>
    <t>35 </t>
  </si>
  <si>
    <t>FY2026 </t>
  </si>
  <si>
    <t>Professional &amp; Technical Services </t>
  </si>
  <si>
    <r>
      <t>Inadvertent error in July 3</t>
    </r>
    <r>
      <rPr>
        <vertAlign val="superscript"/>
        <sz val="7"/>
        <rFont val="Arial"/>
        <family val="2"/>
      </rPr>
      <t>rd</t>
    </r>
    <r>
      <rPr>
        <sz val="9"/>
        <rFont val="Arial"/>
        <family val="2"/>
      </rPr>
      <t xml:space="preserve"> filing.  </t>
    </r>
  </si>
  <si>
    <r>
      <t xml:space="preserve">Exhibit 2.03, tab </t>
    </r>
    <r>
      <rPr>
        <i/>
        <sz val="9"/>
        <rFont val="Arial"/>
        <family val="2"/>
      </rPr>
      <t xml:space="preserve">5.2.1 – Support Services Detailed, </t>
    </r>
    <r>
      <rPr>
        <sz val="9"/>
        <rFont val="Arial"/>
        <family val="2"/>
      </rPr>
      <t>cell O58 </t>
    </r>
  </si>
  <si>
    <t>See PC-of-LUMA-ACCTPAY-7 for details.  </t>
  </si>
  <si>
    <t>C-2 Constrained </t>
  </si>
  <si>
    <r>
      <t xml:space="preserve">Exhibit 2.04, tab </t>
    </r>
    <r>
      <rPr>
        <i/>
        <sz val="9"/>
        <rFont val="Arial"/>
        <family val="2"/>
      </rPr>
      <t xml:space="preserve">5.2.1 – Support Services Detailed, </t>
    </r>
    <r>
      <rPr>
        <sz val="9"/>
        <rFont val="Arial"/>
        <family val="2"/>
      </rPr>
      <t>cell O58 </t>
    </r>
  </si>
  <si>
    <t>See PC-of-LUMA-ACCTPAY-7 for details. </t>
  </si>
  <si>
    <r>
      <t>Table 2-4. LUMA’s Updates to Revenue Requirement – Update #2</t>
    </r>
    <r>
      <rPr>
        <sz val="9"/>
        <rFont val="Arial"/>
        <family val="2"/>
      </rPr>
      <t> </t>
    </r>
  </si>
  <si>
    <t>60 </t>
  </si>
  <si>
    <t>Inadvertent error in the Constrained Budget for PBOP5 </t>
  </si>
  <si>
    <t>D-1 Constrained, cell M65 </t>
  </si>
  <si>
    <r>
      <t xml:space="preserve">Exhibit 2.04, tab </t>
    </r>
    <r>
      <rPr>
        <i/>
        <sz val="9"/>
        <rFont val="Arial"/>
        <family val="2"/>
      </rPr>
      <t xml:space="preserve">5.4 – Imp Prog Summary, </t>
    </r>
    <r>
      <rPr>
        <sz val="9"/>
        <rFont val="Arial"/>
        <family val="2"/>
      </rPr>
      <t>cell N44 </t>
    </r>
  </si>
  <si>
    <t>D-1 Constrained, cell Q65 </t>
  </si>
  <si>
    <r>
      <t xml:space="preserve">Exhibit 2.04, tab </t>
    </r>
    <r>
      <rPr>
        <i/>
        <sz val="9"/>
        <rFont val="Arial"/>
        <family val="2"/>
      </rPr>
      <t xml:space="preserve">5.4 – Imp Prog Summary, </t>
    </r>
    <r>
      <rPr>
        <sz val="9"/>
        <rFont val="Arial"/>
        <family val="2"/>
      </rPr>
      <t>cell T44 </t>
    </r>
  </si>
  <si>
    <t>Inadvertent error in the Constrained Budget for PBIT2 </t>
  </si>
  <si>
    <t>D-1 Constrained, cell M86 </t>
  </si>
  <si>
    <r>
      <t xml:space="preserve">Exhibit 2.04, tab </t>
    </r>
    <r>
      <rPr>
        <i/>
        <sz val="9"/>
        <rFont val="Arial"/>
        <family val="2"/>
      </rPr>
      <t xml:space="preserve">5.4 – Imp Prog Summary, </t>
    </r>
    <r>
      <rPr>
        <sz val="9"/>
        <rFont val="Arial"/>
        <family val="2"/>
      </rPr>
      <t>cell N66 </t>
    </r>
  </si>
  <si>
    <t>D-1 Constrained, cell Q86 </t>
  </si>
  <si>
    <r>
      <t xml:space="preserve">Exhibit 2.04, tab </t>
    </r>
    <r>
      <rPr>
        <i/>
        <sz val="9"/>
        <rFont val="Arial"/>
        <family val="2"/>
      </rPr>
      <t xml:space="preserve">5.4 – Imp Prog Summary, </t>
    </r>
    <r>
      <rPr>
        <sz val="9"/>
        <rFont val="Arial"/>
        <family val="2"/>
      </rPr>
      <t>cell T66 </t>
    </r>
  </si>
  <si>
    <t>30 </t>
  </si>
  <si>
    <t>IT Service Agreements </t>
  </si>
  <si>
    <t>Inadvertent error in the Constrained  Budget for FY2027 (Internal Audit) </t>
  </si>
  <si>
    <r>
      <t xml:space="preserve">Exhibit 2.04, tab </t>
    </r>
    <r>
      <rPr>
        <i/>
        <sz val="9"/>
        <rFont val="Arial"/>
        <family val="2"/>
      </rPr>
      <t xml:space="preserve">5.2.1 – Support Services Detailed, </t>
    </r>
    <r>
      <rPr>
        <sz val="9"/>
        <rFont val="Arial"/>
        <family val="2"/>
      </rPr>
      <t>cell Y41 </t>
    </r>
  </si>
  <si>
    <t> IT Service Agreements </t>
  </si>
  <si>
    <t>Inadvertent error in the Constrained  Budget for FY2028 (Internal Audit) </t>
  </si>
  <si>
    <r>
      <t xml:space="preserve">Exhibit 2.04, tab </t>
    </r>
    <r>
      <rPr>
        <i/>
        <sz val="9"/>
        <rFont val="Arial"/>
        <family val="2"/>
      </rPr>
      <t xml:space="preserve">5.2.1 – Support Services Detailed, </t>
    </r>
    <r>
      <rPr>
        <sz val="9"/>
        <rFont val="Arial"/>
        <family val="2"/>
      </rPr>
      <t>cell AQ41 </t>
    </r>
  </si>
  <si>
    <r>
      <t>Inadvertent error in July 3</t>
    </r>
    <r>
      <rPr>
        <vertAlign val="superscript"/>
        <sz val="7"/>
        <rFont val="Arial"/>
        <family val="2"/>
      </rPr>
      <t>rd</t>
    </r>
    <r>
      <rPr>
        <sz val="9"/>
        <rFont val="Arial"/>
        <family val="2"/>
      </rPr>
      <t xml:space="preserve"> filing (Communications)  </t>
    </r>
  </si>
  <si>
    <r>
      <t xml:space="preserve">Exhibit 2.03 &amp; 2.04, tab </t>
    </r>
    <r>
      <rPr>
        <i/>
        <sz val="9"/>
        <rFont val="Arial"/>
        <family val="2"/>
      </rPr>
      <t xml:space="preserve">5.2.1 – Support Services Detailed, </t>
    </r>
    <r>
      <rPr>
        <sz val="9"/>
        <rFont val="Arial"/>
        <family val="2"/>
      </rPr>
      <t>cell O58 </t>
    </r>
  </si>
  <si>
    <r>
      <t xml:space="preserve">Exhibit 2.03 &amp; 2.04, tab </t>
    </r>
    <r>
      <rPr>
        <i/>
        <sz val="9"/>
        <rFont val="Arial"/>
        <family val="2"/>
      </rPr>
      <t xml:space="preserve">5.2.1 – Support Services Detailed, </t>
    </r>
    <r>
      <rPr>
        <sz val="9"/>
        <rFont val="Arial"/>
        <family val="2"/>
      </rPr>
      <t>cell AA58 </t>
    </r>
  </si>
  <si>
    <r>
      <t xml:space="preserve">Exhibit 2.03 &amp; 2.04, tab </t>
    </r>
    <r>
      <rPr>
        <i/>
        <sz val="9"/>
        <rFont val="Arial"/>
        <family val="2"/>
      </rPr>
      <t xml:space="preserve">5.2.1 – Support Services Detailed, </t>
    </r>
    <r>
      <rPr>
        <sz val="9"/>
        <rFont val="Arial"/>
        <family val="2"/>
      </rPr>
      <t>cell AS58 </t>
    </r>
  </si>
  <si>
    <t>Original Budget</t>
  </si>
  <si>
    <t>Adjusted Budget</t>
  </si>
  <si>
    <t>Budgetary Line Item</t>
  </si>
  <si>
    <t>Plant</t>
  </si>
  <si>
    <t>Project</t>
  </si>
  <si>
    <t>Schedule Reference</t>
  </si>
  <si>
    <t>Cells Y67, BK67 &amp; CW67 in the A-2 tab</t>
  </si>
  <si>
    <t>Federal Funding Cost Share</t>
  </si>
  <si>
    <t>Cells Y81, BK81 &amp; CW81 in the A-2 tab</t>
  </si>
  <si>
    <t>Maintenance Projects (Non-Fed Fund)</t>
  </si>
  <si>
    <t>Cells I54, N54 &amp; S54 in the D-1 &amp; D-2-Constrained tabs</t>
  </si>
  <si>
    <t>Cells I149, N149 &amp; S149 in the D-1 &amp; D-2-Constrained tabs</t>
  </si>
  <si>
    <t>Cells I163, N163 &amp; S163 in the D-1 &amp; D-2-Constrained tabs</t>
  </si>
  <si>
    <t>Cells I164, N164 &amp; S165 in the D-1 &amp; D-2-Constrained tabs</t>
  </si>
  <si>
    <t>Cells I165, N165 &amp; S165 in the D-1 &amp; D-2-Constrained tabs</t>
  </si>
  <si>
    <t>Cells I168, N168 &amp; S168 in the D-1 &amp; D-2-Constrained tabs</t>
  </si>
  <si>
    <t>Cells I188, N188 &amp; S188 in the D-1 &amp; D-2-Constrained tabs</t>
  </si>
  <si>
    <t>Cells I189, N189 &amp; S189 in the D-1 &amp; D-2-Constrained tabs</t>
  </si>
  <si>
    <t>Cells I213, N213 &amp; S213 in the D-1 &amp; D-2-Constrained tabs</t>
  </si>
  <si>
    <t>Cells I215, N215 &amp; S215 in the D-1 &amp; D-2-Constrained tabs</t>
  </si>
  <si>
    <t>Cells I222, N222 &amp; S222 in the D-1 &amp; D-2-Constrained tabs</t>
  </si>
  <si>
    <t>Cells I224, N224 &amp; S224 in the D-1 &amp; D-2-Constrained tabs</t>
  </si>
  <si>
    <t>Cells Y81, BK81 &amp; CW81 in the "A-1" tab</t>
  </si>
  <si>
    <t>Cells I54, N54 &amp; S54 in the D-1 &amp; D-2-Optimal tabs</t>
  </si>
  <si>
    <t>Cells I149, N149 &amp; S149 in the D-1 &amp; D-2-Optimal tabs</t>
  </si>
  <si>
    <t>Cells I163, N163 &amp; S163 in the D-1 &amp; D-2-Optimal tabs</t>
  </si>
  <si>
    <t>Cells I164, N164 &amp; S165 in the D-1 &amp; D-2-Optimal tabs</t>
  </si>
  <si>
    <t>Cells I165, N165 &amp; S165 in the D-1 &amp; D-2-Optimal tabs</t>
  </si>
  <si>
    <t>Cells I168, N168 &amp; S168 in the D-1 &amp; D-2-Optimal tabs</t>
  </si>
  <si>
    <t>Cells I188, N188 &amp; S188 in the D-1 &amp; D-2-Optimal tabs</t>
  </si>
  <si>
    <t>Cells I189, N189 &amp; S189 in the D-1 &amp; D-2-Optimal tabs</t>
  </si>
  <si>
    <t>Cells I213, N213 &amp; S213 in the D-1 &amp; D-2-Optimal tabs</t>
  </si>
  <si>
    <t>Cells I215, N215 &amp; S215 in the D-1 &amp; D-2-Optimal tabs</t>
  </si>
  <si>
    <t>Cells I222, N222 &amp; S222 in the D-1 &amp; D-2-Optimal tabs</t>
  </si>
  <si>
    <t>Cells I224, N224 &amp; S224 in the D-1 &amp; D-2-Optimal tabs</t>
  </si>
  <si>
    <t>Genera Reserve - formula error</t>
  </si>
  <si>
    <t>Genera - Reduction in Maintanance Projects</t>
  </si>
  <si>
    <t>Genera - Reduction in Federal Cost Share Match</t>
  </si>
  <si>
    <t>PREPA Cost Share Match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</si>
</sst>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Red]\-&quot;$&quot;#,##0"/>
    <numFmt numFmtId="165" formatCode="&quot;$&quot;#,##0.00;[Red]\-&quot;$&quot;#,##0.00"/>
    <numFmt numFmtId="166" formatCode="_-&quot;$&quot;* #,##0.00_-;\-&quot;$&quot;* #,##0.00_-;_-&quot;$&quot;* &quot;-&quot;??_-;_-@_-"/>
    <numFmt numFmtId="167" formatCode="_-* #,##0.00_-;\-* #,##0.00_-;_-* &quot;-&quot;??_-;_-@_-"/>
    <numFmt numFmtId="168" formatCode="_(* #,##0_);_(* \(#,##0\);_(* &quot;-&quot;??_);_(@_)"/>
    <numFmt numFmtId="169" formatCode="_([$$-409]* #,##0_);_([$$-409]* \(#,##0\);_([$$-409]* &quot;-&quot;??_);_(@_)"/>
    <numFmt numFmtId="170" formatCode="0.000_)"/>
    <numFmt numFmtId="171" formatCode="_([$$-409]* #,##0.00_);_([$$-409]* \(#,##0.00\);_([$$-409]* &quot;-&quot;??_);_(@_)"/>
    <numFmt numFmtId="172" formatCode="_(&quot;$&quot;* #,##0_);_(&quot;$&quot;* \(#,##0\);_(&quot;$&quot;* &quot;-&quot;??_);_(@_)"/>
    <numFmt numFmtId="173" formatCode="_(&quot;$&quot;* #,##0.0_);_(&quot;$&quot;* \(#,##0.0\);_(&quot;$&quot;* &quot;-&quot;??_);_(@_)"/>
    <numFmt numFmtId="174" formatCode="_(* #,##0.0_);_(* \(#,##0.0\);_(* &quot;-&quot;??_);_(@_)"/>
    <numFmt numFmtId="175" formatCode="_(* #,###,_);_(* &quot;-&quot;??_);_(\ \ \ \ \ \ \ \ \ \ \ \ \ \ \ \ \ \ \ &quot;-&quot;"/>
    <numFmt numFmtId="176" formatCode="&quot;$&quot;#,##0.0,,"/>
    <numFmt numFmtId="177" formatCode="&quot;$&quot;#,##0.00"/>
    <numFmt numFmtId="178" formatCode="&quot;$&quot;#,##0.00000_);\(&quot;$&quot;#,##0.00000\)"/>
    <numFmt numFmtId="179" formatCode="&quot;$&quot;#,##0.0000_);[Red]\(&quot;$&quot;#,##0.0000\)"/>
    <numFmt numFmtId="180" formatCode="&quot;$&quot;#,##0.0000_);\(&quot;$&quot;#,##0.0000\)"/>
    <numFmt numFmtId="181" formatCode="&quot;$&quot;#,##0.00000_);[Red]\(&quot;$&quot;#,##0.00000\)"/>
    <numFmt numFmtId="182" formatCode="_(* #,##0_);_(* \(#,##0\);_(* &quot; - &quot;_);_(@_)"/>
    <numFmt numFmtId="183" formatCode="[$-F800]dddd\,\ mmmm\ dd\,\ yyyy"/>
    <numFmt numFmtId="184" formatCode="_-&quot;$&quot;* #,##0.0_-;\-&quot;$&quot;* #,##0.0_-;_-&quot;$&quot;* &quot;-&quot;??_-;_-@_-"/>
    <numFmt numFmtId="185" formatCode="_-&quot;$&quot;* #,##0_-;\-&quot;$&quot;* #,##0_-;_-&quot;$&quot;* &quot;-&quot;??_-;_-@_-"/>
    <numFmt numFmtId="186" formatCode="0.000%"/>
    <numFmt numFmtId="187" formatCode="&quot;$&quot;#,###"/>
    <numFmt numFmtId="188" formatCode="&quot;$&quot;#,##0.000000_);[Red]\(&quot;$&quot;#,##0.000000\)"/>
    <numFmt numFmtId="189" formatCode="0.0%"/>
    <numFmt numFmtId="190" formatCode="&quot;$&quot;#,##0"/>
    <numFmt numFmtId="191" formatCode="_(&quot;$&quot;* #,##0.0_);_(&quot;$&quot;* \(#,##0.0\);_(&quot;$&quot;* &quot;-&quot;?_);_(@_)"/>
    <numFmt numFmtId="192" formatCode="#,##0,"/>
    <numFmt numFmtId="193" formatCode="0.0"/>
    <numFmt numFmtId="194" formatCode="0.00000"/>
    <numFmt numFmtId="195" formatCode="&quot;$&quot;#,##0.00000"/>
    <numFmt numFmtId="196" formatCode="_(* #,##0.000000_);_(* \(#,##0.000000\);_(* &quot;-&quot;_);_(@_)"/>
    <numFmt numFmtId="197" formatCode="00#"/>
    <numFmt numFmtId="198" formatCode="&quot;$&quot;#,##0.0_);[Red]\(&quot;$&quot;#,##0.0\)"/>
  </numFmts>
  <fonts count="150">
    <font>
      <sz val="11"/>
      <color theme="1"/>
      <name val="Calibri"/>
      <family val="2"/>
      <scheme val="minor"/>
    </font>
    <font>
      <sz val="11"/>
      <color theme="1"/>
      <name val="Calibri"/>
      <family val="2"/>
      <scheme val="minor"/>
    </font>
    <font>
      <b/>
      <sz val="11"/>
      <color theme="1"/>
      <name val="Arial"/>
      <family val="2"/>
    </font>
    <font>
      <sz val="11"/>
      <color theme="1"/>
      <name val="Arial"/>
      <family val="2"/>
    </font>
    <font>
      <b/>
      <sz val="12"/>
      <color theme="1"/>
      <name val="Arial"/>
      <family val="2"/>
    </font>
    <font>
      <b/>
      <sz val="9"/>
      <color theme="1"/>
      <name val="Arial"/>
      <family val="2"/>
    </font>
    <font>
      <sz val="9"/>
      <color theme="1"/>
      <name val="Arial"/>
      <family val="2"/>
    </font>
    <font>
      <i/>
      <sz val="11"/>
      <color theme="1"/>
      <name val="Calibri"/>
      <family val="2"/>
      <scheme val="minor"/>
    </font>
    <font>
      <sz val="10"/>
      <color indexed="8"/>
      <name val="Arial"/>
      <family val="2"/>
    </font>
    <font>
      <sz val="10"/>
      <color theme="1"/>
      <name val="Arial (body)"/>
      <family val="2"/>
    </font>
    <font>
      <sz val="11"/>
      <name val="Calibri"/>
      <family val="2"/>
      <scheme val="minor"/>
    </font>
    <font>
      <sz val="9"/>
      <name val="Arial"/>
      <family val="2"/>
    </font>
    <font>
      <i/>
      <sz val="11"/>
      <color theme="1"/>
      <name val="Arial"/>
      <family val="2"/>
    </font>
    <font>
      <i/>
      <sz val="11"/>
      <name val="Arial"/>
      <family val="2"/>
    </font>
    <font>
      <i/>
      <u/>
      <sz val="11"/>
      <color theme="1"/>
      <name val="Arial"/>
      <family val="2"/>
    </font>
    <font>
      <b/>
      <sz val="11"/>
      <name val="Arial"/>
      <family val="2"/>
    </font>
    <font>
      <sz val="9"/>
      <name val="Calibri"/>
      <family val="2"/>
      <scheme val="minor"/>
    </font>
    <font>
      <sz val="10"/>
      <color theme="1"/>
      <name val="Arial"/>
      <family val="2"/>
    </font>
    <font>
      <b/>
      <sz val="11"/>
      <color theme="1"/>
      <name val="Calibri"/>
      <family val="2"/>
      <scheme val="minor"/>
    </font>
    <font>
      <sz val="10"/>
      <name val="Arial"/>
      <family val="2"/>
    </font>
    <font>
      <b/>
      <sz val="11"/>
      <color rgb="FF000000"/>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0"/>
      <name val="Arial (body)"/>
      <family val="2"/>
    </font>
    <font>
      <b/>
      <sz val="15"/>
      <color theme="3"/>
      <name val="Arial (body)"/>
      <family val="2"/>
    </font>
    <font>
      <b/>
      <sz val="13"/>
      <color theme="3"/>
      <name val="Arial (body)"/>
      <family val="2"/>
    </font>
    <font>
      <b/>
      <sz val="11"/>
      <color theme="3"/>
      <name val="Arial (body)"/>
      <family val="2"/>
    </font>
    <font>
      <sz val="10"/>
      <color rgb="FF006100"/>
      <name val="Arial (body)"/>
      <family val="2"/>
    </font>
    <font>
      <sz val="10"/>
      <color rgb="FF9C0006"/>
      <name val="Arial (body)"/>
      <family val="2"/>
    </font>
    <font>
      <sz val="10"/>
      <color rgb="FF9C5700"/>
      <name val="Arial (body)"/>
      <family val="2"/>
    </font>
    <font>
      <sz val="10"/>
      <color rgb="FF3F3F76"/>
      <name val="Arial (body)"/>
      <family val="2"/>
    </font>
    <font>
      <b/>
      <sz val="10"/>
      <color rgb="FF3F3F3F"/>
      <name val="Arial (body)"/>
      <family val="2"/>
    </font>
    <font>
      <b/>
      <sz val="10"/>
      <color rgb="FFFA7D00"/>
      <name val="Arial (body)"/>
      <family val="2"/>
    </font>
    <font>
      <sz val="10"/>
      <color rgb="FFFA7D00"/>
      <name val="Arial (body)"/>
      <family val="2"/>
    </font>
    <font>
      <b/>
      <sz val="10"/>
      <color theme="0"/>
      <name val="Arial (body)"/>
      <family val="2"/>
    </font>
    <font>
      <sz val="10"/>
      <color rgb="FFFF0000"/>
      <name val="Arial (body)"/>
      <family val="2"/>
    </font>
    <font>
      <i/>
      <sz val="10"/>
      <color rgb="FF7F7F7F"/>
      <name val="Arial (body)"/>
      <family val="2"/>
    </font>
    <font>
      <b/>
      <sz val="10"/>
      <color theme="1"/>
      <name val="Arial (body)"/>
      <family val="2"/>
    </font>
    <font>
      <u/>
      <sz val="11"/>
      <color theme="10"/>
      <name val="Calibri"/>
      <family val="2"/>
      <scheme val="minor"/>
    </font>
    <font>
      <u/>
      <sz val="10"/>
      <color theme="10"/>
      <name val="Arial"/>
      <family val="2"/>
    </font>
    <font>
      <sz val="11"/>
      <color theme="1"/>
      <name val="Calibri"/>
      <family val="2"/>
    </font>
    <font>
      <sz val="12"/>
      <name val="Times New Roman"/>
      <family val="1"/>
    </font>
    <font>
      <sz val="11"/>
      <color indexed="8"/>
      <name val="Calibri"/>
      <family val="2"/>
      <scheme val="minor"/>
    </font>
    <font>
      <sz val="9"/>
      <color indexed="81"/>
      <name val="Tahoma"/>
      <family val="2"/>
    </font>
    <font>
      <b/>
      <sz val="9"/>
      <color indexed="81"/>
      <name val="Tahoma"/>
      <family val="2"/>
    </font>
    <font>
      <b/>
      <sz val="18"/>
      <color theme="1"/>
      <name val="Calibri"/>
      <family val="2"/>
      <scheme val="minor"/>
    </font>
    <font>
      <sz val="32"/>
      <color theme="1"/>
      <name val="Calibri"/>
      <family val="2"/>
      <scheme val="minor"/>
    </font>
    <font>
      <sz val="24"/>
      <color theme="1"/>
      <name val="Calibri"/>
      <family val="2"/>
      <scheme val="minor"/>
    </font>
    <font>
      <sz val="20"/>
      <color theme="1"/>
      <name val="Calibri"/>
      <family val="2"/>
      <scheme val="minor"/>
    </font>
    <font>
      <b/>
      <sz val="15"/>
      <color theme="1"/>
      <name val="Calibri"/>
      <family val="2"/>
      <scheme val="minor"/>
    </font>
    <font>
      <sz val="8"/>
      <color theme="1"/>
      <name val="Calibri"/>
      <family val="2"/>
      <scheme val="minor"/>
    </font>
    <font>
      <sz val="10"/>
      <color theme="1"/>
      <name val="Calibri"/>
      <family val="2"/>
      <scheme val="minor"/>
    </font>
    <font>
      <b/>
      <sz val="13"/>
      <color theme="1"/>
      <name val="Calibri"/>
      <family val="2"/>
      <scheme val="minor"/>
    </font>
    <font>
      <b/>
      <sz val="13"/>
      <color rgb="FF000000"/>
      <name val="Calibri"/>
      <family val="2"/>
      <scheme val="minor"/>
    </font>
    <font>
      <sz val="8"/>
      <name val="Calibri"/>
      <family val="2"/>
      <scheme val="minor"/>
    </font>
    <font>
      <b/>
      <sz val="11"/>
      <name val="Calibri"/>
      <family val="2"/>
      <scheme val="minor"/>
    </font>
    <font>
      <sz val="10"/>
      <color theme="1"/>
      <name val="Times New Roman"/>
      <family val="1"/>
    </font>
    <font>
      <sz val="12"/>
      <name val="Helv"/>
    </font>
    <font>
      <b/>
      <i/>
      <sz val="11"/>
      <color theme="1"/>
      <name val="Calibri"/>
      <family val="2"/>
      <scheme val="minor"/>
    </font>
    <font>
      <sz val="10"/>
      <name val="Times New Roman"/>
      <family val="1"/>
    </font>
    <font>
      <b/>
      <sz val="10"/>
      <color rgb="FF000000"/>
      <name val="Times New Roman"/>
      <family val="1"/>
    </font>
    <font>
      <sz val="10"/>
      <color rgb="FF000000"/>
      <name val="Times New Roman"/>
      <family val="1"/>
    </font>
    <font>
      <u/>
      <sz val="10"/>
      <color rgb="FF000000"/>
      <name val="Times New Roman"/>
      <family val="1"/>
    </font>
    <font>
      <i/>
      <sz val="8"/>
      <color theme="1"/>
      <name val="Arial"/>
      <family val="2"/>
    </font>
    <font>
      <i/>
      <sz val="9"/>
      <color rgb="FF000000"/>
      <name val="Arial"/>
      <family val="2"/>
    </font>
    <font>
      <sz val="10"/>
      <color rgb="FF000000"/>
      <name val="Arial"/>
      <family val="2"/>
    </font>
    <font>
      <i/>
      <sz val="10"/>
      <color rgb="FF0070C0"/>
      <name val="Arial"/>
      <family val="2"/>
    </font>
    <font>
      <b/>
      <sz val="10"/>
      <color rgb="FF000000"/>
      <name val="Arial"/>
      <family val="2"/>
    </font>
    <font>
      <sz val="10"/>
      <color rgb="FF008000"/>
      <name val="Arial"/>
      <family val="2"/>
    </font>
    <font>
      <b/>
      <sz val="10"/>
      <color theme="1"/>
      <name val="Arial"/>
      <family val="2"/>
    </font>
    <font>
      <sz val="10"/>
      <color rgb="FF00B050"/>
      <name val="Arial"/>
      <family val="2"/>
    </font>
    <font>
      <sz val="10"/>
      <color rgb="FF0070C0"/>
      <name val="Times New Roman"/>
      <family val="1"/>
    </font>
    <font>
      <i/>
      <sz val="10"/>
      <color rgb="FF000000"/>
      <name val="Times New Roman"/>
      <family val="1"/>
    </font>
    <font>
      <sz val="10"/>
      <name val="Bookman Old Style"/>
      <family val="1"/>
    </font>
    <font>
      <sz val="12"/>
      <color theme="1"/>
      <name val="Arial"/>
      <family val="2"/>
    </font>
    <font>
      <sz val="28"/>
      <color theme="1"/>
      <name val="Calibri"/>
      <family val="2"/>
      <scheme val="minor"/>
    </font>
    <font>
      <b/>
      <sz val="12"/>
      <color theme="1"/>
      <name val="Calibri"/>
      <family val="2"/>
      <scheme val="minor"/>
    </font>
    <font>
      <b/>
      <sz val="11"/>
      <color theme="1"/>
      <name val="Calibri"/>
      <family val="2"/>
    </font>
    <font>
      <b/>
      <sz val="18"/>
      <color theme="1"/>
      <name val="Arial"/>
      <family val="2"/>
    </font>
    <font>
      <vertAlign val="superscript"/>
      <sz val="11"/>
      <color theme="1"/>
      <name val="Calibri"/>
      <family val="2"/>
      <scheme val="minor"/>
    </font>
    <font>
      <vertAlign val="superscript"/>
      <sz val="10"/>
      <color theme="1"/>
      <name val="Calibri"/>
      <family val="2"/>
      <scheme val="minor"/>
    </font>
    <font>
      <sz val="14"/>
      <color theme="1"/>
      <name val="Calibri"/>
      <family val="2"/>
      <scheme val="minor"/>
    </font>
    <font>
      <u/>
      <sz val="10"/>
      <color theme="10"/>
      <name val="Arial (body)"/>
      <family val="2"/>
    </font>
    <font>
      <sz val="11"/>
      <name val="Aptos Narrow"/>
      <family val="2"/>
    </font>
    <font>
      <b/>
      <vertAlign val="superscript"/>
      <sz val="11"/>
      <color theme="1"/>
      <name val="Calibri"/>
      <family val="2"/>
      <scheme val="minor"/>
    </font>
    <font>
      <b/>
      <i/>
      <sz val="14"/>
      <name val="Arial"/>
      <family val="2"/>
    </font>
    <font>
      <b/>
      <sz val="14"/>
      <color theme="1"/>
      <name val="Arial"/>
      <family val="2"/>
    </font>
    <font>
      <sz val="11"/>
      <color indexed="8"/>
      <name val="Arial"/>
      <family val="2"/>
    </font>
    <font>
      <b/>
      <sz val="11"/>
      <color indexed="8"/>
      <name val="Arial"/>
      <family val="2"/>
    </font>
    <font>
      <b/>
      <sz val="11"/>
      <color rgb="FF000000"/>
      <name val="Arial"/>
      <family val="2"/>
    </font>
    <font>
      <i/>
      <sz val="8"/>
      <color rgb="FF000000"/>
      <name val="Arial"/>
      <family val="2"/>
    </font>
    <font>
      <sz val="8"/>
      <color theme="1"/>
      <name val="Arial"/>
      <family val="2"/>
    </font>
    <font>
      <sz val="11"/>
      <name val="Times New Roman"/>
      <family val="1"/>
    </font>
    <font>
      <sz val="11"/>
      <color rgb="FFC00000"/>
      <name val="Calibri"/>
      <family val="2"/>
      <scheme val="minor"/>
    </font>
    <font>
      <b/>
      <u val="singleAccounting"/>
      <sz val="11"/>
      <color theme="1"/>
      <name val="Calibri"/>
      <family val="2"/>
      <scheme val="minor"/>
    </font>
    <font>
      <u val="singleAccounting"/>
      <sz val="11"/>
      <color theme="1"/>
      <name val="Calibri"/>
      <family val="2"/>
      <scheme val="minor"/>
    </font>
    <font>
      <b/>
      <sz val="11"/>
      <color rgb="FFC00000"/>
      <name val="Calibri"/>
      <family val="2"/>
      <scheme val="minor"/>
    </font>
    <font>
      <b/>
      <sz val="14"/>
      <color theme="1"/>
      <name val="Calibri"/>
      <family val="2"/>
    </font>
    <font>
      <i/>
      <sz val="11"/>
      <color theme="1"/>
      <name val="Calibri"/>
      <family val="2"/>
    </font>
    <font>
      <i/>
      <sz val="10"/>
      <color theme="1"/>
      <name val="Arial"/>
      <family val="2"/>
    </font>
    <font>
      <i/>
      <u val="singleAccounting"/>
      <sz val="10"/>
      <color theme="1"/>
      <name val="Arial"/>
      <family val="2"/>
    </font>
    <font>
      <u val="singleAccounting"/>
      <sz val="10"/>
      <color theme="1"/>
      <name val="Arial"/>
      <family val="2"/>
    </font>
    <font>
      <i/>
      <sz val="11"/>
      <color theme="0"/>
      <name val="Calibri"/>
      <family val="2"/>
      <scheme val="minor"/>
    </font>
    <font>
      <sz val="10"/>
      <color rgb="FF0000FF"/>
      <name val="Arial"/>
      <family val="2"/>
    </font>
    <font>
      <sz val="12"/>
      <color rgb="FF000000"/>
      <name val="Arial"/>
      <family val="2"/>
    </font>
    <font>
      <u val="singleAccounting"/>
      <sz val="10"/>
      <color rgb="FF000000"/>
      <name val="Arial"/>
      <family val="2"/>
    </font>
    <font>
      <sz val="11"/>
      <name val="Calibri"/>
      <family val="2"/>
    </font>
    <font>
      <b/>
      <i/>
      <sz val="11"/>
      <color rgb="FF0000FF"/>
      <name val="Calibri"/>
      <family val="2"/>
    </font>
    <font>
      <i/>
      <sz val="11"/>
      <color rgb="FF0000FF"/>
      <name val="Calibri"/>
      <family val="2"/>
    </font>
    <font>
      <sz val="11"/>
      <color rgb="FF0000FF"/>
      <name val="Calibri"/>
      <family val="2"/>
    </font>
    <font>
      <b/>
      <i/>
      <sz val="11"/>
      <color rgb="FFC00000"/>
      <name val="Calibri"/>
      <family val="2"/>
    </font>
    <font>
      <b/>
      <sz val="11"/>
      <color rgb="FFC00000"/>
      <name val="Calibri"/>
      <family val="2"/>
    </font>
    <font>
      <b/>
      <i/>
      <sz val="11"/>
      <color theme="1"/>
      <name val="Calibri"/>
      <family val="2"/>
    </font>
    <font>
      <i/>
      <sz val="11"/>
      <color rgb="FFC00000"/>
      <name val="Calibri"/>
      <family val="2"/>
    </font>
    <font>
      <sz val="11"/>
      <color theme="0"/>
      <name val="Calibri"/>
      <family val="2"/>
    </font>
    <font>
      <b/>
      <u val="singleAccounting"/>
      <sz val="11"/>
      <name val="Calibri"/>
      <family val="2"/>
    </font>
    <font>
      <b/>
      <u val="singleAccounting"/>
      <sz val="11"/>
      <color theme="0"/>
      <name val="Calibri"/>
      <family val="2"/>
    </font>
    <font>
      <b/>
      <i/>
      <u val="singleAccounting"/>
      <sz val="11"/>
      <color rgb="FFC00000"/>
      <name val="Calibri"/>
      <family val="2"/>
    </font>
    <font>
      <b/>
      <sz val="11"/>
      <color rgb="FF0000FF"/>
      <name val="Calibri"/>
      <family val="2"/>
    </font>
    <font>
      <b/>
      <sz val="11"/>
      <color theme="0"/>
      <name val="Calibri"/>
      <family val="2"/>
    </font>
    <font>
      <b/>
      <sz val="11"/>
      <name val="Calibri"/>
      <family val="2"/>
    </font>
    <font>
      <b/>
      <vertAlign val="superscript"/>
      <sz val="11"/>
      <color theme="1"/>
      <name val="Calibri"/>
      <family val="2"/>
    </font>
    <font>
      <vertAlign val="superscript"/>
      <sz val="11"/>
      <name val="Calibri"/>
      <family val="2"/>
    </font>
    <font>
      <vertAlign val="superscript"/>
      <sz val="11"/>
      <color theme="1"/>
      <name val="Calibri"/>
      <family val="2"/>
    </font>
    <font>
      <u/>
      <sz val="11"/>
      <color theme="1"/>
      <name val="Calibri"/>
      <family val="2"/>
      <scheme val="minor"/>
    </font>
    <font>
      <b/>
      <u/>
      <sz val="11"/>
      <color theme="1"/>
      <name val="Calibri"/>
      <family val="2"/>
      <scheme val="minor"/>
    </font>
    <font>
      <b/>
      <sz val="11"/>
      <color rgb="FFFF0000"/>
      <name val="Calibri"/>
      <family val="2"/>
    </font>
    <font>
      <b/>
      <u/>
      <sz val="9"/>
      <name val="Arial"/>
      <family val="2"/>
    </font>
    <font>
      <b/>
      <sz val="9"/>
      <name val="Arial"/>
    </font>
    <font>
      <sz val="9"/>
      <name val="Arial"/>
    </font>
    <font>
      <b/>
      <sz val="9"/>
      <color rgb="FF000000"/>
      <name val="Arial"/>
    </font>
    <font>
      <sz val="9"/>
      <color rgb="FF000000"/>
      <name val="Arial"/>
    </font>
    <font>
      <b/>
      <sz val="9"/>
      <name val="Arial"/>
      <family val="2"/>
    </font>
    <font>
      <i/>
      <sz val="9"/>
      <name val="Arial"/>
      <family val="2"/>
    </font>
    <font>
      <vertAlign val="superscript"/>
      <sz val="7"/>
      <name val="Arial"/>
      <family val="2"/>
    </font>
    <font>
      <sz val="9.5"/>
      <color rgb="FF000000"/>
      <name val="Arial"/>
      <family val="2"/>
    </font>
    <font>
      <i/>
      <u/>
      <sz val="11"/>
      <color theme="1"/>
      <name val="Calibri"/>
      <family val="2"/>
      <scheme val="minor"/>
    </font>
  </fonts>
  <fills count="67">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rgb="FFFFCCCC"/>
        <bgColor indexed="64"/>
      </patternFill>
    </fill>
    <fill>
      <patternFill patternType="solid">
        <fgColor rgb="FF99CCFF"/>
        <bgColor indexed="64"/>
      </patternFill>
    </fill>
    <fill>
      <patternFill patternType="solid">
        <fgColor rgb="FFCCCCFF"/>
        <bgColor indexed="64"/>
      </patternFill>
    </fill>
    <fill>
      <patternFill patternType="solid">
        <fgColor rgb="FFCC99FF"/>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0"/>
        <bgColor indexed="64"/>
      </patternFill>
    </fill>
    <fill>
      <patternFill patternType="solid">
        <fgColor rgb="FF9999FF"/>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bgColor indexed="64"/>
      </patternFill>
    </fill>
    <fill>
      <patternFill patternType="solid">
        <fgColor theme="6" tint="0.39997558519241921"/>
        <bgColor indexed="64"/>
      </patternFill>
    </fill>
    <fill>
      <patternFill patternType="solid">
        <fgColor rgb="FFFFFF00"/>
        <bgColor rgb="FF000000"/>
      </patternFill>
    </fill>
    <fill>
      <patternFill patternType="solid">
        <fgColor theme="2" tint="-0.249977111117893"/>
        <bgColor indexed="64"/>
      </patternFill>
    </fill>
    <fill>
      <patternFill patternType="solid">
        <fgColor theme="0" tint="-0.249977111117893"/>
        <bgColor indexed="64"/>
      </patternFill>
    </fill>
    <fill>
      <patternFill patternType="solid">
        <fgColor rgb="FFDDEBF7"/>
        <bgColor rgb="FF000000"/>
      </patternFill>
    </fill>
    <fill>
      <patternFill patternType="solid">
        <fgColor rgb="FFD9E1F2"/>
        <bgColor rgb="FF000000"/>
      </patternFill>
    </fill>
    <fill>
      <patternFill patternType="solid">
        <fgColor theme="4" tint="0.79998168889431442"/>
        <bgColor indexed="64"/>
      </patternFill>
    </fill>
    <fill>
      <patternFill patternType="solid">
        <fgColor rgb="FFFFFFCC"/>
        <bgColor indexed="64"/>
      </patternFill>
    </fill>
    <fill>
      <patternFill patternType="solid">
        <fgColor rgb="FF002060"/>
        <bgColor indexed="64"/>
      </patternFill>
    </fill>
    <fill>
      <patternFill patternType="solid">
        <fgColor theme="4"/>
        <bgColor indexed="64"/>
      </patternFill>
    </fill>
    <fill>
      <patternFill patternType="solid">
        <fgColor theme="8"/>
        <bgColor indexed="64"/>
      </patternFill>
    </fill>
    <fill>
      <patternFill patternType="solid">
        <fgColor rgb="FFDBE5F1"/>
        <bgColor indexed="64"/>
      </patternFill>
    </fill>
    <fill>
      <patternFill patternType="solid">
        <fgColor theme="4" tint="0.59999389629810485"/>
        <bgColor indexed="64"/>
      </patternFill>
    </fill>
  </fills>
  <borders count="1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double">
        <color indexed="64"/>
      </right>
      <top style="thin">
        <color indexed="64"/>
      </top>
      <bottom/>
      <diagonal/>
    </border>
    <border>
      <left style="medium">
        <color indexed="64"/>
      </left>
      <right style="double">
        <color indexed="64"/>
      </right>
      <top/>
      <bottom style="thin">
        <color indexed="64"/>
      </bottom>
      <diagonal/>
    </border>
    <border>
      <left style="medium">
        <color indexed="64"/>
      </left>
      <right style="double">
        <color indexed="64"/>
      </right>
      <top/>
      <bottom/>
      <diagonal/>
    </border>
    <border>
      <left style="double">
        <color indexed="64"/>
      </left>
      <right/>
      <top style="thin">
        <color indexed="64"/>
      </top>
      <bottom style="thin">
        <color indexed="64"/>
      </bottom>
      <diagonal/>
    </border>
    <border>
      <left style="double">
        <color indexed="64"/>
      </left>
      <right style="hair">
        <color indexed="64"/>
      </right>
      <top/>
      <bottom style="thin">
        <color indexed="64"/>
      </bottom>
      <diagonal/>
    </border>
    <border>
      <left style="double">
        <color indexed="64"/>
      </left>
      <right style="hair">
        <color indexed="64"/>
      </right>
      <top/>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theme="0"/>
      </left>
      <right style="hair">
        <color theme="0"/>
      </right>
      <top style="medium">
        <color indexed="64"/>
      </top>
      <bottom style="thin">
        <color indexed="64"/>
      </bottom>
      <diagonal/>
    </border>
    <border>
      <left style="hair">
        <color theme="0"/>
      </left>
      <right/>
      <top/>
      <bottom/>
      <diagonal/>
    </border>
    <border>
      <left style="thin">
        <color rgb="FF000000"/>
      </left>
      <right style="thin">
        <color rgb="FF000000"/>
      </right>
      <top style="thin">
        <color rgb="FF000000"/>
      </top>
      <bottom style="thin">
        <color rgb="FF000000"/>
      </bottom>
      <diagonal/>
    </border>
    <border>
      <left style="hair">
        <color indexed="64"/>
      </left>
      <right style="hair">
        <color indexed="64"/>
      </right>
      <top/>
      <bottom/>
      <diagonal/>
    </border>
    <border>
      <left style="thin">
        <color indexed="64"/>
      </left>
      <right style="thin">
        <color indexed="64"/>
      </right>
      <top/>
      <bottom/>
      <diagonal/>
    </border>
    <border>
      <left style="hair">
        <color indexed="64"/>
      </left>
      <right style="medium">
        <color indexed="64"/>
      </right>
      <top/>
      <bottom style="thin">
        <color indexed="64"/>
      </bottom>
      <diagonal/>
    </border>
    <border>
      <left style="double">
        <color indexed="64"/>
      </left>
      <right style="hair">
        <color indexed="64"/>
      </right>
      <top style="thin">
        <color indexed="64"/>
      </top>
      <bottom style="thin">
        <color indexed="64"/>
      </bottom>
      <diagonal/>
    </border>
    <border>
      <left/>
      <right style="hair">
        <color indexed="64"/>
      </right>
      <top/>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medium">
        <color indexed="64"/>
      </left>
      <right style="hair">
        <color theme="0"/>
      </right>
      <top style="medium">
        <color indexed="64"/>
      </top>
      <bottom style="medium">
        <color indexed="64"/>
      </bottom>
      <diagonal/>
    </border>
    <border>
      <left style="hair">
        <color theme="0"/>
      </left>
      <right style="hair">
        <color theme="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double">
        <color indexed="64"/>
      </left>
      <right/>
      <top/>
      <bottom/>
      <diagonal/>
    </border>
    <border>
      <left/>
      <right/>
      <top style="thin">
        <color indexed="64"/>
      </top>
      <bottom style="double">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double">
        <color indexed="64"/>
      </bottom>
      <diagonal/>
    </border>
    <border>
      <left/>
      <right/>
      <top style="double">
        <color indexed="64"/>
      </top>
      <bottom style="double">
        <color indexed="64"/>
      </bottom>
      <diagonal/>
    </border>
    <border>
      <left/>
      <right/>
      <top style="double">
        <color indexed="64"/>
      </top>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right style="thin">
        <color theme="0"/>
      </right>
      <top style="thin">
        <color indexed="64"/>
      </top>
      <bottom/>
      <diagonal/>
    </border>
    <border>
      <left/>
      <right style="thin">
        <color theme="0"/>
      </right>
      <top/>
      <bottom/>
      <diagonal/>
    </border>
    <border>
      <left/>
      <right style="thin">
        <color theme="0"/>
      </right>
      <top/>
      <bottom style="thin">
        <color indexed="64"/>
      </bottom>
      <diagonal/>
    </border>
    <border>
      <left/>
      <right style="thin">
        <color theme="0"/>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rgb="FF000000"/>
      </top>
      <bottom/>
      <diagonal/>
    </border>
    <border>
      <left style="medium">
        <color indexed="64"/>
      </left>
      <right style="medium">
        <color indexed="64"/>
      </right>
      <top style="medium">
        <color indexed="64"/>
      </top>
      <bottom/>
      <diagonal/>
    </border>
    <border>
      <left/>
      <right style="thin">
        <color rgb="FF000000"/>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rgb="FF000000"/>
      </bottom>
      <diagonal/>
    </border>
    <border>
      <left/>
      <right style="thin">
        <color indexed="64"/>
      </right>
      <top/>
      <bottom style="medium">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thin">
        <color indexed="64"/>
      </left>
      <right style="thin">
        <color indexed="64"/>
      </right>
      <top style="thin">
        <color indexed="64"/>
      </top>
      <bottom/>
      <diagonal/>
    </border>
    <border>
      <left style="medium">
        <color theme="4"/>
      </left>
      <right/>
      <top/>
      <bottom/>
      <diagonal/>
    </border>
    <border>
      <left/>
      <right style="medium">
        <color theme="4"/>
      </right>
      <top/>
      <bottom/>
      <diagonal/>
    </border>
    <border>
      <left style="medium">
        <color theme="8"/>
      </left>
      <right/>
      <top/>
      <bottom/>
      <diagonal/>
    </border>
    <border>
      <left/>
      <right style="medium">
        <color theme="8"/>
      </right>
      <top/>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medium">
        <color indexed="64"/>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indexed="64"/>
      </right>
      <top style="medium">
        <color rgb="FF000000"/>
      </top>
      <bottom style="medium">
        <color rgb="FF000000"/>
      </bottom>
      <diagonal/>
    </border>
    <border>
      <left style="medium">
        <color rgb="FF000000"/>
      </left>
      <right style="medium">
        <color indexed="64"/>
      </right>
      <top style="medium">
        <color rgb="FF000000"/>
      </top>
      <bottom/>
      <diagonal/>
    </border>
    <border>
      <left style="medium">
        <color indexed="64"/>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rgb="FF000000"/>
      </top>
      <bottom/>
      <diagonal/>
    </border>
    <border>
      <left/>
      <right style="medium">
        <color indexed="64"/>
      </right>
      <top/>
      <bottom style="medium">
        <color rgb="FF000000"/>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right style="medium">
        <color rgb="FF000000"/>
      </right>
      <top style="medium">
        <color rgb="FF000000"/>
      </top>
      <bottom style="medium">
        <color indexed="64"/>
      </bottom>
      <diagonal/>
    </border>
  </borders>
  <cellStyleXfs count="373">
    <xf numFmtId="0" fontId="0"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2" fontId="8" fillId="0" borderId="0"/>
    <xf numFmtId="43" fontId="9" fillId="0" borderId="0" applyFont="0" applyFill="0" applyBorder="0" applyAlignment="0" applyProtection="0"/>
    <xf numFmtId="44" fontId="9" fillId="0" borderId="0" applyFont="0" applyFill="0" applyBorder="0" applyAlignment="0" applyProtection="0"/>
    <xf numFmtId="0" fontId="1" fillId="0" borderId="0"/>
    <xf numFmtId="0" fontId="1" fillId="0" borderId="0"/>
    <xf numFmtId="0" fontId="1" fillId="0" borderId="0"/>
    <xf numFmtId="0" fontId="1" fillId="0" borderId="0"/>
    <xf numFmtId="0" fontId="9" fillId="0" borderId="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0" fontId="9" fillId="0" borderId="0"/>
    <xf numFmtId="0" fontId="22" fillId="0" borderId="0" applyNumberFormat="0" applyFill="0" applyBorder="0" applyAlignment="0" applyProtection="0"/>
    <xf numFmtId="0" fontId="19" fillId="0" borderId="0" applyAlignment="0"/>
    <xf numFmtId="0" fontId="9" fillId="0" borderId="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0" fillId="9" borderId="0" applyNumberFormat="0" applyBorder="0" applyAlignment="0" applyProtection="0"/>
    <xf numFmtId="0" fontId="41" fillId="10" borderId="0" applyNumberFormat="0" applyBorder="0" applyAlignment="0" applyProtection="0"/>
    <xf numFmtId="0" fontId="42" fillId="11" borderId="0" applyNumberFormat="0" applyBorder="0" applyAlignment="0" applyProtection="0"/>
    <xf numFmtId="0" fontId="43" fillId="12" borderId="8" applyNumberFormat="0" applyAlignment="0" applyProtection="0"/>
    <xf numFmtId="0" fontId="44" fillId="13" borderId="9" applyNumberFormat="0" applyAlignment="0" applyProtection="0"/>
    <xf numFmtId="0" fontId="45" fillId="13" borderId="8" applyNumberFormat="0" applyAlignment="0" applyProtection="0"/>
    <xf numFmtId="0" fontId="46" fillId="0" borderId="10" applyNumberFormat="0" applyFill="0" applyAlignment="0" applyProtection="0"/>
    <xf numFmtId="0" fontId="47" fillId="14" borderId="11" applyNumberFormat="0" applyAlignment="0" applyProtection="0"/>
    <xf numFmtId="0" fontId="48" fillId="0" borderId="0" applyNumberFormat="0" applyFill="0" applyBorder="0" applyAlignment="0" applyProtection="0"/>
    <xf numFmtId="0" fontId="9" fillId="15" borderId="12" applyNumberFormat="0" applyFont="0" applyAlignment="0" applyProtection="0"/>
    <xf numFmtId="0" fontId="49" fillId="0" borderId="0" applyNumberFormat="0" applyFill="0" applyBorder="0" applyAlignment="0" applyProtection="0"/>
    <xf numFmtId="0" fontId="50" fillId="0" borderId="13" applyNumberFormat="0" applyFill="0" applyAlignment="0" applyProtection="0"/>
    <xf numFmtId="0" fontId="36"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36"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36"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36"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36"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36"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1" fillId="0" borderId="0" applyNumberForma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52" fillId="0" borderId="0" applyNumberFormat="0" applyFill="0" applyBorder="0" applyAlignment="0" applyProtection="0"/>
    <xf numFmtId="44" fontId="9" fillId="0" borderId="0" applyFont="0" applyFill="0" applyBorder="0" applyAlignment="0" applyProtection="0"/>
    <xf numFmtId="9" fontId="1" fillId="0" borderId="0" applyFont="0" applyFill="0" applyBorder="0" applyAlignment="0" applyProtection="0"/>
    <xf numFmtId="0" fontId="19" fillId="0" borderId="0">
      <alignment horizontal="left" wrapText="1"/>
    </xf>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27" fillId="10" borderId="0" applyNumberFormat="0" applyBorder="0" applyAlignment="0" applyProtection="0"/>
    <xf numFmtId="0" fontId="31" fillId="13" borderId="8" applyNumberFormat="0" applyAlignment="0" applyProtection="0"/>
    <xf numFmtId="0" fontId="33" fillId="14" borderId="11" applyNumberFormat="0" applyAlignment="0" applyProtection="0"/>
    <xf numFmtId="0" fontId="34" fillId="0" borderId="0" applyNumberFormat="0" applyFill="0" applyBorder="0" applyAlignment="0" applyProtection="0"/>
    <xf numFmtId="0" fontId="26" fillId="9" borderId="0" applyNumberFormat="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29" fillId="12" borderId="8" applyNumberFormat="0" applyAlignment="0" applyProtection="0"/>
    <xf numFmtId="0" fontId="32" fillId="0" borderId="10" applyNumberFormat="0" applyFill="0" applyAlignment="0" applyProtection="0"/>
    <xf numFmtId="0" fontId="28" fillId="11" borderId="0" applyNumberFormat="0" applyBorder="0" applyAlignment="0" applyProtection="0"/>
    <xf numFmtId="0" fontId="1" fillId="0" borderId="0"/>
    <xf numFmtId="0" fontId="1" fillId="15" borderId="12" applyNumberFormat="0" applyFont="0" applyAlignment="0" applyProtection="0"/>
    <xf numFmtId="0" fontId="30" fillId="13" borderId="9" applyNumberFormat="0" applyAlignment="0" applyProtection="0"/>
    <xf numFmtId="0" fontId="18" fillId="0" borderId="13" applyNumberFormat="0" applyFill="0" applyAlignment="0" applyProtection="0"/>
    <xf numFmtId="0" fontId="21" fillId="0" borderId="0" applyNumberForma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53" fillId="0" borderId="0"/>
    <xf numFmtId="170" fontId="54" fillId="0" borderId="0"/>
    <xf numFmtId="0" fontId="1" fillId="0" borderId="0"/>
    <xf numFmtId="170" fontId="54" fillId="0" borderId="0"/>
    <xf numFmtId="43" fontId="19" fillId="0" borderId="0" applyFont="0" applyFill="0" applyBorder="0" applyAlignment="0" applyProtection="0"/>
    <xf numFmtId="0" fontId="19" fillId="0" borderId="0"/>
    <xf numFmtId="44" fontId="1" fillId="0" borderId="0" applyFont="0" applyFill="0" applyBorder="0" applyAlignment="0" applyProtection="0"/>
    <xf numFmtId="0" fontId="55" fillId="0" borderId="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4" fontId="1" fillId="0" borderId="0" applyFont="0" applyFill="0" applyBorder="0" applyAlignment="0" applyProtection="0"/>
    <xf numFmtId="0" fontId="1"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19" fillId="0" borderId="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51" fillId="0" borderId="0" applyNumberFormat="0" applyFill="0" applyBorder="0" applyAlignment="0" applyProtection="0"/>
    <xf numFmtId="44" fontId="1" fillId="0" borderId="0" applyFont="0" applyFill="0" applyBorder="0" applyAlignment="0" applyProtection="0"/>
    <xf numFmtId="0" fontId="69" fillId="0" borderId="0"/>
    <xf numFmtId="9" fontId="19" fillId="0" borderId="0" applyFont="0" applyFill="0" applyBorder="0" applyAlignment="0" applyProtection="0"/>
    <xf numFmtId="0" fontId="19" fillId="0" borderId="0"/>
    <xf numFmtId="37" fontId="70" fillId="0" borderId="0"/>
    <xf numFmtId="166"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86" fillId="0" borderId="0" applyFont="0" applyFill="0" applyBorder="0" applyAlignment="0" applyProtection="0"/>
    <xf numFmtId="167" fontId="87"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87" fillId="0" borderId="0"/>
    <xf numFmtId="43" fontId="87" fillId="0" borderId="0" applyFont="0" applyFill="0" applyBorder="0" applyAlignment="0" applyProtection="0"/>
    <xf numFmtId="44" fontId="1" fillId="0" borderId="0" applyFont="0" applyFill="0" applyBorder="0" applyAlignment="0" applyProtection="0"/>
    <xf numFmtId="44" fontId="87" fillId="0" borderId="0" applyFont="0" applyFill="0" applyBorder="0" applyAlignment="0" applyProtection="0"/>
    <xf numFmtId="43" fontId="8" fillId="0" borderId="0" applyFont="0" applyFill="0" applyBorder="0" applyAlignment="0" applyProtection="0"/>
    <xf numFmtId="0" fontId="95" fillId="0" borderId="0" applyNumberFormat="0" applyFill="0" applyBorder="0" applyAlignment="0" applyProtection="0"/>
    <xf numFmtId="0" fontId="1" fillId="0" borderId="0"/>
    <xf numFmtId="0" fontId="1" fillId="0" borderId="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4" fontId="1" fillId="0" borderId="0" applyFont="0" applyFill="0" applyBorder="0" applyAlignment="0" applyProtection="0"/>
    <xf numFmtId="0" fontId="96" fillId="0" borderId="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43" fontId="53" fillId="0" borderId="0" applyFont="0" applyFill="0" applyBorder="0" applyAlignment="0" applyProtection="0"/>
    <xf numFmtId="44" fontId="53" fillId="0" borderId="0" applyFont="0" applyFill="0" applyBorder="0" applyAlignment="0" applyProtection="0"/>
    <xf numFmtId="0" fontId="17" fillId="0" borderId="0"/>
    <xf numFmtId="0" fontId="8" fillId="0" borderId="0"/>
    <xf numFmtId="9" fontId="53" fillId="0" borderId="0" applyFont="0" applyFill="0" applyBorder="0" applyAlignment="0" applyProtection="0"/>
  </cellStyleXfs>
  <cellXfs count="1300">
    <xf numFmtId="0" fontId="0" fillId="0" borderId="0" xfId="0"/>
    <xf numFmtId="0" fontId="3" fillId="0" borderId="0" xfId="0" applyFont="1"/>
    <xf numFmtId="0" fontId="0" fillId="0" borderId="0" xfId="0" applyAlignment="1">
      <alignment horizontal="center"/>
    </xf>
    <xf numFmtId="0" fontId="6" fillId="0" borderId="2" xfId="0" applyFont="1" applyBorder="1" applyAlignment="1">
      <alignment horizontal="left" vertical="top"/>
    </xf>
    <xf numFmtId="0" fontId="6" fillId="0" borderId="2" xfId="0" applyFont="1" applyBorder="1" applyAlignment="1">
      <alignment horizontal="left" vertical="top" wrapText="1"/>
    </xf>
    <xf numFmtId="0" fontId="6" fillId="0" borderId="2" xfId="0" applyFont="1" applyBorder="1" applyAlignment="1">
      <alignment vertical="top" wrapText="1"/>
    </xf>
    <xf numFmtId="0" fontId="0" fillId="0" borderId="0" xfId="0" applyAlignment="1">
      <alignment horizontal="right"/>
    </xf>
    <xf numFmtId="9" fontId="0" fillId="0" borderId="0" xfId="0" applyNumberFormat="1"/>
    <xf numFmtId="0" fontId="10" fillId="0" borderId="0" xfId="0" applyFont="1" applyAlignment="1">
      <alignment horizontal="center"/>
    </xf>
    <xf numFmtId="0" fontId="10" fillId="0" borderId="0" xfId="0" applyFont="1"/>
    <xf numFmtId="0" fontId="0" fillId="0" borderId="0" xfId="0" applyAlignment="1">
      <alignment vertical="top" wrapText="1"/>
    </xf>
    <xf numFmtId="9" fontId="0" fillId="0" borderId="0" xfId="2" applyFont="1" applyAlignment="1">
      <alignment vertical="top" wrapText="1"/>
    </xf>
    <xf numFmtId="0" fontId="0" fillId="0" borderId="0" xfId="0" applyAlignment="1">
      <alignment horizontal="center" vertical="top" wrapText="1"/>
    </xf>
    <xf numFmtId="0" fontId="11" fillId="0" borderId="2" xfId="0" applyFont="1" applyBorder="1" applyAlignment="1">
      <alignment vertical="top" wrapText="1"/>
    </xf>
    <xf numFmtId="0" fontId="5" fillId="2" borderId="2" xfId="0" applyFont="1" applyFill="1" applyBorder="1" applyAlignment="1">
      <alignment horizontal="left" vertical="top" wrapText="1"/>
    </xf>
    <xf numFmtId="0" fontId="4" fillId="0" borderId="0" xfId="0" applyFont="1"/>
    <xf numFmtId="0" fontId="12" fillId="0" borderId="0" xfId="0" applyFo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center" vertical="top" wrapText="1"/>
    </xf>
    <xf numFmtId="0" fontId="2" fillId="0" borderId="2" xfId="0" applyFont="1" applyBorder="1" applyAlignment="1">
      <alignment horizontal="center" vertical="center"/>
    </xf>
    <xf numFmtId="0" fontId="2" fillId="3"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14" fillId="0" borderId="0" xfId="0" applyFont="1" applyAlignment="1">
      <alignment horizontal="right"/>
    </xf>
    <xf numFmtId="0" fontId="15" fillId="3" borderId="2" xfId="0" applyFont="1" applyFill="1" applyBorder="1" applyAlignment="1">
      <alignment horizontal="center" vertical="center" wrapText="1"/>
    </xf>
    <xf numFmtId="0" fontId="11" fillId="0" borderId="2" xfId="0" applyFont="1" applyBorder="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0" fontId="17" fillId="0" borderId="0" xfId="0" applyFont="1" applyAlignment="1">
      <alignment horizontal="center"/>
    </xf>
    <xf numFmtId="0" fontId="18" fillId="0" borderId="0" xfId="0" applyFont="1"/>
    <xf numFmtId="0" fontId="33" fillId="40" borderId="16" xfId="0" applyFont="1" applyFill="1" applyBorder="1" applyAlignment="1">
      <alignment horizontal="center"/>
    </xf>
    <xf numFmtId="0" fontId="33" fillId="40" borderId="17" xfId="0" applyFont="1" applyFill="1" applyBorder="1" applyAlignment="1">
      <alignment horizontal="center"/>
    </xf>
    <xf numFmtId="0" fontId="0" fillId="41" borderId="24" xfId="0" applyFill="1" applyBorder="1" applyAlignment="1">
      <alignment horizontal="center"/>
    </xf>
    <xf numFmtId="0" fontId="0" fillId="41" borderId="25" xfId="0" applyFill="1" applyBorder="1" applyAlignment="1">
      <alignment horizontal="center"/>
    </xf>
    <xf numFmtId="0" fontId="0" fillId="0" borderId="28" xfId="0" applyBorder="1"/>
    <xf numFmtId="0" fontId="0" fillId="4" borderId="26" xfId="0" applyFill="1" applyBorder="1" applyAlignment="1">
      <alignment horizontal="center"/>
    </xf>
    <xf numFmtId="0" fontId="0" fillId="0" borderId="29" xfId="0" applyBorder="1"/>
    <xf numFmtId="0" fontId="0" fillId="4" borderId="25" xfId="0" applyFill="1" applyBorder="1" applyAlignment="1">
      <alignment horizontal="center"/>
    </xf>
    <xf numFmtId="0" fontId="0" fillId="7" borderId="26" xfId="0" applyFill="1" applyBorder="1" applyAlignment="1">
      <alignment horizontal="center"/>
    </xf>
    <xf numFmtId="0" fontId="0" fillId="6" borderId="26" xfId="0" applyFill="1" applyBorder="1" applyAlignment="1">
      <alignment horizontal="center"/>
    </xf>
    <xf numFmtId="0" fontId="0" fillId="3" borderId="24" xfId="0" applyFill="1" applyBorder="1" applyAlignment="1">
      <alignment horizontal="center"/>
    </xf>
    <xf numFmtId="0" fontId="0" fillId="3" borderId="26" xfId="0" applyFill="1" applyBorder="1" applyAlignment="1">
      <alignment horizontal="center"/>
    </xf>
    <xf numFmtId="0" fontId="0" fillId="42" borderId="24" xfId="0" applyFill="1" applyBorder="1" applyAlignment="1">
      <alignment horizontal="center"/>
    </xf>
    <xf numFmtId="0" fontId="0" fillId="42" borderId="26" xfId="0" applyFill="1" applyBorder="1" applyAlignment="1">
      <alignment horizontal="center"/>
    </xf>
    <xf numFmtId="0" fontId="0" fillId="42" borderId="25" xfId="0" applyFill="1" applyBorder="1" applyAlignment="1">
      <alignment horizontal="center"/>
    </xf>
    <xf numFmtId="0" fontId="0" fillId="43" borderId="20" xfId="0" applyFill="1" applyBorder="1" applyAlignment="1">
      <alignment horizontal="center"/>
    </xf>
    <xf numFmtId="0" fontId="0" fillId="0" borderId="27" xfId="0" applyBorder="1"/>
    <xf numFmtId="0" fontId="0" fillId="0" borderId="30" xfId="0" applyBorder="1"/>
    <xf numFmtId="0" fontId="58" fillId="0" borderId="0" xfId="0" applyFont="1"/>
    <xf numFmtId="0" fontId="59" fillId="0" borderId="0" xfId="0" applyFont="1" applyAlignment="1">
      <alignment horizontal="center"/>
    </xf>
    <xf numFmtId="0" fontId="60" fillId="5" borderId="0" xfId="0" applyFont="1" applyFill="1" applyAlignment="1">
      <alignment horizontal="center"/>
    </xf>
    <xf numFmtId="0" fontId="0" fillId="0" borderId="0" xfId="0" applyAlignment="1">
      <alignment vertical="top"/>
    </xf>
    <xf numFmtId="0" fontId="3" fillId="0" borderId="0" xfId="0" applyFont="1" applyAlignment="1">
      <alignment vertical="top"/>
    </xf>
    <xf numFmtId="0" fontId="6" fillId="0" borderId="0" xfId="0" applyFont="1" applyAlignment="1">
      <alignment horizontal="center" vertical="top"/>
    </xf>
    <xf numFmtId="0" fontId="5" fillId="0" borderId="2" xfId="0" applyFont="1" applyBorder="1" applyAlignment="1">
      <alignment horizontal="left" vertical="top" wrapText="1"/>
    </xf>
    <xf numFmtId="9" fontId="6" fillId="0" borderId="2" xfId="0" applyNumberFormat="1" applyFont="1" applyBorder="1" applyAlignment="1">
      <alignment horizontal="left" vertical="top" wrapText="1"/>
    </xf>
    <xf numFmtId="0" fontId="18" fillId="0" borderId="0" xfId="0" applyFont="1" applyAlignment="1">
      <alignment horizontal="center"/>
    </xf>
    <xf numFmtId="169" fontId="0" fillId="0" borderId="0" xfId="0" applyNumberFormat="1"/>
    <xf numFmtId="0" fontId="0" fillId="0" borderId="1" xfId="0" applyBorder="1" applyAlignment="1">
      <alignment horizontal="center" wrapText="1"/>
    </xf>
    <xf numFmtId="0" fontId="0" fillId="0" borderId="0" xfId="0" applyAlignment="1">
      <alignment horizontal="center" wrapText="1"/>
    </xf>
    <xf numFmtId="0" fontId="0" fillId="0" borderId="0" xfId="0" applyAlignment="1">
      <alignment horizontal="left" indent="4"/>
    </xf>
    <xf numFmtId="0" fontId="0" fillId="0" borderId="0" xfId="0" applyAlignment="1">
      <alignment horizontal="left"/>
    </xf>
    <xf numFmtId="0" fontId="0" fillId="0" borderId="0" xfId="0" applyAlignment="1">
      <alignment horizontal="left" indent="2"/>
    </xf>
    <xf numFmtId="0" fontId="0" fillId="0" borderId="3" xfId="0" applyBorder="1" applyAlignment="1">
      <alignment horizontal="left" indent="2"/>
    </xf>
    <xf numFmtId="0" fontId="0" fillId="0" borderId="23" xfId="0" applyBorder="1" applyAlignment="1">
      <alignment horizontal="left" indent="2"/>
    </xf>
    <xf numFmtId="0" fontId="0" fillId="0" borderId="23" xfId="0" applyBorder="1"/>
    <xf numFmtId="169" fontId="0" fillId="0" borderId="23" xfId="0" applyNumberFormat="1" applyBorder="1"/>
    <xf numFmtId="0" fontId="18" fillId="0" borderId="23" xfId="0" applyFont="1" applyBorder="1" applyAlignment="1">
      <alignment horizontal="center"/>
    </xf>
    <xf numFmtId="0" fontId="18" fillId="0" borderId="23" xfId="0" applyFont="1" applyBorder="1" applyAlignment="1">
      <alignment horizontal="left" indent="2"/>
    </xf>
    <xf numFmtId="0" fontId="7" fillId="0" borderId="0" xfId="0" applyFont="1"/>
    <xf numFmtId="0" fontId="33" fillId="40" borderId="0" xfId="0" applyFont="1" applyFill="1" applyAlignment="1">
      <alignment horizontal="center"/>
    </xf>
    <xf numFmtId="0" fontId="0" fillId="0" borderId="2" xfId="0" applyBorder="1" applyAlignment="1">
      <alignment horizontal="center"/>
    </xf>
    <xf numFmtId="0" fontId="51" fillId="7" borderId="26" xfId="243" applyFill="1" applyBorder="1" applyAlignment="1">
      <alignment horizontal="center"/>
    </xf>
    <xf numFmtId="0" fontId="51" fillId="4" borderId="26" xfId="243" applyFill="1" applyBorder="1" applyAlignment="1">
      <alignment horizontal="center"/>
    </xf>
    <xf numFmtId="0" fontId="18" fillId="0" borderId="0" xfId="0" applyFont="1" applyAlignment="1">
      <alignment horizontal="left" indent="3"/>
    </xf>
    <xf numFmtId="0" fontId="0" fillId="0" borderId="0" xfId="0" applyAlignment="1">
      <alignment wrapText="1"/>
    </xf>
    <xf numFmtId="0" fontId="35" fillId="0" borderId="0" xfId="0" applyFont="1" applyAlignment="1">
      <alignment horizontal="center"/>
    </xf>
    <xf numFmtId="0" fontId="0" fillId="0" borderId="33" xfId="0" applyBorder="1"/>
    <xf numFmtId="0" fontId="3" fillId="0" borderId="0" xfId="0" applyFont="1" applyAlignment="1">
      <alignment horizontal="right"/>
    </xf>
    <xf numFmtId="0" fontId="64" fillId="0" borderId="0" xfId="0" applyFont="1"/>
    <xf numFmtId="0" fontId="0" fillId="0" borderId="0" xfId="0" applyAlignment="1">
      <alignment horizontal="left" indent="3"/>
    </xf>
    <xf numFmtId="0" fontId="33" fillId="40" borderId="37" xfId="0" applyFont="1" applyFill="1" applyBorder="1" applyAlignment="1">
      <alignment horizontal="center"/>
    </xf>
    <xf numFmtId="0" fontId="33" fillId="40" borderId="38" xfId="0" applyFont="1" applyFill="1" applyBorder="1" applyAlignment="1">
      <alignment horizontal="center"/>
    </xf>
    <xf numFmtId="0" fontId="0" fillId="0" borderId="39" xfId="0" applyBorder="1" applyAlignment="1">
      <alignment vertical="top" wrapText="1"/>
    </xf>
    <xf numFmtId="0" fontId="2" fillId="0" borderId="39" xfId="0" applyFont="1" applyBorder="1" applyAlignment="1">
      <alignment horizontal="center"/>
    </xf>
    <xf numFmtId="0" fontId="51" fillId="42" borderId="26" xfId="243" applyFill="1" applyBorder="1" applyAlignment="1">
      <alignment horizontal="center"/>
    </xf>
    <xf numFmtId="0" fontId="51" fillId="0" borderId="0" xfId="243"/>
    <xf numFmtId="0" fontId="0" fillId="0" borderId="41" xfId="0" applyBorder="1"/>
    <xf numFmtId="0" fontId="0" fillId="0" borderId="42" xfId="0" applyBorder="1" applyAlignment="1">
      <alignment wrapText="1"/>
    </xf>
    <xf numFmtId="0" fontId="0" fillId="0" borderId="43" xfId="0" applyBorder="1"/>
    <xf numFmtId="0" fontId="0" fillId="0" borderId="30" xfId="0" applyBorder="1" applyAlignment="1">
      <alignment wrapText="1"/>
    </xf>
    <xf numFmtId="0" fontId="0" fillId="0" borderId="33" xfId="0" applyBorder="1" applyAlignment="1">
      <alignment horizontal="center"/>
    </xf>
    <xf numFmtId="0" fontId="0" fillId="0" borderId="35" xfId="0" applyBorder="1" applyAlignment="1">
      <alignment horizontal="center"/>
    </xf>
    <xf numFmtId="9" fontId="18" fillId="0" borderId="34" xfId="2" applyFont="1" applyBorder="1" applyAlignment="1">
      <alignment horizontal="center"/>
    </xf>
    <xf numFmtId="9" fontId="18" fillId="0" borderId="36" xfId="2" applyFont="1" applyBorder="1" applyAlignment="1">
      <alignment horizontal="center"/>
    </xf>
    <xf numFmtId="0" fontId="0" fillId="0" borderId="40" xfId="0" applyBorder="1"/>
    <xf numFmtId="0" fontId="0" fillId="46" borderId="40" xfId="0" applyFill="1" applyBorder="1"/>
    <xf numFmtId="0" fontId="0" fillId="47" borderId="40" xfId="0" applyFill="1" applyBorder="1"/>
    <xf numFmtId="0" fontId="51" fillId="0" borderId="40" xfId="243" applyBorder="1"/>
    <xf numFmtId="0" fontId="0" fillId="49" borderId="40" xfId="0" applyFill="1" applyBorder="1"/>
    <xf numFmtId="0" fontId="0" fillId="46" borderId="44" xfId="0" applyFill="1" applyBorder="1"/>
    <xf numFmtId="0" fontId="0" fillId="0" borderId="44" xfId="0" applyBorder="1"/>
    <xf numFmtId="0" fontId="0" fillId="0" borderId="21" xfId="0" applyBorder="1"/>
    <xf numFmtId="0" fontId="0" fillId="0" borderId="47" xfId="0" applyBorder="1"/>
    <xf numFmtId="0" fontId="0" fillId="0" borderId="48" xfId="0" applyBorder="1"/>
    <xf numFmtId="0" fontId="33" fillId="40" borderId="49" xfId="0" applyFont="1" applyFill="1" applyBorder="1" applyAlignment="1">
      <alignment horizontal="center"/>
    </xf>
    <xf numFmtId="0" fontId="33" fillId="40" borderId="50" xfId="0" applyFont="1" applyFill="1" applyBorder="1" applyAlignment="1">
      <alignment horizontal="center"/>
    </xf>
    <xf numFmtId="0" fontId="33" fillId="40" borderId="51" xfId="0" applyFont="1" applyFill="1" applyBorder="1" applyAlignment="1">
      <alignment horizontal="center"/>
    </xf>
    <xf numFmtId="0" fontId="33" fillId="40" borderId="46" xfId="0" applyFont="1" applyFill="1" applyBorder="1" applyAlignment="1">
      <alignment horizontal="center"/>
    </xf>
    <xf numFmtId="0" fontId="0" fillId="0" borderId="55" xfId="0" applyBorder="1"/>
    <xf numFmtId="0" fontId="0" fillId="0" borderId="57" xfId="0" applyBorder="1"/>
    <xf numFmtId="0" fontId="0" fillId="0" borderId="58" xfId="0" applyBorder="1"/>
    <xf numFmtId="0" fontId="0" fillId="46" borderId="45" xfId="0" applyFill="1" applyBorder="1"/>
    <xf numFmtId="0" fontId="69" fillId="0" borderId="0" xfId="245" applyAlignment="1" applyProtection="1">
      <alignment horizontal="right"/>
      <protection locked="0"/>
    </xf>
    <xf numFmtId="0" fontId="69" fillId="51" borderId="0" xfId="245" applyFill="1" applyAlignment="1" applyProtection="1">
      <alignment horizontal="left"/>
      <protection locked="0"/>
    </xf>
    <xf numFmtId="0" fontId="69" fillId="0" borderId="0" xfId="245" applyProtection="1">
      <protection locked="0"/>
    </xf>
    <xf numFmtId="0" fontId="72" fillId="0" borderId="0" xfId="248" applyNumberFormat="1" applyFont="1" applyAlignment="1" applyProtection="1">
      <alignment horizontal="left"/>
      <protection locked="0"/>
    </xf>
    <xf numFmtId="0" fontId="73" fillId="0" borderId="0" xfId="247" applyFont="1" applyAlignment="1" applyProtection="1">
      <alignment horizontal="centerContinuous"/>
      <protection locked="0"/>
    </xf>
    <xf numFmtId="0" fontId="74" fillId="0" borderId="0" xfId="247" applyFont="1" applyAlignment="1" applyProtection="1">
      <alignment horizontal="centerContinuous"/>
      <protection locked="0"/>
    </xf>
    <xf numFmtId="0" fontId="74" fillId="0" borderId="0" xfId="247" applyFont="1" applyProtection="1">
      <protection locked="0"/>
    </xf>
    <xf numFmtId="0" fontId="74" fillId="0" borderId="0" xfId="247" applyFont="1" applyAlignment="1" applyProtection="1">
      <alignment horizontal="center"/>
      <protection locked="0"/>
    </xf>
    <xf numFmtId="0" fontId="74" fillId="0" borderId="1" xfId="247" applyFont="1" applyBorder="1" applyProtection="1">
      <protection locked="0"/>
    </xf>
    <xf numFmtId="0" fontId="74" fillId="0" borderId="1" xfId="247" applyFont="1" applyBorder="1" applyAlignment="1" applyProtection="1">
      <alignment horizontal="center"/>
      <protection locked="0"/>
    </xf>
    <xf numFmtId="0" fontId="75" fillId="0" borderId="0" xfId="247" applyFont="1" applyProtection="1">
      <protection locked="0"/>
    </xf>
    <xf numFmtId="2" fontId="74" fillId="0" borderId="0" xfId="247" applyNumberFormat="1" applyFont="1" applyProtection="1">
      <protection locked="0"/>
    </xf>
    <xf numFmtId="37" fontId="74" fillId="0" borderId="0" xfId="247" applyNumberFormat="1" applyFont="1" applyProtection="1">
      <protection locked="0"/>
    </xf>
    <xf numFmtId="177" fontId="74" fillId="0" borderId="0" xfId="247" applyNumberFormat="1" applyFont="1" applyProtection="1">
      <protection locked="0"/>
    </xf>
    <xf numFmtId="7" fontId="74" fillId="0" borderId="0" xfId="247" applyNumberFormat="1" applyFont="1" applyProtection="1">
      <protection locked="0"/>
    </xf>
    <xf numFmtId="5" fontId="74" fillId="0" borderId="0" xfId="247" applyNumberFormat="1" applyFont="1" applyProtection="1">
      <protection locked="0"/>
    </xf>
    <xf numFmtId="168" fontId="74" fillId="0" borderId="0" xfId="1" applyNumberFormat="1" applyFont="1" applyProtection="1">
      <protection locked="0"/>
    </xf>
    <xf numFmtId="10" fontId="74" fillId="0" borderId="0" xfId="246" applyNumberFormat="1" applyFont="1" applyFill="1" applyBorder="1" applyProtection="1">
      <protection locked="0"/>
    </xf>
    <xf numFmtId="3" fontId="74" fillId="0" borderId="0" xfId="247" applyNumberFormat="1" applyFont="1" applyProtection="1">
      <protection locked="0"/>
    </xf>
    <xf numFmtId="178" fontId="74" fillId="0" borderId="0" xfId="247" applyNumberFormat="1" applyFont="1" applyProtection="1">
      <protection locked="0"/>
    </xf>
    <xf numFmtId="0" fontId="74" fillId="0" borderId="0" xfId="247" applyFont="1" applyAlignment="1" applyProtection="1">
      <alignment horizontal="left" indent="2"/>
      <protection locked="0"/>
    </xf>
    <xf numFmtId="179" fontId="74" fillId="0" borderId="0" xfId="247" applyNumberFormat="1" applyFont="1" applyProtection="1">
      <protection locked="0"/>
    </xf>
    <xf numFmtId="180" fontId="74" fillId="0" borderId="0" xfId="247" applyNumberFormat="1" applyFont="1" applyProtection="1">
      <protection locked="0"/>
    </xf>
    <xf numFmtId="0" fontId="74" fillId="0" borderId="59" xfId="247" applyFont="1" applyBorder="1" applyAlignment="1" applyProtection="1">
      <alignment horizontal="left"/>
      <protection locked="0"/>
    </xf>
    <xf numFmtId="0" fontId="74" fillId="0" borderId="59" xfId="247" applyFont="1" applyBorder="1" applyProtection="1">
      <protection locked="0"/>
    </xf>
    <xf numFmtId="37" fontId="74" fillId="0" borderId="59" xfId="247" applyNumberFormat="1" applyFont="1" applyBorder="1" applyProtection="1">
      <protection locked="0"/>
    </xf>
    <xf numFmtId="180" fontId="74" fillId="0" borderId="59" xfId="247" applyNumberFormat="1" applyFont="1" applyBorder="1" applyProtection="1">
      <protection locked="0"/>
    </xf>
    <xf numFmtId="5" fontId="74" fillId="0" borderId="59" xfId="247" applyNumberFormat="1" applyFont="1" applyBorder="1" applyProtection="1">
      <protection locked="0"/>
    </xf>
    <xf numFmtId="178" fontId="74" fillId="0" borderId="59" xfId="247" applyNumberFormat="1" applyFont="1" applyBorder="1" applyProtection="1">
      <protection locked="0"/>
    </xf>
    <xf numFmtId="10" fontId="74" fillId="0" borderId="59" xfId="246" applyNumberFormat="1" applyFont="1" applyFill="1" applyBorder="1" applyProtection="1">
      <protection locked="0"/>
    </xf>
    <xf numFmtId="0" fontId="75" fillId="52" borderId="0" xfId="247" applyFont="1" applyFill="1"/>
    <xf numFmtId="0" fontId="74" fillId="52" borderId="0" xfId="247" applyFont="1" applyFill="1"/>
    <xf numFmtId="2" fontId="74" fillId="52" borderId="0" xfId="247" applyNumberFormat="1" applyFont="1" applyFill="1"/>
    <xf numFmtId="0" fontId="69" fillId="52" borderId="0" xfId="245" applyFill="1"/>
    <xf numFmtId="37" fontId="74" fillId="52" borderId="0" xfId="247" applyNumberFormat="1" applyFont="1" applyFill="1"/>
    <xf numFmtId="177" fontId="74" fillId="52" borderId="0" xfId="247" applyNumberFormat="1" applyFont="1" applyFill="1"/>
    <xf numFmtId="7" fontId="74" fillId="52" borderId="0" xfId="247" applyNumberFormat="1" applyFont="1" applyFill="1"/>
    <xf numFmtId="5" fontId="74" fillId="52" borderId="0" xfId="247" applyNumberFormat="1" applyFont="1" applyFill="1"/>
    <xf numFmtId="168" fontId="74" fillId="52" borderId="0" xfId="1" applyNumberFormat="1" applyFont="1" applyFill="1" applyProtection="1"/>
    <xf numFmtId="10" fontId="74" fillId="52" borderId="0" xfId="246" applyNumberFormat="1" applyFont="1" applyFill="1" applyBorder="1" applyProtection="1"/>
    <xf numFmtId="3" fontId="74" fillId="52" borderId="0" xfId="247" applyNumberFormat="1" applyFont="1" applyFill="1"/>
    <xf numFmtId="178" fontId="74" fillId="52" borderId="0" xfId="247" applyNumberFormat="1" applyFont="1" applyFill="1"/>
    <xf numFmtId="0" fontId="74" fillId="52" borderId="0" xfId="247" applyFont="1" applyFill="1" applyAlignment="1">
      <alignment horizontal="left" indent="2"/>
    </xf>
    <xf numFmtId="179" fontId="74" fillId="52" borderId="0" xfId="247" applyNumberFormat="1" applyFont="1" applyFill="1"/>
    <xf numFmtId="180" fontId="74" fillId="52" borderId="0" xfId="247" applyNumberFormat="1" applyFont="1" applyFill="1"/>
    <xf numFmtId="0" fontId="74" fillId="52" borderId="59" xfId="247" applyFont="1" applyFill="1" applyBorder="1" applyAlignment="1">
      <alignment horizontal="left"/>
    </xf>
    <xf numFmtId="0" fontId="74" fillId="52" borderId="59" xfId="247" applyFont="1" applyFill="1" applyBorder="1"/>
    <xf numFmtId="37" fontId="74" fillId="52" borderId="59" xfId="247" applyNumberFormat="1" applyFont="1" applyFill="1" applyBorder="1"/>
    <xf numFmtId="180" fontId="74" fillId="52" borderId="59" xfId="247" applyNumberFormat="1" applyFont="1" applyFill="1" applyBorder="1"/>
    <xf numFmtId="5" fontId="74" fillId="52" borderId="59" xfId="247" applyNumberFormat="1" applyFont="1" applyFill="1" applyBorder="1"/>
    <xf numFmtId="178" fontId="74" fillId="52" borderId="59" xfId="247" applyNumberFormat="1" applyFont="1" applyFill="1" applyBorder="1"/>
    <xf numFmtId="10" fontId="74" fillId="52" borderId="59" xfId="246" applyNumberFormat="1" applyFont="1" applyFill="1" applyBorder="1" applyProtection="1"/>
    <xf numFmtId="181" fontId="74" fillId="52" borderId="0" xfId="247" applyNumberFormat="1" applyFont="1" applyFill="1"/>
    <xf numFmtId="0" fontId="74" fillId="0" borderId="0" xfId="247" applyFont="1" applyAlignment="1" applyProtection="1">
      <alignment horizontal="left"/>
      <protection locked="0"/>
    </xf>
    <xf numFmtId="7" fontId="74" fillId="0" borderId="59" xfId="247" applyNumberFormat="1" applyFont="1" applyBorder="1" applyProtection="1">
      <protection locked="0"/>
    </xf>
    <xf numFmtId="168" fontId="69" fillId="0" borderId="0" xfId="1" applyNumberFormat="1" applyFont="1" applyProtection="1">
      <protection locked="0"/>
    </xf>
    <xf numFmtId="5" fontId="69" fillId="0" borderId="0" xfId="245" applyNumberFormat="1" applyProtection="1">
      <protection locked="0"/>
    </xf>
    <xf numFmtId="0" fontId="0" fillId="49" borderId="21" xfId="0" applyFill="1" applyBorder="1"/>
    <xf numFmtId="0" fontId="51" fillId="41" borderId="26" xfId="243" applyFill="1" applyBorder="1" applyAlignment="1">
      <alignment horizontal="center"/>
    </xf>
    <xf numFmtId="0" fontId="65" fillId="0" borderId="3" xfId="0" applyFont="1" applyBorder="1" applyAlignment="1">
      <alignment horizontal="left" indent="1"/>
    </xf>
    <xf numFmtId="0" fontId="0" fillId="0" borderId="21" xfId="0" applyBorder="1" applyAlignment="1">
      <alignment wrapText="1"/>
    </xf>
    <xf numFmtId="44" fontId="65" fillId="8" borderId="3" xfId="0" applyNumberFormat="1" applyFont="1" applyFill="1" applyBorder="1"/>
    <xf numFmtId="0" fontId="18" fillId="0" borderId="1" xfId="0" applyFont="1" applyBorder="1" applyAlignment="1">
      <alignment horizontal="center" wrapText="1"/>
    </xf>
    <xf numFmtId="0" fontId="20" fillId="0" borderId="2" xfId="0" applyFont="1" applyBorder="1" applyAlignment="1">
      <alignment horizontal="center"/>
    </xf>
    <xf numFmtId="0" fontId="33" fillId="40" borderId="38" xfId="0" applyFont="1" applyFill="1" applyBorder="1" applyAlignment="1">
      <alignment horizontal="center" wrapText="1"/>
    </xf>
    <xf numFmtId="0" fontId="0" fillId="3" borderId="0" xfId="0" applyFill="1"/>
    <xf numFmtId="0" fontId="0" fillId="51" borderId="0" xfId="0" applyFill="1"/>
    <xf numFmtId="0" fontId="0" fillId="48" borderId="0" xfId="0" applyFill="1"/>
    <xf numFmtId="0" fontId="2" fillId="0" borderId="0" xfId="0" applyFont="1" applyAlignment="1">
      <alignment horizontal="left"/>
    </xf>
    <xf numFmtId="0" fontId="76" fillId="0" borderId="0" xfId="0" applyFont="1" applyAlignment="1">
      <alignment horizontal="center"/>
    </xf>
    <xf numFmtId="0" fontId="3" fillId="48" borderId="20" xfId="0" applyFont="1" applyFill="1" applyBorder="1" applyAlignment="1">
      <alignment horizontal="left"/>
    </xf>
    <xf numFmtId="0" fontId="3" fillId="48" borderId="0" xfId="0" applyFont="1" applyFill="1"/>
    <xf numFmtId="0" fontId="3" fillId="48" borderId="0" xfId="0" applyFont="1" applyFill="1" applyAlignment="1">
      <alignment horizontal="center"/>
    </xf>
    <xf numFmtId="0" fontId="3" fillId="48" borderId="21" xfId="0" applyFont="1" applyFill="1" applyBorder="1"/>
    <xf numFmtId="10" fontId="3" fillId="48" borderId="20" xfId="0" applyNumberFormat="1" applyFont="1" applyFill="1" applyBorder="1" applyAlignment="1">
      <alignment horizontal="left"/>
    </xf>
    <xf numFmtId="0" fontId="3" fillId="54" borderId="0" xfId="0" applyFont="1" applyFill="1"/>
    <xf numFmtId="0" fontId="77" fillId="54" borderId="0" xfId="0" applyFont="1" applyFill="1" applyAlignment="1">
      <alignment horizontal="center" wrapText="1"/>
    </xf>
    <xf numFmtId="0" fontId="3" fillId="54" borderId="21" xfId="0" applyFont="1" applyFill="1" applyBorder="1"/>
    <xf numFmtId="0" fontId="17" fillId="48" borderId="61" xfId="0" applyFont="1" applyFill="1" applyBorder="1" applyAlignment="1">
      <alignment horizontal="center" wrapText="1"/>
    </xf>
    <xf numFmtId="0" fontId="17" fillId="48" borderId="0" xfId="0" applyFont="1" applyFill="1" applyAlignment="1">
      <alignment horizontal="center"/>
    </xf>
    <xf numFmtId="0" fontId="17" fillId="48" borderId="1" xfId="0" applyFont="1" applyFill="1" applyBorder="1" applyAlignment="1">
      <alignment horizontal="center" wrapText="1"/>
    </xf>
    <xf numFmtId="0" fontId="17" fillId="6" borderId="1" xfId="0" applyFont="1" applyFill="1" applyBorder="1" applyAlignment="1">
      <alignment horizontal="center" wrapText="1"/>
    </xf>
    <xf numFmtId="0" fontId="17" fillId="48" borderId="62" xfId="0" applyFont="1" applyFill="1" applyBorder="1" applyAlignment="1">
      <alignment horizontal="center" wrapText="1"/>
    </xf>
    <xf numFmtId="0" fontId="3" fillId="48" borderId="20" xfId="0" applyFont="1" applyFill="1" applyBorder="1" applyAlignment="1">
      <alignment horizontal="center"/>
    </xf>
    <xf numFmtId="0" fontId="3" fillId="6" borderId="0" xfId="0" applyFont="1" applyFill="1" applyAlignment="1">
      <alignment horizontal="center"/>
    </xf>
    <xf numFmtId="0" fontId="80" fillId="48" borderId="0" xfId="0" applyFont="1" applyFill="1"/>
    <xf numFmtId="0" fontId="80" fillId="6" borderId="0" xfId="0" applyFont="1" applyFill="1"/>
    <xf numFmtId="0" fontId="80" fillId="48" borderId="21" xfId="0" applyFont="1" applyFill="1" applyBorder="1"/>
    <xf numFmtId="0" fontId="81" fillId="48" borderId="0" xfId="0" applyFont="1" applyFill="1"/>
    <xf numFmtId="0" fontId="81" fillId="6" borderId="0" xfId="0" applyFont="1" applyFill="1"/>
    <xf numFmtId="0" fontId="81" fillId="48" borderId="21" xfId="0" applyFont="1" applyFill="1" applyBorder="1"/>
    <xf numFmtId="0" fontId="78" fillId="48" borderId="0" xfId="0" applyFont="1" applyFill="1"/>
    <xf numFmtId="0" fontId="78" fillId="6" borderId="0" xfId="0" applyFont="1" applyFill="1"/>
    <xf numFmtId="0" fontId="78" fillId="48" borderId="21" xfId="0" applyFont="1" applyFill="1" applyBorder="1"/>
    <xf numFmtId="0" fontId="78" fillId="48" borderId="0" xfId="0" applyFont="1" applyFill="1" applyAlignment="1">
      <alignment horizontal="left" indent="1"/>
    </xf>
    <xf numFmtId="172" fontId="17" fillId="48" borderId="0" xfId="1" applyNumberFormat="1" applyFont="1" applyFill="1" applyBorder="1"/>
    <xf numFmtId="172" fontId="17" fillId="6" borderId="0" xfId="1" applyNumberFormat="1" applyFont="1" applyFill="1" applyBorder="1"/>
    <xf numFmtId="169" fontId="0" fillId="48" borderId="0" xfId="0" applyNumberFormat="1" applyFill="1"/>
    <xf numFmtId="172" fontId="17" fillId="48" borderId="21" xfId="1" applyNumberFormat="1" applyFont="1" applyFill="1" applyBorder="1"/>
    <xf numFmtId="168" fontId="17" fillId="48" borderId="0" xfId="1" applyNumberFormat="1" applyFont="1" applyFill="1" applyBorder="1"/>
    <xf numFmtId="168" fontId="17" fillId="6" borderId="0" xfId="1" applyNumberFormat="1" applyFont="1" applyFill="1" applyBorder="1"/>
    <xf numFmtId="168" fontId="17" fillId="48" borderId="21" xfId="1" applyNumberFormat="1" applyFont="1" applyFill="1" applyBorder="1"/>
    <xf numFmtId="43" fontId="80" fillId="48" borderId="3" xfId="0" applyNumberFormat="1" applyFont="1" applyFill="1" applyBorder="1"/>
    <xf numFmtId="43" fontId="80" fillId="6" borderId="3" xfId="0" applyNumberFormat="1" applyFont="1" applyFill="1" applyBorder="1"/>
    <xf numFmtId="43" fontId="80" fillId="48" borderId="19" xfId="0" applyNumberFormat="1" applyFont="1" applyFill="1" applyBorder="1"/>
    <xf numFmtId="168" fontId="82" fillId="48" borderId="63" xfId="244" applyNumberFormat="1" applyFont="1" applyFill="1" applyBorder="1"/>
    <xf numFmtId="168" fontId="82" fillId="6" borderId="63" xfId="244" applyNumberFormat="1" applyFont="1" applyFill="1" applyBorder="1"/>
    <xf numFmtId="168" fontId="82" fillId="48" borderId="64" xfId="244" applyNumberFormat="1" applyFont="1" applyFill="1" applyBorder="1"/>
    <xf numFmtId="0" fontId="80" fillId="48" borderId="0" xfId="0" applyFont="1" applyFill="1" applyAlignment="1">
      <alignment wrapText="1"/>
    </xf>
    <xf numFmtId="0" fontId="17" fillId="48" borderId="0" xfId="0" applyFont="1" applyFill="1" applyAlignment="1">
      <alignment horizontal="left" indent="1"/>
    </xf>
    <xf numFmtId="168" fontId="17" fillId="7" borderId="0" xfId="1" applyNumberFormat="1" applyFont="1" applyFill="1" applyBorder="1"/>
    <xf numFmtId="168" fontId="17" fillId="7" borderId="21" xfId="1" applyNumberFormat="1" applyFont="1" applyFill="1" applyBorder="1"/>
    <xf numFmtId="0" fontId="80" fillId="48" borderId="14" xfId="0" applyFont="1" applyFill="1" applyBorder="1"/>
    <xf numFmtId="168" fontId="80" fillId="48" borderId="3" xfId="0" applyNumberFormat="1" applyFont="1" applyFill="1" applyBorder="1"/>
    <xf numFmtId="168" fontId="80" fillId="6" borderId="3" xfId="0" applyNumberFormat="1" applyFont="1" applyFill="1" applyBorder="1"/>
    <xf numFmtId="0" fontId="0" fillId="48" borderId="3" xfId="0" applyFill="1" applyBorder="1"/>
    <xf numFmtId="168" fontId="80" fillId="48" borderId="19" xfId="0" applyNumberFormat="1" applyFont="1" applyFill="1" applyBorder="1"/>
    <xf numFmtId="0" fontId="3" fillId="0" borderId="0" xfId="0" applyFont="1" applyAlignment="1">
      <alignment horizontal="center"/>
    </xf>
    <xf numFmtId="168" fontId="78" fillId="7" borderId="0" xfId="0" applyNumberFormat="1" applyFont="1" applyFill="1"/>
    <xf numFmtId="168" fontId="78" fillId="6" borderId="0" xfId="0" applyNumberFormat="1" applyFont="1" applyFill="1"/>
    <xf numFmtId="0" fontId="83" fillId="48" borderId="0" xfId="0" applyFont="1" applyFill="1"/>
    <xf numFmtId="0" fontId="83" fillId="6" borderId="0" xfId="0" applyFont="1" applyFill="1"/>
    <xf numFmtId="0" fontId="83" fillId="48" borderId="21" xfId="0" applyFont="1" applyFill="1" applyBorder="1"/>
    <xf numFmtId="168" fontId="80" fillId="7" borderId="0" xfId="0" applyNumberFormat="1" applyFont="1" applyFill="1"/>
    <xf numFmtId="168" fontId="80" fillId="6" borderId="0" xfId="0" applyNumberFormat="1" applyFont="1" applyFill="1"/>
    <xf numFmtId="168" fontId="80" fillId="7" borderId="21" xfId="0" applyNumberFormat="1" applyFont="1" applyFill="1" applyBorder="1"/>
    <xf numFmtId="3" fontId="80" fillId="48" borderId="0" xfId="0" applyNumberFormat="1" applyFont="1" applyFill="1"/>
    <xf numFmtId="3" fontId="80" fillId="6" borderId="0" xfId="0" applyNumberFormat="1" applyFont="1" applyFill="1"/>
    <xf numFmtId="3" fontId="80" fillId="48" borderId="21" xfId="0" applyNumberFormat="1" applyFont="1" applyFill="1" applyBorder="1"/>
    <xf numFmtId="37" fontId="0" fillId="48" borderId="0" xfId="0" applyNumberFormat="1" applyFill="1"/>
    <xf numFmtId="168" fontId="78" fillId="7" borderId="0" xfId="1" applyNumberFormat="1" applyFont="1" applyFill="1" applyBorder="1"/>
    <xf numFmtId="168" fontId="78" fillId="6" borderId="0" xfId="1" applyNumberFormat="1" applyFont="1" applyFill="1" applyBorder="1"/>
    <xf numFmtId="172" fontId="82" fillId="48" borderId="3" xfId="244" applyNumberFormat="1" applyFont="1" applyFill="1" applyBorder="1"/>
    <xf numFmtId="172" fontId="82" fillId="6" borderId="3" xfId="244" applyNumberFormat="1" applyFont="1" applyFill="1" applyBorder="1"/>
    <xf numFmtId="172" fontId="82" fillId="48" borderId="19" xfId="244" applyNumberFormat="1" applyFont="1" applyFill="1" applyBorder="1"/>
    <xf numFmtId="0" fontId="17" fillId="48" borderId="0" xfId="0" applyFont="1" applyFill="1"/>
    <xf numFmtId="168" fontId="78" fillId="48" borderId="0" xfId="1" applyNumberFormat="1" applyFont="1" applyFill="1" applyBorder="1"/>
    <xf numFmtId="0" fontId="3" fillId="48" borderId="22" xfId="0" applyFont="1" applyFill="1" applyBorder="1" applyAlignment="1">
      <alignment horizontal="center"/>
    </xf>
    <xf numFmtId="0" fontId="3" fillId="48" borderId="23" xfId="0" applyFont="1" applyFill="1" applyBorder="1"/>
    <xf numFmtId="0" fontId="3" fillId="48" borderId="65" xfId="0" applyFont="1" applyFill="1" applyBorder="1"/>
    <xf numFmtId="44" fontId="65" fillId="0" borderId="3" xfId="0" applyNumberFormat="1" applyFont="1" applyBorder="1"/>
    <xf numFmtId="0" fontId="0" fillId="48" borderId="40" xfId="0" applyFill="1" applyBorder="1"/>
    <xf numFmtId="0" fontId="10" fillId="51" borderId="0" xfId="0" applyFont="1" applyFill="1"/>
    <xf numFmtId="0" fontId="72" fillId="0" borderId="0" xfId="0" applyFont="1" applyAlignment="1">
      <alignment horizontal="right"/>
    </xf>
    <xf numFmtId="0" fontId="74" fillId="0" borderId="0" xfId="0" applyFont="1"/>
    <xf numFmtId="0" fontId="74" fillId="0" borderId="0" xfId="0" applyFont="1" applyAlignment="1">
      <alignment horizontal="right"/>
    </xf>
    <xf numFmtId="0" fontId="84" fillId="0" borderId="0" xfId="0" applyFont="1"/>
    <xf numFmtId="0" fontId="74" fillId="0" borderId="0" xfId="0" applyFont="1" applyAlignment="1">
      <alignment horizontal="centerContinuous"/>
    </xf>
    <xf numFmtId="0" fontId="73" fillId="0" borderId="0" xfId="0" applyFont="1"/>
    <xf numFmtId="0" fontId="73" fillId="0" borderId="0" xfId="0" applyFont="1" applyAlignment="1">
      <alignment horizontal="centerContinuous"/>
    </xf>
    <xf numFmtId="0" fontId="74" fillId="0" borderId="0" xfId="0" applyFont="1" applyAlignment="1">
      <alignment horizontal="center"/>
    </xf>
    <xf numFmtId="0" fontId="74" fillId="0" borderId="1" xfId="0" applyFont="1" applyBorder="1"/>
    <xf numFmtId="0" fontId="74" fillId="0" borderId="1" xfId="0" applyFont="1" applyBorder="1" applyAlignment="1">
      <alignment horizontal="center"/>
    </xf>
    <xf numFmtId="0" fontId="75" fillId="0" borderId="0" xfId="0" applyFont="1"/>
    <xf numFmtId="0" fontId="74" fillId="0" borderId="0" xfId="0" applyFont="1" applyAlignment="1">
      <alignment horizontal="left" indent="4"/>
    </xf>
    <xf numFmtId="0" fontId="74" fillId="0" borderId="0" xfId="0" applyFont="1" applyAlignment="1">
      <alignment horizontal="left" indent="6"/>
    </xf>
    <xf numFmtId="3" fontId="74" fillId="0" borderId="0" xfId="0" applyNumberFormat="1" applyFont="1"/>
    <xf numFmtId="165" fontId="74" fillId="0" borderId="0" xfId="0" applyNumberFormat="1" applyFont="1"/>
    <xf numFmtId="164" fontId="74" fillId="0" borderId="0" xfId="0" applyNumberFormat="1" applyFont="1"/>
    <xf numFmtId="10" fontId="74" fillId="0" borderId="0" xfId="0" applyNumberFormat="1" applyFont="1"/>
    <xf numFmtId="0" fontId="74" fillId="0" borderId="66" xfId="0" applyFont="1" applyBorder="1" applyAlignment="1">
      <alignment horizontal="left" indent="6"/>
    </xf>
    <xf numFmtId="0" fontId="74" fillId="0" borderId="66" xfId="0" applyFont="1" applyBorder="1"/>
    <xf numFmtId="165" fontId="74" fillId="0" borderId="66" xfId="0" applyNumberFormat="1" applyFont="1" applyBorder="1"/>
    <xf numFmtId="164" fontId="74" fillId="0" borderId="66" xfId="0" applyNumberFormat="1" applyFont="1" applyBorder="1"/>
    <xf numFmtId="10" fontId="74" fillId="0" borderId="66" xfId="0" applyNumberFormat="1" applyFont="1" applyBorder="1"/>
    <xf numFmtId="0" fontId="74" fillId="0" borderId="66" xfId="0" applyFont="1" applyBorder="1" applyAlignment="1">
      <alignment horizontal="left"/>
    </xf>
    <xf numFmtId="3" fontId="74" fillId="0" borderId="66" xfId="0" applyNumberFormat="1" applyFont="1" applyBorder="1"/>
    <xf numFmtId="0" fontId="74" fillId="0" borderId="0" xfId="0" applyFont="1" applyAlignment="1">
      <alignment horizontal="left"/>
    </xf>
    <xf numFmtId="0" fontId="75" fillId="0" borderId="0" xfId="0" applyFont="1" applyAlignment="1">
      <alignment horizontal="left" indent="1"/>
    </xf>
    <xf numFmtId="0" fontId="74" fillId="0" borderId="0" xfId="0" applyFont="1" applyAlignment="1">
      <alignment horizontal="left" indent="2"/>
    </xf>
    <xf numFmtId="165" fontId="74" fillId="0" borderId="0" xfId="0" applyNumberFormat="1" applyFont="1" applyAlignment="1">
      <alignment horizontal="right"/>
    </xf>
    <xf numFmtId="0" fontId="74" fillId="0" borderId="0" xfId="0" applyFont="1" applyAlignment="1">
      <alignment horizontal="left" indent="5"/>
    </xf>
    <xf numFmtId="3" fontId="74" fillId="0" borderId="0" xfId="0" applyNumberFormat="1" applyFont="1" applyAlignment="1">
      <alignment horizontal="right"/>
    </xf>
    <xf numFmtId="0" fontId="74" fillId="0" borderId="59" xfId="0" applyFont="1" applyBorder="1" applyAlignment="1">
      <alignment horizontal="left" indent="1"/>
    </xf>
    <xf numFmtId="0" fontId="74" fillId="0" borderId="59" xfId="0" applyFont="1" applyBorder="1"/>
    <xf numFmtId="3" fontId="74" fillId="0" borderId="59" xfId="0" applyNumberFormat="1" applyFont="1" applyBorder="1"/>
    <xf numFmtId="165" fontId="74" fillId="0" borderId="59" xfId="0" applyNumberFormat="1" applyFont="1" applyBorder="1"/>
    <xf numFmtId="164" fontId="74" fillId="0" borderId="59" xfId="0" applyNumberFormat="1" applyFont="1" applyBorder="1"/>
    <xf numFmtId="10" fontId="74" fillId="0" borderId="59" xfId="0" applyNumberFormat="1" applyFont="1" applyBorder="1"/>
    <xf numFmtId="0" fontId="75" fillId="0" borderId="0" xfId="0" applyFont="1" applyAlignment="1">
      <alignment horizontal="left"/>
    </xf>
    <xf numFmtId="0" fontId="74" fillId="0" borderId="67" xfId="0" applyFont="1" applyBorder="1"/>
    <xf numFmtId="0" fontId="85" fillId="0" borderId="66" xfId="0" applyFont="1" applyBorder="1"/>
    <xf numFmtId="164" fontId="74" fillId="0" borderId="67" xfId="0" applyNumberFormat="1" applyFont="1" applyBorder="1"/>
    <xf numFmtId="4" fontId="74" fillId="0" borderId="0" xfId="0" applyNumberFormat="1" applyFont="1"/>
    <xf numFmtId="0" fontId="74" fillId="0" borderId="0" xfId="0" applyFont="1" applyAlignment="1">
      <alignment wrapText="1"/>
    </xf>
    <xf numFmtId="0" fontId="74" fillId="0" borderId="4" xfId="0" applyFont="1" applyBorder="1"/>
    <xf numFmtId="3" fontId="74" fillId="0" borderId="4" xfId="0" applyNumberFormat="1" applyFont="1" applyBorder="1"/>
    <xf numFmtId="164" fontId="74" fillId="0" borderId="4" xfId="0" applyNumberFormat="1" applyFont="1" applyBorder="1"/>
    <xf numFmtId="0" fontId="74" fillId="0" borderId="0" xfId="0" applyFont="1" applyAlignment="1">
      <alignment horizontal="left" wrapText="1"/>
    </xf>
    <xf numFmtId="3" fontId="85" fillId="0" borderId="59" xfId="0" applyNumberFormat="1" applyFont="1" applyBorder="1"/>
    <xf numFmtId="2" fontId="0" fillId="0" borderId="0" xfId="1" applyNumberFormat="1" applyFont="1" applyFill="1"/>
    <xf numFmtId="0" fontId="75" fillId="0" borderId="0" xfId="0" applyFont="1" applyAlignment="1">
      <alignment wrapText="1"/>
    </xf>
    <xf numFmtId="0" fontId="0" fillId="44" borderId="22" xfId="0" applyFill="1" applyBorder="1" applyAlignment="1">
      <alignment horizontal="center"/>
    </xf>
    <xf numFmtId="0" fontId="0" fillId="49" borderId="0" xfId="0" applyFill="1"/>
    <xf numFmtId="0" fontId="0" fillId="0" borderId="65" xfId="0" applyBorder="1" applyAlignment="1">
      <alignment wrapText="1"/>
    </xf>
    <xf numFmtId="0" fontId="0" fillId="44" borderId="18" xfId="0" applyFill="1" applyBorder="1" applyAlignment="1">
      <alignment horizontal="center"/>
    </xf>
    <xf numFmtId="0" fontId="0" fillId="6" borderId="25" xfId="0" applyFill="1" applyBorder="1" applyAlignment="1">
      <alignment horizontal="center"/>
    </xf>
    <xf numFmtId="168" fontId="18" fillId="0" borderId="0" xfId="1" applyNumberFormat="1" applyFont="1" applyFill="1" applyBorder="1"/>
    <xf numFmtId="172" fontId="18" fillId="0" borderId="0" xfId="244" applyNumberFormat="1" applyFont="1" applyFill="1" applyBorder="1"/>
    <xf numFmtId="172" fontId="0" fillId="0" borderId="0" xfId="244" applyNumberFormat="1" applyFont="1" applyFill="1" applyBorder="1"/>
    <xf numFmtId="43" fontId="0" fillId="0" borderId="0" xfId="1" applyFont="1" applyFill="1" applyBorder="1"/>
    <xf numFmtId="173" fontId="0" fillId="0" borderId="0" xfId="1" applyNumberFormat="1" applyFont="1" applyFill="1" applyBorder="1"/>
    <xf numFmtId="168" fontId="0" fillId="0" borderId="0" xfId="244" applyNumberFormat="1" applyFont="1" applyFill="1" applyBorder="1"/>
    <xf numFmtId="174" fontId="0" fillId="0" borderId="0" xfId="1" applyNumberFormat="1" applyFont="1" applyFill="1" applyBorder="1"/>
    <xf numFmtId="168" fontId="0" fillId="0" borderId="0" xfId="1" applyNumberFormat="1" applyFont="1" applyFill="1" applyBorder="1"/>
    <xf numFmtId="0" fontId="74" fillId="0" borderId="0" xfId="5" applyFont="1" applyProtection="1">
      <protection locked="0"/>
    </xf>
    <xf numFmtId="168" fontId="74" fillId="0" borderId="0" xfId="1" applyNumberFormat="1" applyFont="1" applyFill="1" applyBorder="1" applyProtection="1">
      <protection locked="0"/>
    </xf>
    <xf numFmtId="5" fontId="74" fillId="0" borderId="0" xfId="5" applyNumberFormat="1" applyFont="1" applyProtection="1">
      <protection locked="0"/>
    </xf>
    <xf numFmtId="0" fontId="74" fillId="0" borderId="0" xfId="5" applyFont="1"/>
    <xf numFmtId="0" fontId="74" fillId="0" borderId="0" xfId="247" applyFont="1" applyAlignment="1" applyProtection="1">
      <alignment horizontal="left" indent="4"/>
      <protection locked="0"/>
    </xf>
    <xf numFmtId="0" fontId="74" fillId="0" borderId="0" xfId="247" applyFont="1" applyAlignment="1" applyProtection="1">
      <alignment horizontal="left" indent="6"/>
      <protection locked="0"/>
    </xf>
    <xf numFmtId="0" fontId="74" fillId="0" borderId="66" xfId="247" applyFont="1" applyBorder="1" applyAlignment="1" applyProtection="1">
      <alignment horizontal="left" indent="6"/>
      <protection locked="0"/>
    </xf>
    <xf numFmtId="0" fontId="74" fillId="0" borderId="66" xfId="247" applyFont="1" applyBorder="1" applyProtection="1">
      <protection locked="0"/>
    </xf>
    <xf numFmtId="37" fontId="74" fillId="0" borderId="66" xfId="247" applyNumberFormat="1" applyFont="1" applyBorder="1" applyProtection="1">
      <protection locked="0"/>
    </xf>
    <xf numFmtId="180" fontId="74" fillId="0" borderId="66" xfId="247" applyNumberFormat="1" applyFont="1" applyBorder="1" applyProtection="1">
      <protection locked="0"/>
    </xf>
    <xf numFmtId="5" fontId="74" fillId="0" borderId="66" xfId="247" applyNumberFormat="1" applyFont="1" applyBorder="1" applyProtection="1">
      <protection locked="0"/>
    </xf>
    <xf numFmtId="179" fontId="74" fillId="0" borderId="66" xfId="247" applyNumberFormat="1" applyFont="1" applyBorder="1" applyProtection="1">
      <protection locked="0"/>
    </xf>
    <xf numFmtId="10" fontId="74" fillId="0" borderId="66" xfId="246" applyNumberFormat="1" applyFont="1" applyFill="1" applyBorder="1" applyProtection="1">
      <protection locked="0"/>
    </xf>
    <xf numFmtId="0" fontId="74" fillId="0" borderId="66" xfId="247" applyFont="1" applyBorder="1" applyAlignment="1" applyProtection="1">
      <alignment horizontal="left"/>
      <protection locked="0"/>
    </xf>
    <xf numFmtId="178" fontId="74" fillId="0" borderId="66" xfId="247" applyNumberFormat="1" applyFont="1" applyBorder="1" applyProtection="1">
      <protection locked="0"/>
    </xf>
    <xf numFmtId="0" fontId="75" fillId="0" borderId="0" xfId="247" applyFont="1" applyAlignment="1" applyProtection="1">
      <alignment horizontal="left" indent="1"/>
      <protection locked="0"/>
    </xf>
    <xf numFmtId="8" fontId="74" fillId="0" borderId="0" xfId="247" applyNumberFormat="1" applyFont="1" applyAlignment="1" applyProtection="1">
      <alignment horizontal="right"/>
      <protection locked="0"/>
    </xf>
    <xf numFmtId="0" fontId="74" fillId="0" borderId="0" xfId="247" applyFont="1" applyAlignment="1" applyProtection="1">
      <alignment horizontal="left" indent="5"/>
      <protection locked="0"/>
    </xf>
    <xf numFmtId="182" fontId="74" fillId="0" borderId="0" xfId="247" applyNumberFormat="1" applyFont="1" applyAlignment="1" applyProtection="1">
      <alignment horizontal="right"/>
      <protection locked="0"/>
    </xf>
    <xf numFmtId="10" fontId="74" fillId="0" borderId="0" xfId="247" applyNumberFormat="1" applyFont="1" applyProtection="1">
      <protection locked="0"/>
    </xf>
    <xf numFmtId="0" fontId="74" fillId="0" borderId="59" xfId="247" applyFont="1" applyBorder="1" applyAlignment="1" applyProtection="1">
      <alignment horizontal="left" indent="1"/>
      <protection locked="0"/>
    </xf>
    <xf numFmtId="177" fontId="74" fillId="0" borderId="59" xfId="247" applyNumberFormat="1" applyFont="1" applyBorder="1" applyProtection="1">
      <protection locked="0"/>
    </xf>
    <xf numFmtId="10" fontId="74" fillId="0" borderId="59" xfId="247" applyNumberFormat="1" applyFont="1" applyBorder="1" applyProtection="1">
      <protection locked="0"/>
    </xf>
    <xf numFmtId="0" fontId="75" fillId="0" borderId="0" xfId="247" applyFont="1" applyAlignment="1" applyProtection="1">
      <alignment horizontal="left"/>
      <protection locked="0"/>
    </xf>
    <xf numFmtId="0" fontId="74" fillId="0" borderId="67" xfId="247" applyFont="1" applyBorder="1" applyProtection="1">
      <protection locked="0"/>
    </xf>
    <xf numFmtId="37" fontId="85" fillId="0" borderId="66" xfId="247" applyNumberFormat="1" applyFont="1" applyBorder="1" applyProtection="1">
      <protection locked="0"/>
    </xf>
    <xf numFmtId="5" fontId="74" fillId="0" borderId="67" xfId="247" applyNumberFormat="1" applyFont="1" applyBorder="1" applyProtection="1">
      <protection locked="0"/>
    </xf>
    <xf numFmtId="0" fontId="0" fillId="0" borderId="40" xfId="0" applyBorder="1" applyAlignment="1">
      <alignment horizontal="center"/>
    </xf>
    <xf numFmtId="0" fontId="62" fillId="0" borderId="0" xfId="0" applyFont="1" applyAlignment="1">
      <alignment vertical="center"/>
    </xf>
    <xf numFmtId="0" fontId="51" fillId="56" borderId="22" xfId="243" applyFill="1" applyBorder="1" applyAlignment="1">
      <alignment horizontal="center"/>
    </xf>
    <xf numFmtId="0" fontId="51" fillId="45" borderId="22" xfId="243" applyFill="1" applyBorder="1" applyAlignment="1">
      <alignment horizontal="center"/>
    </xf>
    <xf numFmtId="0" fontId="73" fillId="0" borderId="1" xfId="0" applyFont="1" applyBorder="1"/>
    <xf numFmtId="0" fontId="73" fillId="0" borderId="4" xfId="0" applyFont="1" applyBorder="1"/>
    <xf numFmtId="0" fontId="0" fillId="7" borderId="56" xfId="0" applyFill="1" applyBorder="1" applyAlignment="1">
      <alignment horizontal="center"/>
    </xf>
    <xf numFmtId="0" fontId="51" fillId="44" borderId="22" xfId="243" applyFill="1" applyBorder="1" applyAlignment="1">
      <alignment horizontal="center"/>
    </xf>
    <xf numFmtId="0" fontId="51" fillId="43" borderId="20" xfId="243" applyFill="1" applyBorder="1" applyAlignment="1">
      <alignment horizontal="center"/>
    </xf>
    <xf numFmtId="0" fontId="0" fillId="7" borderId="40" xfId="0" applyFill="1" applyBorder="1" applyAlignment="1">
      <alignment horizontal="center"/>
    </xf>
    <xf numFmtId="0" fontId="0" fillId="7" borderId="0" xfId="0" applyFill="1" applyAlignment="1">
      <alignment horizontal="center"/>
    </xf>
    <xf numFmtId="0" fontId="51" fillId="3" borderId="26" xfId="243" applyFill="1" applyBorder="1" applyAlignment="1">
      <alignment horizontal="center"/>
    </xf>
    <xf numFmtId="183" fontId="61" fillId="0" borderId="0" xfId="0" applyNumberFormat="1" applyFont="1" applyAlignment="1">
      <alignment horizontal="center"/>
    </xf>
    <xf numFmtId="168" fontId="18" fillId="0" borderId="72" xfId="1" applyNumberFormat="1" applyFont="1" applyFill="1" applyBorder="1"/>
    <xf numFmtId="174" fontId="0" fillId="0" borderId="72" xfId="1" applyNumberFormat="1" applyFont="1" applyFill="1" applyBorder="1"/>
    <xf numFmtId="9" fontId="0" fillId="0" borderId="0" xfId="2" applyFont="1" applyFill="1" applyBorder="1" applyAlignment="1">
      <alignment horizontal="center"/>
    </xf>
    <xf numFmtId="0" fontId="18" fillId="0" borderId="0" xfId="0" applyFont="1" applyAlignment="1">
      <alignment horizontal="left" indent="1"/>
    </xf>
    <xf numFmtId="0" fontId="0" fillId="0" borderId="30" xfId="0" applyBorder="1" applyAlignment="1">
      <alignment horizontal="left" vertical="center" wrapText="1"/>
    </xf>
    <xf numFmtId="0" fontId="18" fillId="8" borderId="0" xfId="0" applyFont="1" applyFill="1" applyAlignment="1">
      <alignment horizontal="left"/>
    </xf>
    <xf numFmtId="185" fontId="0" fillId="0" borderId="0" xfId="0" applyNumberFormat="1"/>
    <xf numFmtId="168" fontId="18" fillId="0" borderId="0" xfId="244" applyNumberFormat="1" applyFont="1" applyFill="1" applyBorder="1"/>
    <xf numFmtId="41" fontId="18" fillId="0" borderId="0" xfId="244" applyNumberFormat="1" applyFont="1" applyFill="1" applyBorder="1"/>
    <xf numFmtId="41" fontId="0" fillId="0" borderId="0" xfId="244" applyNumberFormat="1" applyFont="1" applyFill="1" applyBorder="1"/>
    <xf numFmtId="41" fontId="0" fillId="0" borderId="0" xfId="0" applyNumberFormat="1"/>
    <xf numFmtId="41" fontId="0" fillId="0" borderId="0" xfId="1" applyNumberFormat="1" applyFont="1" applyFill="1" applyBorder="1"/>
    <xf numFmtId="41" fontId="0" fillId="0" borderId="72" xfId="1" applyNumberFormat="1" applyFont="1" applyFill="1" applyBorder="1"/>
    <xf numFmtId="41" fontId="18" fillId="0" borderId="0" xfId="1" applyNumberFormat="1" applyFont="1" applyFill="1" applyBorder="1"/>
    <xf numFmtId="41" fontId="0" fillId="0" borderId="73" xfId="1" applyNumberFormat="1" applyFont="1" applyFill="1" applyBorder="1"/>
    <xf numFmtId="41" fontId="18" fillId="0" borderId="72" xfId="1" applyNumberFormat="1" applyFont="1" applyFill="1" applyBorder="1"/>
    <xf numFmtId="41" fontId="0" fillId="0" borderId="71" xfId="244" applyNumberFormat="1" applyFont="1" applyFill="1" applyBorder="1"/>
    <xf numFmtId="41" fontId="0" fillId="0" borderId="72" xfId="244" applyNumberFormat="1" applyFont="1" applyFill="1" applyBorder="1"/>
    <xf numFmtId="41" fontId="18" fillId="0" borderId="0" xfId="0" applyNumberFormat="1" applyFont="1" applyAlignment="1">
      <alignment horizontal="center"/>
    </xf>
    <xf numFmtId="41" fontId="0" fillId="0" borderId="0" xfId="1" applyNumberFormat="1" applyFont="1" applyFill="1"/>
    <xf numFmtId="41" fontId="20" fillId="0" borderId="2" xfId="0" applyNumberFormat="1" applyFont="1" applyBorder="1"/>
    <xf numFmtId="41" fontId="18" fillId="0" borderId="23" xfId="0" applyNumberFormat="1" applyFont="1" applyBorder="1" applyAlignment="1">
      <alignment horizontal="center"/>
    </xf>
    <xf numFmtId="41" fontId="0" fillId="0" borderId="23" xfId="0" applyNumberFormat="1" applyBorder="1"/>
    <xf numFmtId="41" fontId="18" fillId="0" borderId="1" xfId="0" applyNumberFormat="1" applyFont="1" applyBorder="1" applyAlignment="1">
      <alignment horizontal="center" wrapText="1"/>
    </xf>
    <xf numFmtId="41" fontId="18" fillId="0" borderId="0" xfId="1" applyNumberFormat="1" applyFont="1" applyFill="1"/>
    <xf numFmtId="0" fontId="62" fillId="0" borderId="0" xfId="0" applyFont="1" applyAlignment="1">
      <alignment horizontal="center" vertical="center" wrapText="1"/>
    </xf>
    <xf numFmtId="0" fontId="0" fillId="0" borderId="0" xfId="0" quotePrefix="1"/>
    <xf numFmtId="6" fontId="74" fillId="0" borderId="0" xfId="247" applyNumberFormat="1" applyFont="1" applyAlignment="1" applyProtection="1">
      <alignment horizontal="right"/>
      <protection locked="0"/>
    </xf>
    <xf numFmtId="41" fontId="74" fillId="0" borderId="0" xfId="247" applyNumberFormat="1" applyFont="1" applyProtection="1">
      <protection locked="0"/>
    </xf>
    <xf numFmtId="6" fontId="74" fillId="0" borderId="0" xfId="247" applyNumberFormat="1" applyFont="1" applyProtection="1">
      <protection locked="0"/>
    </xf>
    <xf numFmtId="6" fontId="74" fillId="0" borderId="59" xfId="247" applyNumberFormat="1" applyFont="1" applyBorder="1" applyProtection="1">
      <protection locked="0"/>
    </xf>
    <xf numFmtId="6" fontId="74" fillId="0" borderId="59" xfId="244" applyNumberFormat="1" applyFont="1" applyBorder="1" applyProtection="1">
      <protection locked="0"/>
    </xf>
    <xf numFmtId="44" fontId="0" fillId="0" borderId="0" xfId="0" applyNumberFormat="1"/>
    <xf numFmtId="0" fontId="85" fillId="0" borderId="0" xfId="0" applyFont="1" applyAlignment="1">
      <alignment horizontal="center"/>
    </xf>
    <xf numFmtId="0" fontId="88" fillId="0" borderId="0" xfId="0" applyFont="1"/>
    <xf numFmtId="0" fontId="69" fillId="0" borderId="0" xfId="247" applyFont="1" applyProtection="1">
      <protection locked="0"/>
    </xf>
    <xf numFmtId="0" fontId="69" fillId="0" borderId="1" xfId="247" applyFont="1" applyBorder="1" applyProtection="1">
      <protection locked="0"/>
    </xf>
    <xf numFmtId="0" fontId="69" fillId="0" borderId="59" xfId="247" applyFont="1" applyBorder="1" applyProtection="1">
      <protection locked="0"/>
    </xf>
    <xf numFmtId="0" fontId="69" fillId="0" borderId="0" xfId="247" applyFont="1" applyAlignment="1" applyProtection="1">
      <alignment horizontal="centerContinuous"/>
      <protection locked="0"/>
    </xf>
    <xf numFmtId="0" fontId="69" fillId="0" borderId="0" xfId="247" applyFont="1" applyAlignment="1" applyProtection="1">
      <alignment horizontal="center"/>
      <protection locked="0"/>
    </xf>
    <xf numFmtId="0" fontId="69" fillId="0" borderId="1" xfId="247" applyFont="1" applyBorder="1" applyAlignment="1" applyProtection="1">
      <alignment horizontal="center"/>
      <protection locked="0"/>
    </xf>
    <xf numFmtId="0" fontId="74" fillId="0" borderId="1" xfId="247" applyFont="1" applyBorder="1" applyAlignment="1" applyProtection="1">
      <alignment horizontal="left" indent="2"/>
      <protection locked="0"/>
    </xf>
    <xf numFmtId="37" fontId="74" fillId="0" borderId="1" xfId="247" applyNumberFormat="1" applyFont="1" applyBorder="1" applyProtection="1">
      <protection locked="0"/>
    </xf>
    <xf numFmtId="179" fontId="74" fillId="0" borderId="1" xfId="247" applyNumberFormat="1" applyFont="1" applyBorder="1" applyProtection="1">
      <protection locked="0"/>
    </xf>
    <xf numFmtId="180" fontId="74" fillId="0" borderId="1" xfId="247" applyNumberFormat="1" applyFont="1" applyBorder="1" applyProtection="1">
      <protection locked="0"/>
    </xf>
    <xf numFmtId="5" fontId="74" fillId="0" borderId="1" xfId="247" applyNumberFormat="1" applyFont="1" applyBorder="1" applyProtection="1">
      <protection locked="0"/>
    </xf>
    <xf numFmtId="10" fontId="74" fillId="0" borderId="1" xfId="246" applyNumberFormat="1" applyFont="1" applyBorder="1" applyProtection="1">
      <protection locked="0"/>
    </xf>
    <xf numFmtId="37" fontId="69" fillId="0" borderId="59" xfId="247" applyNumberFormat="1" applyFont="1" applyBorder="1" applyProtection="1">
      <protection locked="0"/>
    </xf>
    <xf numFmtId="177" fontId="69" fillId="0" borderId="59" xfId="247" applyNumberFormat="1" applyFont="1" applyBorder="1" applyProtection="1">
      <protection locked="0"/>
    </xf>
    <xf numFmtId="188" fontId="74" fillId="0" borderId="1" xfId="247" applyNumberFormat="1" applyFont="1" applyBorder="1" applyProtection="1">
      <protection locked="0"/>
    </xf>
    <xf numFmtId="185" fontId="10" fillId="0" borderId="0" xfId="1" applyNumberFormat="1" applyFont="1" applyFill="1" applyAlignment="1">
      <alignment vertical="center"/>
    </xf>
    <xf numFmtId="44" fontId="1" fillId="0" borderId="0" xfId="244" applyFont="1" applyFill="1"/>
    <xf numFmtId="43" fontId="0" fillId="0" borderId="0" xfId="9" applyNumberFormat="1" applyFont="1" applyFill="1"/>
    <xf numFmtId="168" fontId="0" fillId="0" borderId="0" xfId="1" applyNumberFormat="1" applyFont="1"/>
    <xf numFmtId="168" fontId="0" fillId="0" borderId="59" xfId="1" applyNumberFormat="1" applyFont="1" applyBorder="1"/>
    <xf numFmtId="168" fontId="0" fillId="0" borderId="0" xfId="1" applyNumberFormat="1" applyFont="1" applyBorder="1"/>
    <xf numFmtId="0" fontId="18" fillId="0" borderId="0" xfId="0" applyFont="1" applyAlignment="1">
      <alignment wrapText="1"/>
    </xf>
    <xf numFmtId="0" fontId="18" fillId="0" borderId="0" xfId="0" applyFont="1" applyAlignment="1">
      <alignment horizontal="center" wrapText="1"/>
    </xf>
    <xf numFmtId="168" fontId="0" fillId="0" borderId="0" xfId="1" applyNumberFormat="1" applyFont="1" applyAlignment="1">
      <alignment horizontal="right"/>
    </xf>
    <xf numFmtId="172" fontId="0" fillId="0" borderId="0" xfId="244" applyNumberFormat="1" applyFont="1" applyAlignment="1">
      <alignment horizontal="right"/>
    </xf>
    <xf numFmtId="44" fontId="0" fillId="0" borderId="0" xfId="244" applyFont="1" applyAlignment="1">
      <alignment horizontal="right"/>
    </xf>
    <xf numFmtId="0" fontId="94" fillId="0" borderId="0" xfId="0" applyFont="1" applyAlignment="1">
      <alignment horizontal="left"/>
    </xf>
    <xf numFmtId="185" fontId="0" fillId="0" borderId="0" xfId="0" applyNumberFormat="1" applyAlignment="1">
      <alignment horizontal="center" wrapText="1"/>
    </xf>
    <xf numFmtId="0" fontId="0" fillId="0" borderId="0" xfId="0" applyAlignment="1">
      <alignment horizontal="centerContinuous" wrapText="1"/>
    </xf>
    <xf numFmtId="0" fontId="7" fillId="0" borderId="0" xfId="0" applyFont="1" applyAlignment="1">
      <alignment wrapText="1"/>
    </xf>
    <xf numFmtId="0" fontId="18" fillId="0" borderId="0" xfId="0" applyFont="1" applyAlignment="1">
      <alignment horizontal="centerContinuous"/>
    </xf>
    <xf numFmtId="0" fontId="0" fillId="0" borderId="0" xfId="0" applyAlignment="1">
      <alignment horizontal="centerContinuous"/>
    </xf>
    <xf numFmtId="0" fontId="98" fillId="0" borderId="0" xfId="0" applyFont="1" applyAlignment="1">
      <alignment horizontal="center" vertical="center" wrapText="1"/>
    </xf>
    <xf numFmtId="0" fontId="87" fillId="0" borderId="21" xfId="0" applyFont="1" applyBorder="1"/>
    <xf numFmtId="0" fontId="87" fillId="0" borderId="0" xfId="0" applyFont="1"/>
    <xf numFmtId="0" fontId="3" fillId="0" borderId="20" xfId="0" applyFont="1" applyBorder="1"/>
    <xf numFmtId="0" fontId="3" fillId="0" borderId="0" xfId="0" applyFont="1" applyAlignment="1">
      <alignment vertical="center"/>
    </xf>
    <xf numFmtId="0" fontId="3" fillId="0" borderId="0" xfId="0" applyFont="1" applyAlignment="1">
      <alignment vertical="center" wrapText="1"/>
    </xf>
    <xf numFmtId="0" fontId="3" fillId="0" borderId="65" xfId="0" applyFont="1" applyBorder="1"/>
    <xf numFmtId="0" fontId="2" fillId="0" borderId="22" xfId="0" applyFont="1" applyBorder="1" applyAlignment="1">
      <alignment horizontal="center" vertical="center" wrapText="1"/>
    </xf>
    <xf numFmtId="0" fontId="2" fillId="0" borderId="94" xfId="0" applyFont="1" applyBorder="1" applyAlignment="1">
      <alignment horizontal="center" vertical="center" wrapText="1"/>
    </xf>
    <xf numFmtId="1" fontId="2" fillId="0" borderId="94" xfId="0" applyNumberFormat="1" applyFont="1" applyBorder="1" applyAlignment="1">
      <alignment horizontal="center" vertical="center" wrapText="1"/>
    </xf>
    <xf numFmtId="1" fontId="2" fillId="0" borderId="95" xfId="0" applyNumberFormat="1" applyFont="1" applyBorder="1" applyAlignment="1">
      <alignment horizontal="center" vertical="center" wrapText="1"/>
    </xf>
    <xf numFmtId="1" fontId="2" fillId="0" borderId="96" xfId="0" applyNumberFormat="1" applyFont="1" applyBorder="1" applyAlignment="1">
      <alignment horizontal="center" vertical="center" wrapText="1"/>
    </xf>
    <xf numFmtId="17" fontId="4" fillId="0" borderId="21" xfId="0" applyNumberFormat="1" applyFont="1" applyBorder="1" applyAlignment="1">
      <alignment horizontal="left" vertical="center"/>
    </xf>
    <xf numFmtId="1" fontId="100" fillId="0" borderId="79" xfId="0" applyNumberFormat="1" applyFont="1" applyBorder="1" applyAlignment="1">
      <alignment horizontal="center"/>
    </xf>
    <xf numFmtId="1" fontId="100" fillId="0" borderId="2" xfId="0" applyNumberFormat="1" applyFont="1" applyBorder="1" applyAlignment="1">
      <alignment horizontal="center"/>
    </xf>
    <xf numFmtId="190" fontId="100" fillId="48" borderId="2" xfId="244" applyNumberFormat="1" applyFont="1" applyFill="1" applyBorder="1" applyAlignment="1">
      <alignment horizontal="center" vertical="center"/>
    </xf>
    <xf numFmtId="177" fontId="100" fillId="48" borderId="14" xfId="244" applyNumberFormat="1" applyFont="1" applyFill="1" applyBorder="1"/>
    <xf numFmtId="177" fontId="100" fillId="48" borderId="97" xfId="244" applyNumberFormat="1" applyFont="1" applyFill="1" applyBorder="1"/>
    <xf numFmtId="1" fontId="100" fillId="48" borderId="98" xfId="0" applyNumberFormat="1" applyFont="1" applyFill="1" applyBorder="1" applyAlignment="1">
      <alignment horizontal="center"/>
    </xf>
    <xf numFmtId="177" fontId="100" fillId="48" borderId="98" xfId="0" applyNumberFormat="1" applyFont="1" applyFill="1" applyBorder="1" applyAlignment="1">
      <alignment horizontal="right"/>
    </xf>
    <xf numFmtId="190" fontId="3" fillId="0" borderId="0" xfId="0" applyNumberFormat="1" applyFont="1" applyAlignment="1">
      <alignment horizontal="center" vertical="center"/>
    </xf>
    <xf numFmtId="177" fontId="3" fillId="0" borderId="0" xfId="0" applyNumberFormat="1" applyFont="1" applyAlignment="1">
      <alignment vertical="center"/>
    </xf>
    <xf numFmtId="17" fontId="4" fillId="0" borderId="99" xfId="0" applyNumberFormat="1" applyFont="1" applyBorder="1" applyAlignment="1">
      <alignment horizontal="left" vertical="center"/>
    </xf>
    <xf numFmtId="17" fontId="4" fillId="0" borderId="64" xfId="0" applyNumberFormat="1" applyFont="1" applyBorder="1" applyAlignment="1">
      <alignment horizontal="left" vertical="center"/>
    </xf>
    <xf numFmtId="0" fontId="4" fillId="0" borderId="65" xfId="0" applyFont="1" applyBorder="1" applyAlignment="1">
      <alignment horizontal="right" vertical="center"/>
    </xf>
    <xf numFmtId="1" fontId="101" fillId="0" borderId="46" xfId="0" applyNumberFormat="1" applyFont="1" applyBorder="1" applyAlignment="1">
      <alignment horizontal="center"/>
    </xf>
    <xf numFmtId="1" fontId="101" fillId="0" borderId="93" xfId="0" applyNumberFormat="1" applyFont="1" applyBorder="1" applyAlignment="1">
      <alignment horizontal="center"/>
    </xf>
    <xf numFmtId="190" fontId="101" fillId="48" borderId="46" xfId="244" applyNumberFormat="1" applyFont="1" applyFill="1" applyBorder="1" applyAlignment="1">
      <alignment horizontal="center" vertical="center"/>
    </xf>
    <xf numFmtId="190" fontId="101" fillId="48" borderId="93" xfId="244" applyNumberFormat="1" applyFont="1" applyFill="1" applyBorder="1" applyAlignment="1">
      <alignment horizontal="center" vertical="center"/>
    </xf>
    <xf numFmtId="177" fontId="2" fillId="0" borderId="46" xfId="0" applyNumberFormat="1" applyFont="1" applyBorder="1"/>
    <xf numFmtId="177" fontId="101" fillId="48" borderId="46" xfId="0" applyNumberFormat="1" applyFont="1" applyFill="1" applyBorder="1"/>
    <xf numFmtId="177" fontId="101" fillId="48" borderId="0" xfId="244" applyNumberFormat="1" applyFont="1" applyFill="1"/>
    <xf numFmtId="177" fontId="101" fillId="0" borderId="46" xfId="0" applyNumberFormat="1" applyFont="1" applyBorder="1"/>
    <xf numFmtId="190" fontId="2" fillId="0" borderId="0" xfId="0" applyNumberFormat="1" applyFont="1" applyAlignment="1">
      <alignment horizontal="center" vertical="center"/>
    </xf>
    <xf numFmtId="0" fontId="4" fillId="0" borderId="0" xfId="0" applyFont="1" applyAlignment="1">
      <alignment horizontal="right" vertical="center"/>
    </xf>
    <xf numFmtId="192" fontId="101" fillId="0" borderId="0" xfId="0" applyNumberFormat="1" applyFont="1"/>
    <xf numFmtId="1" fontId="2" fillId="0" borderId="46" xfId="0" applyNumberFormat="1" applyFont="1" applyBorder="1" applyAlignment="1">
      <alignment horizontal="center" vertical="center" wrapText="1"/>
    </xf>
    <xf numFmtId="17" fontId="4" fillId="0" borderId="62" xfId="0" applyNumberFormat="1" applyFont="1" applyBorder="1" applyAlignment="1">
      <alignment horizontal="left" vertical="center"/>
    </xf>
    <xf numFmtId="177" fontId="3" fillId="0" borderId="0" xfId="0" applyNumberFormat="1" applyFont="1"/>
    <xf numFmtId="0" fontId="4" fillId="0" borderId="51" xfId="0" applyFont="1" applyBorder="1" applyAlignment="1">
      <alignment horizontal="right" vertical="center"/>
    </xf>
    <xf numFmtId="177" fontId="2" fillId="0" borderId="0" xfId="0" applyNumberFormat="1" applyFont="1"/>
    <xf numFmtId="0" fontId="3" fillId="0" borderId="60" xfId="0" applyFont="1" applyBorder="1"/>
    <xf numFmtId="17" fontId="4" fillId="0" borderId="54" xfId="0" applyNumberFormat="1" applyFont="1" applyBorder="1" applyAlignment="1">
      <alignment horizontal="left" vertical="center"/>
    </xf>
    <xf numFmtId="0" fontId="3" fillId="0" borderId="100" xfId="0" applyFont="1" applyBorder="1"/>
    <xf numFmtId="1" fontId="100" fillId="0" borderId="15" xfId="0" applyNumberFormat="1" applyFont="1" applyBorder="1" applyAlignment="1">
      <alignment horizontal="center"/>
    </xf>
    <xf numFmtId="1" fontId="2" fillId="0" borderId="101" xfId="0" applyNumberFormat="1" applyFont="1" applyBorder="1" applyAlignment="1">
      <alignment horizontal="center" vertical="center" wrapText="1"/>
    </xf>
    <xf numFmtId="0" fontId="102" fillId="0" borderId="94" xfId="0" applyFont="1" applyBorder="1" applyAlignment="1">
      <alignment horizontal="center" vertical="center" wrapText="1"/>
    </xf>
    <xf numFmtId="0" fontId="2" fillId="0" borderId="95" xfId="0" applyFont="1" applyBorder="1" applyAlignment="1">
      <alignment horizontal="center" vertical="center" wrapText="1"/>
    </xf>
    <xf numFmtId="192" fontId="100" fillId="48" borderId="79" xfId="0" applyNumberFormat="1" applyFont="1" applyFill="1" applyBorder="1" applyAlignment="1">
      <alignment horizontal="center"/>
    </xf>
    <xf numFmtId="1" fontId="100" fillId="48" borderId="102" xfId="0" applyNumberFormat="1" applyFont="1" applyFill="1" applyBorder="1" applyAlignment="1">
      <alignment horizontal="center" vertical="center"/>
    </xf>
    <xf numFmtId="177" fontId="100" fillId="48" borderId="2" xfId="0" applyNumberFormat="1" applyFont="1" applyFill="1" applyBorder="1"/>
    <xf numFmtId="177" fontId="100" fillId="48" borderId="80" xfId="0" applyNumberFormat="1" applyFont="1" applyFill="1" applyBorder="1"/>
    <xf numFmtId="43" fontId="3" fillId="0" borderId="0" xfId="1" applyFont="1"/>
    <xf numFmtId="177" fontId="100" fillId="48" borderId="85" xfId="0" applyNumberFormat="1" applyFont="1" applyFill="1" applyBorder="1"/>
    <xf numFmtId="192" fontId="101" fillId="0" borderId="87" xfId="0" applyNumberFormat="1" applyFont="1" applyBorder="1" applyAlignment="1">
      <alignment horizontal="center"/>
    </xf>
    <xf numFmtId="177" fontId="101" fillId="48" borderId="46" xfId="244" applyNumberFormat="1" applyFont="1" applyFill="1" applyBorder="1"/>
    <xf numFmtId="177" fontId="2" fillId="0" borderId="87" xfId="0" applyNumberFormat="1" applyFont="1" applyBorder="1"/>
    <xf numFmtId="177" fontId="101" fillId="48" borderId="100" xfId="0" applyNumberFormat="1" applyFont="1" applyFill="1" applyBorder="1"/>
    <xf numFmtId="0" fontId="3" fillId="0" borderId="23" xfId="0" applyFont="1" applyBorder="1"/>
    <xf numFmtId="192" fontId="3" fillId="0" borderId="0" xfId="0" applyNumberFormat="1" applyFont="1"/>
    <xf numFmtId="177" fontId="101" fillId="0" borderId="100" xfId="0" applyNumberFormat="1" applyFont="1" applyBorder="1"/>
    <xf numFmtId="192" fontId="101" fillId="0" borderId="93" xfId="0" applyNumberFormat="1" applyFont="1" applyBorder="1" applyAlignment="1">
      <alignment horizontal="center"/>
    </xf>
    <xf numFmtId="0" fontId="4" fillId="0" borderId="20" xfId="0" applyFont="1" applyBorder="1" applyAlignment="1">
      <alignment horizontal="center" vertical="center"/>
    </xf>
    <xf numFmtId="1" fontId="2" fillId="0" borderId="75" xfId="0" applyNumberFormat="1" applyFont="1" applyBorder="1" applyAlignment="1">
      <alignment horizontal="center" vertical="center" wrapText="1"/>
    </xf>
    <xf numFmtId="1" fontId="2" fillId="0" borderId="65" xfId="0" applyNumberFormat="1" applyFont="1" applyBorder="1" applyAlignment="1">
      <alignment horizontal="center" vertical="center" wrapText="1"/>
    </xf>
    <xf numFmtId="192" fontId="101" fillId="0" borderId="0" xfId="0" applyNumberFormat="1" applyFont="1" applyAlignment="1">
      <alignment horizontal="center"/>
    </xf>
    <xf numFmtId="1" fontId="2" fillId="0" borderId="91" xfId="0" applyNumberFormat="1" applyFont="1" applyBorder="1" applyAlignment="1">
      <alignment horizontal="center" vertical="center" wrapText="1"/>
    </xf>
    <xf numFmtId="1" fontId="2" fillId="0" borderId="89" xfId="0" applyNumberFormat="1" applyFont="1" applyBorder="1" applyAlignment="1">
      <alignment horizontal="center" vertical="center" wrapText="1"/>
    </xf>
    <xf numFmtId="1" fontId="2" fillId="0" borderId="51" xfId="0" applyNumberFormat="1" applyFont="1" applyBorder="1" applyAlignment="1">
      <alignment horizontal="center" vertical="center" wrapText="1"/>
    </xf>
    <xf numFmtId="190" fontId="100" fillId="0" borderId="2" xfId="244" applyNumberFormat="1" applyFont="1" applyBorder="1" applyAlignment="1">
      <alignment horizontal="center" vertical="center"/>
    </xf>
    <xf numFmtId="190" fontId="100" fillId="48" borderId="2" xfId="0" applyNumberFormat="1" applyFont="1" applyFill="1" applyBorder="1" applyAlignment="1">
      <alignment horizontal="center" vertical="center"/>
    </xf>
    <xf numFmtId="1" fontId="100" fillId="48" borderId="102" xfId="0" applyNumberFormat="1" applyFont="1" applyFill="1" applyBorder="1" applyAlignment="1">
      <alignment horizontal="center"/>
    </xf>
    <xf numFmtId="1" fontId="100" fillId="48" borderId="103" xfId="0" applyNumberFormat="1" applyFont="1" applyFill="1" applyBorder="1" applyAlignment="1">
      <alignment horizontal="center"/>
    </xf>
    <xf numFmtId="177" fontId="100" fillId="48" borderId="19" xfId="0" applyNumberFormat="1" applyFont="1" applyFill="1" applyBorder="1" applyAlignment="1">
      <alignment horizontal="right"/>
    </xf>
    <xf numFmtId="177" fontId="100" fillId="48" borderId="82" xfId="0" applyNumberFormat="1" applyFont="1" applyFill="1" applyBorder="1"/>
    <xf numFmtId="177" fontId="100" fillId="48" borderId="83" xfId="0" applyNumberFormat="1" applyFont="1" applyFill="1" applyBorder="1"/>
    <xf numFmtId="192" fontId="101" fillId="0" borderId="46" xfId="0" applyNumberFormat="1" applyFont="1" applyBorder="1" applyAlignment="1">
      <alignment horizontal="center"/>
    </xf>
    <xf numFmtId="190" fontId="101" fillId="0" borderId="46" xfId="0" applyNumberFormat="1" applyFont="1" applyBorder="1" applyAlignment="1">
      <alignment horizontal="center" vertical="center"/>
    </xf>
    <xf numFmtId="1" fontId="101" fillId="48" borderId="87" xfId="0" applyNumberFormat="1" applyFont="1" applyFill="1" applyBorder="1" applyAlignment="1">
      <alignment horizontal="center"/>
    </xf>
    <xf numFmtId="177" fontId="101" fillId="48" borderId="91" xfId="0" applyNumberFormat="1" applyFont="1" applyFill="1" applyBorder="1" applyAlignment="1">
      <alignment horizontal="right"/>
    </xf>
    <xf numFmtId="177" fontId="101" fillId="48" borderId="87" xfId="0" applyNumberFormat="1" applyFont="1" applyFill="1" applyBorder="1" applyAlignment="1">
      <alignment horizontal="right"/>
    </xf>
    <xf numFmtId="177" fontId="101" fillId="48" borderId="0" xfId="0" applyNumberFormat="1" applyFont="1" applyFill="1"/>
    <xf numFmtId="177" fontId="101" fillId="0" borderId="0" xfId="0" applyNumberFormat="1" applyFont="1"/>
    <xf numFmtId="0" fontId="4" fillId="0" borderId="22" xfId="0" applyFont="1" applyBorder="1"/>
    <xf numFmtId="0" fontId="100" fillId="0" borderId="79" xfId="0" applyFont="1" applyBorder="1" applyAlignment="1">
      <alignment horizontal="center"/>
    </xf>
    <xf numFmtId="0" fontId="100" fillId="0" borderId="2" xfId="0" applyFont="1" applyBorder="1" applyAlignment="1">
      <alignment horizontal="center"/>
    </xf>
    <xf numFmtId="177" fontId="100" fillId="0" borderId="2" xfId="244" applyNumberFormat="1" applyFont="1" applyBorder="1" applyAlignment="1">
      <alignment horizontal="right"/>
    </xf>
    <xf numFmtId="177" fontId="100" fillId="48" borderId="2" xfId="244" applyNumberFormat="1" applyFont="1" applyFill="1" applyBorder="1"/>
    <xf numFmtId="0" fontId="3" fillId="0" borderId="21" xfId="0" applyFont="1" applyBorder="1"/>
    <xf numFmtId="0" fontId="100" fillId="48" borderId="103" xfId="0" applyFont="1" applyFill="1" applyBorder="1" applyAlignment="1">
      <alignment horizontal="center"/>
    </xf>
    <xf numFmtId="0" fontId="101" fillId="0" borderId="87" xfId="0" applyFont="1" applyBorder="1" applyAlignment="1">
      <alignment horizontal="center"/>
    </xf>
    <xf numFmtId="0" fontId="101" fillId="0" borderId="46" xfId="0" applyFont="1" applyBorder="1" applyAlignment="1">
      <alignment horizontal="center"/>
    </xf>
    <xf numFmtId="177" fontId="101" fillId="48" borderId="93" xfId="244" applyNumberFormat="1" applyFont="1" applyFill="1" applyBorder="1"/>
    <xf numFmtId="192" fontId="101" fillId="0" borderId="100" xfId="0" applyNumberFormat="1" applyFont="1" applyBorder="1"/>
    <xf numFmtId="0" fontId="101" fillId="48" borderId="87" xfId="0" applyFont="1" applyFill="1" applyBorder="1" applyAlignment="1">
      <alignment horizontal="center"/>
    </xf>
    <xf numFmtId="0" fontId="99" fillId="57" borderId="104" xfId="0" applyFont="1" applyFill="1" applyBorder="1" applyAlignment="1">
      <alignment horizontal="center" vertical="center"/>
    </xf>
    <xf numFmtId="0" fontId="99" fillId="0" borderId="0" xfId="0" applyFont="1" applyAlignment="1">
      <alignment vertical="center"/>
    </xf>
    <xf numFmtId="0" fontId="4" fillId="0" borderId="46" xfId="0" applyFont="1" applyBorder="1" applyAlignment="1">
      <alignment horizontal="center" vertical="center"/>
    </xf>
    <xf numFmtId="0" fontId="2" fillId="0" borderId="104"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0" xfId="0" applyFont="1" applyAlignment="1">
      <alignment horizontal="center" vertical="center" wrapText="1"/>
    </xf>
    <xf numFmtId="1" fontId="2" fillId="0" borderId="0" xfId="0" applyNumberFormat="1" applyFont="1" applyAlignment="1">
      <alignment horizontal="center" vertical="center" wrapText="1"/>
    </xf>
    <xf numFmtId="193" fontId="100" fillId="48" borderId="98" xfId="0" applyNumberFormat="1" applyFont="1" applyFill="1" applyBorder="1" applyAlignment="1">
      <alignment horizontal="center"/>
    </xf>
    <xf numFmtId="17" fontId="4" fillId="0" borderId="61" xfId="0" applyNumberFormat="1" applyFont="1" applyBorder="1" applyAlignment="1">
      <alignment horizontal="left" vertical="center"/>
    </xf>
    <xf numFmtId="190" fontId="100" fillId="0" borderId="105" xfId="0" applyNumberFormat="1" applyFont="1" applyBorder="1" applyAlignment="1">
      <alignment horizontal="center" vertical="center"/>
    </xf>
    <xf numFmtId="1" fontId="100" fillId="0" borderId="36" xfId="0" applyNumberFormat="1" applyFont="1" applyBorder="1" applyAlignment="1">
      <alignment horizontal="center"/>
    </xf>
    <xf numFmtId="177" fontId="100" fillId="48" borderId="102" xfId="0" applyNumberFormat="1" applyFont="1" applyFill="1" applyBorder="1"/>
    <xf numFmtId="177" fontId="100" fillId="48" borderId="106" xfId="0" applyNumberFormat="1" applyFont="1" applyFill="1" applyBorder="1"/>
    <xf numFmtId="192" fontId="100" fillId="0" borderId="100" xfId="0" applyNumberFormat="1" applyFont="1" applyBorder="1"/>
    <xf numFmtId="1" fontId="100" fillId="0" borderId="107" xfId="0" applyNumberFormat="1" applyFont="1" applyBorder="1" applyAlignment="1">
      <alignment horizontal="center"/>
    </xf>
    <xf numFmtId="17" fontId="4" fillId="0" borderId="20" xfId="0" applyNumberFormat="1" applyFont="1" applyBorder="1" applyAlignment="1">
      <alignment horizontal="left" vertical="center"/>
    </xf>
    <xf numFmtId="177" fontId="100" fillId="0" borderId="0" xfId="0" applyNumberFormat="1" applyFont="1"/>
    <xf numFmtId="1" fontId="100" fillId="0" borderId="0" xfId="0" applyNumberFormat="1" applyFont="1" applyAlignment="1">
      <alignment horizontal="center"/>
    </xf>
    <xf numFmtId="177" fontId="100" fillId="0" borderId="0" xfId="0" applyNumberFormat="1" applyFont="1" applyAlignment="1">
      <alignment horizontal="right"/>
    </xf>
    <xf numFmtId="1" fontId="3" fillId="0" borderId="0" xfId="0" applyNumberFormat="1" applyFont="1"/>
    <xf numFmtId="17" fontId="4" fillId="0" borderId="18" xfId="0" applyNumberFormat="1" applyFont="1" applyBorder="1" applyAlignment="1">
      <alignment horizontal="left" vertical="center"/>
    </xf>
    <xf numFmtId="17" fontId="4" fillId="0" borderId="19" xfId="0" applyNumberFormat="1" applyFont="1" applyBorder="1" applyAlignment="1">
      <alignment horizontal="left" vertical="center"/>
    </xf>
    <xf numFmtId="17" fontId="4" fillId="0" borderId="0" xfId="0" applyNumberFormat="1" applyFont="1" applyAlignment="1">
      <alignment horizontal="left" vertical="center"/>
    </xf>
    <xf numFmtId="193" fontId="101" fillId="0" borderId="46" xfId="0" applyNumberFormat="1" applyFont="1" applyBorder="1" applyAlignment="1">
      <alignment horizontal="center"/>
    </xf>
    <xf numFmtId="0" fontId="4" fillId="0" borderId="51" xfId="0" applyFont="1" applyBorder="1" applyAlignment="1">
      <alignment horizontal="right"/>
    </xf>
    <xf numFmtId="190" fontId="101" fillId="0" borderId="93" xfId="0" applyNumberFormat="1" applyFont="1" applyBorder="1" applyAlignment="1">
      <alignment horizontal="center" vertical="center"/>
    </xf>
    <xf numFmtId="1" fontId="101" fillId="0" borderId="90" xfId="0" applyNumberFormat="1" applyFont="1" applyBorder="1" applyAlignment="1">
      <alignment horizontal="center"/>
    </xf>
    <xf numFmtId="1" fontId="101" fillId="48" borderId="89" xfId="0" applyNumberFormat="1" applyFont="1" applyFill="1" applyBorder="1" applyAlignment="1">
      <alignment horizontal="center"/>
    </xf>
    <xf numFmtId="0" fontId="101" fillId="48" borderId="89" xfId="0" applyFont="1" applyFill="1" applyBorder="1"/>
    <xf numFmtId="0" fontId="101" fillId="48" borderId="92" xfId="0" applyFont="1" applyFill="1" applyBorder="1"/>
    <xf numFmtId="1" fontId="101" fillId="0" borderId="51" xfId="0" applyNumberFormat="1" applyFont="1" applyBorder="1" applyAlignment="1">
      <alignment horizontal="center"/>
    </xf>
    <xf numFmtId="0" fontId="101" fillId="48" borderId="46" xfId="0" applyFont="1" applyFill="1" applyBorder="1" applyAlignment="1">
      <alignment horizontal="right"/>
    </xf>
    <xf numFmtId="1" fontId="101" fillId="0" borderId="0" xfId="0" applyNumberFormat="1" applyFont="1" applyAlignment="1">
      <alignment horizontal="center"/>
    </xf>
    <xf numFmtId="0" fontId="101" fillId="0" borderId="0" xfId="0" applyFont="1"/>
    <xf numFmtId="177" fontId="101" fillId="0" borderId="0" xfId="0" applyNumberFormat="1" applyFont="1" applyAlignment="1">
      <alignment horizontal="right"/>
    </xf>
    <xf numFmtId="0" fontId="2" fillId="0" borderId="0" xfId="0" applyFont="1" applyAlignment="1">
      <alignment horizontal="center" vertical="center"/>
    </xf>
    <xf numFmtId="0" fontId="98" fillId="0" borderId="0" xfId="0" applyFont="1" applyAlignment="1">
      <alignment vertical="center" wrapText="1"/>
    </xf>
    <xf numFmtId="0" fontId="4" fillId="0" borderId="0" xfId="0" applyFont="1" applyAlignment="1">
      <alignment horizontal="right"/>
    </xf>
    <xf numFmtId="0" fontId="4" fillId="0" borderId="93" xfId="0" applyFont="1" applyBorder="1" applyAlignment="1">
      <alignment horizontal="center" vertical="center" wrapText="1"/>
    </xf>
    <xf numFmtId="0" fontId="4" fillId="0" borderId="89" xfId="0" applyFont="1" applyBorder="1" applyAlignment="1">
      <alignment horizontal="center" vertical="center" wrapText="1"/>
    </xf>
    <xf numFmtId="0" fontId="2" fillId="0" borderId="93" xfId="0" applyFont="1" applyBorder="1" applyAlignment="1">
      <alignment horizontal="center" vertical="center"/>
    </xf>
    <xf numFmtId="0" fontId="2" fillId="0" borderId="92" xfId="0" applyFont="1" applyBorder="1" applyAlignment="1">
      <alignment horizontal="center" vertical="center"/>
    </xf>
    <xf numFmtId="0" fontId="4" fillId="0" borderId="104"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51" xfId="0" applyFont="1" applyBorder="1" applyAlignment="1">
      <alignment horizontal="center" vertical="center" wrapText="1"/>
    </xf>
    <xf numFmtId="0" fontId="4" fillId="0" borderId="46" xfId="0" applyFont="1" applyBorder="1" applyAlignment="1">
      <alignment horizontal="center" vertical="center" wrapText="1"/>
    </xf>
    <xf numFmtId="0" fontId="2" fillId="0" borderId="93" xfId="0" applyFont="1" applyBorder="1" applyAlignment="1">
      <alignment horizontal="center" vertical="center" wrapText="1"/>
    </xf>
    <xf numFmtId="0" fontId="2" fillId="0" borderId="92" xfId="0" applyFont="1" applyBorder="1" applyAlignment="1">
      <alignment horizontal="center" vertical="center" wrapText="1"/>
    </xf>
    <xf numFmtId="17" fontId="4" fillId="0" borderId="104" xfId="0" applyNumberFormat="1" applyFont="1" applyBorder="1" applyAlignment="1">
      <alignment horizontal="left" vertical="center"/>
    </xf>
    <xf numFmtId="190" fontId="3" fillId="0" borderId="109" xfId="244" applyNumberFormat="1" applyFont="1" applyBorder="1" applyAlignment="1">
      <alignment horizontal="center" vertical="center"/>
    </xf>
    <xf numFmtId="168" fontId="100" fillId="0" borderId="14" xfId="1" applyNumberFormat="1" applyFont="1" applyBorder="1" applyAlignment="1">
      <alignment horizontal="center" vertical="center"/>
    </xf>
    <xf numFmtId="1" fontId="100" fillId="48" borderId="110" xfId="0" applyNumberFormat="1" applyFont="1" applyFill="1" applyBorder="1" applyAlignment="1">
      <alignment horizontal="center"/>
    </xf>
    <xf numFmtId="177" fontId="3" fillId="0" borderId="62" xfId="0" applyNumberFormat="1" applyFont="1" applyBorder="1"/>
    <xf numFmtId="168" fontId="3" fillId="0" borderId="20" xfId="0" applyNumberFormat="1" applyFont="1" applyBorder="1" applyAlignment="1">
      <alignment horizontal="center" vertical="center"/>
    </xf>
    <xf numFmtId="17" fontId="4" fillId="0" borderId="78" xfId="0" applyNumberFormat="1" applyFont="1" applyBorder="1" applyAlignment="1">
      <alignment horizontal="left" vertical="center"/>
    </xf>
    <xf numFmtId="190" fontId="3" fillId="0" borderId="84" xfId="0" applyNumberFormat="1" applyFont="1" applyBorder="1" applyAlignment="1">
      <alignment horizontal="center" vertical="center"/>
    </xf>
    <xf numFmtId="177" fontId="3" fillId="0" borderId="85" xfId="0" applyNumberFormat="1" applyFont="1" applyBorder="1"/>
    <xf numFmtId="190" fontId="3" fillId="0" borderId="100" xfId="0" applyNumberFormat="1" applyFont="1" applyBorder="1" applyAlignment="1">
      <alignment horizontal="center" vertical="center"/>
    </xf>
    <xf numFmtId="17" fontId="4" fillId="0" borderId="81" xfId="0" applyNumberFormat="1" applyFont="1" applyBorder="1" applyAlignment="1">
      <alignment horizontal="left" vertical="center"/>
    </xf>
    <xf numFmtId="177" fontId="3" fillId="0" borderId="19" xfId="0" applyNumberFormat="1" applyFont="1" applyBorder="1"/>
    <xf numFmtId="177" fontId="3" fillId="0" borderId="83" xfId="0" applyNumberFormat="1" applyFont="1" applyBorder="1"/>
    <xf numFmtId="177" fontId="3" fillId="0" borderId="80" xfId="0" applyNumberFormat="1" applyFont="1" applyBorder="1"/>
    <xf numFmtId="190" fontId="2" fillId="0" borderId="91" xfId="0" applyNumberFormat="1" applyFont="1" applyBorder="1" applyAlignment="1">
      <alignment horizontal="center" vertical="center"/>
    </xf>
    <xf numFmtId="190" fontId="2" fillId="0" borderId="92" xfId="0" applyNumberFormat="1" applyFont="1" applyBorder="1" applyAlignment="1">
      <alignment horizontal="center" vertical="center"/>
    </xf>
    <xf numFmtId="168" fontId="2" fillId="0" borderId="87" xfId="1" applyNumberFormat="1" applyFont="1" applyBorder="1" applyAlignment="1">
      <alignment horizontal="center" vertical="center"/>
    </xf>
    <xf numFmtId="1" fontId="101" fillId="0" borderId="88" xfId="0" applyNumberFormat="1" applyFont="1" applyBorder="1" applyAlignment="1">
      <alignment horizontal="center"/>
    </xf>
    <xf numFmtId="177" fontId="2" fillId="0" borderId="95" xfId="0" applyNumberFormat="1" applyFont="1" applyBorder="1"/>
    <xf numFmtId="168" fontId="2" fillId="0" borderId="20" xfId="0" applyNumberFormat="1" applyFont="1" applyBorder="1" applyAlignment="1">
      <alignment horizontal="center" vertical="center"/>
    </xf>
    <xf numFmtId="190" fontId="2" fillId="0" borderId="87" xfId="0" applyNumberFormat="1" applyFont="1" applyBorder="1" applyAlignment="1">
      <alignment horizontal="center" vertical="center"/>
    </xf>
    <xf numFmtId="1" fontId="2" fillId="0" borderId="89" xfId="0" applyNumberFormat="1" applyFont="1" applyBorder="1" applyAlignment="1">
      <alignment horizontal="center"/>
    </xf>
    <xf numFmtId="0" fontId="2" fillId="0" borderId="92" xfId="0" applyFont="1" applyBorder="1"/>
    <xf numFmtId="190" fontId="2" fillId="0" borderId="100" xfId="0" applyNumberFormat="1" applyFont="1" applyBorder="1" applyAlignment="1">
      <alignment horizontal="center" vertical="center"/>
    </xf>
    <xf numFmtId="43" fontId="2" fillId="0" borderId="0" xfId="1" applyFont="1"/>
    <xf numFmtId="0" fontId="4" fillId="52" borderId="46" xfId="0" applyFont="1" applyFill="1" applyBorder="1" applyAlignment="1">
      <alignment horizontal="center" vertical="center"/>
    </xf>
    <xf numFmtId="0" fontId="2" fillId="0" borderId="46" xfId="0" applyFont="1" applyBorder="1" applyAlignment="1">
      <alignment horizontal="center" vertical="center" wrapText="1"/>
    </xf>
    <xf numFmtId="172" fontId="0" fillId="0" borderId="2" xfId="0" applyNumberFormat="1" applyBorder="1" applyAlignment="1">
      <alignment horizontal="center" vertical="center"/>
    </xf>
    <xf numFmtId="190" fontId="3" fillId="0" borderId="34" xfId="244" applyNumberFormat="1" applyFont="1" applyBorder="1" applyAlignment="1">
      <alignment horizontal="center" vertical="center"/>
    </xf>
    <xf numFmtId="168" fontId="100" fillId="0" borderId="31" xfId="1" applyNumberFormat="1" applyFont="1" applyBorder="1" applyAlignment="1">
      <alignment horizontal="center" vertical="center"/>
    </xf>
    <xf numFmtId="1" fontId="100" fillId="48" borderId="77" xfId="0" applyNumberFormat="1" applyFont="1" applyFill="1" applyBorder="1" applyAlignment="1">
      <alignment horizontal="center"/>
    </xf>
    <xf numFmtId="0" fontId="4" fillId="0" borderId="21" xfId="0" applyFont="1" applyBorder="1" applyAlignment="1">
      <alignment horizontal="right"/>
    </xf>
    <xf numFmtId="193" fontId="100" fillId="0" borderId="36" xfId="0" applyNumberFormat="1" applyFont="1" applyBorder="1" applyAlignment="1">
      <alignment horizontal="center"/>
    </xf>
    <xf numFmtId="193" fontId="3" fillId="0" borderId="81" xfId="0" applyNumberFormat="1" applyFont="1" applyBorder="1" applyAlignment="1">
      <alignment horizontal="center"/>
    </xf>
    <xf numFmtId="190" fontId="3" fillId="0" borderId="2" xfId="244" applyNumberFormat="1" applyFont="1" applyBorder="1" applyAlignment="1">
      <alignment horizontal="center" vertical="center"/>
    </xf>
    <xf numFmtId="1" fontId="100" fillId="48" borderId="2" xfId="0" applyNumberFormat="1" applyFont="1" applyFill="1" applyBorder="1" applyAlignment="1">
      <alignment horizontal="center"/>
    </xf>
    <xf numFmtId="17" fontId="4" fillId="0" borderId="4" xfId="0" applyNumberFormat="1" applyFont="1" applyBorder="1" applyAlignment="1">
      <alignment horizontal="left" vertical="center"/>
    </xf>
    <xf numFmtId="190" fontId="3" fillId="0" borderId="82" xfId="244" applyNumberFormat="1" applyFont="1" applyBorder="1" applyAlignment="1">
      <alignment horizontal="center" vertical="center"/>
    </xf>
    <xf numFmtId="1" fontId="100" fillId="48" borderId="82" xfId="0" applyNumberFormat="1" applyFont="1" applyFill="1" applyBorder="1" applyAlignment="1">
      <alignment horizontal="center"/>
    </xf>
    <xf numFmtId="177" fontId="3" fillId="0" borderId="64" xfId="0" applyNumberFormat="1" applyFont="1" applyBorder="1"/>
    <xf numFmtId="172" fontId="2" fillId="0" borderId="46" xfId="0" applyNumberFormat="1" applyFont="1" applyBorder="1" applyAlignment="1">
      <alignment horizontal="center" vertical="center"/>
    </xf>
    <xf numFmtId="190" fontId="2" fillId="0" borderId="65" xfId="0" applyNumberFormat="1" applyFont="1" applyBorder="1" applyAlignment="1">
      <alignment horizontal="center" vertical="center"/>
    </xf>
    <xf numFmtId="168" fontId="101" fillId="0" borderId="46" xfId="1" applyNumberFormat="1" applyFont="1" applyBorder="1" applyAlignment="1">
      <alignment horizontal="center" vertical="center"/>
    </xf>
    <xf numFmtId="1" fontId="101" fillId="0" borderId="22" xfId="0" applyNumberFormat="1" applyFont="1" applyBorder="1" applyAlignment="1">
      <alignment horizontal="center"/>
    </xf>
    <xf numFmtId="0" fontId="3" fillId="0" borderId="92" xfId="0" applyFont="1" applyBorder="1"/>
    <xf numFmtId="193" fontId="2" fillId="0" borderId="90" xfId="0" applyNumberFormat="1" applyFont="1" applyBorder="1" applyAlignment="1">
      <alignment horizontal="center"/>
    </xf>
    <xf numFmtId="0" fontId="4" fillId="0" borderId="46" xfId="0" applyFont="1" applyBorder="1" applyAlignment="1">
      <alignment horizontal="right"/>
    </xf>
    <xf numFmtId="193" fontId="2" fillId="0" borderId="46" xfId="0" applyNumberFormat="1" applyFont="1" applyBorder="1" applyAlignment="1">
      <alignment horizontal="center"/>
    </xf>
    <xf numFmtId="0" fontId="4" fillId="0" borderId="88" xfId="0" applyFont="1" applyBorder="1" applyAlignment="1">
      <alignment horizontal="center" vertical="center" wrapText="1"/>
    </xf>
    <xf numFmtId="0" fontId="2" fillId="0" borderId="89" xfId="0" applyFont="1" applyBorder="1" applyAlignment="1">
      <alignment horizontal="center" vertical="center"/>
    </xf>
    <xf numFmtId="190" fontId="3" fillId="0" borderId="76" xfId="244" applyNumberFormat="1" applyFont="1" applyBorder="1" applyAlignment="1">
      <alignment horizontal="center" vertical="center"/>
    </xf>
    <xf numFmtId="168" fontId="3" fillId="0" borderId="102" xfId="1" applyNumberFormat="1" applyFont="1" applyBorder="1" applyAlignment="1">
      <alignment horizontal="center" vertical="center"/>
    </xf>
    <xf numFmtId="177" fontId="3" fillId="0" borderId="106" xfId="0" applyNumberFormat="1" applyFont="1" applyBorder="1"/>
    <xf numFmtId="190" fontId="3" fillId="0" borderId="32" xfId="0" applyNumberFormat="1" applyFont="1" applyBorder="1" applyAlignment="1">
      <alignment horizontal="center" vertical="center"/>
    </xf>
    <xf numFmtId="1" fontId="3" fillId="0" borderId="2" xfId="0" applyNumberFormat="1" applyFont="1" applyBorder="1" applyAlignment="1">
      <alignment horizontal="center"/>
    </xf>
    <xf numFmtId="177" fontId="3" fillId="0" borderId="21" xfId="0" applyNumberFormat="1" applyFont="1" applyBorder="1"/>
    <xf numFmtId="190" fontId="2" fillId="0" borderId="51" xfId="0" applyNumberFormat="1" applyFont="1" applyBorder="1" applyAlignment="1">
      <alignment horizontal="center" vertical="center"/>
    </xf>
    <xf numFmtId="168" fontId="2" fillId="0" borderId="91" xfId="1" applyNumberFormat="1" applyFont="1" applyBorder="1" applyAlignment="1">
      <alignment horizontal="center" vertical="center"/>
    </xf>
    <xf numFmtId="0" fontId="2" fillId="0" borderId="95" xfId="0" applyFont="1" applyBorder="1"/>
    <xf numFmtId="190" fontId="2" fillId="0" borderId="88" xfId="0" applyNumberFormat="1" applyFont="1" applyBorder="1" applyAlignment="1">
      <alignment horizontal="center" vertical="center"/>
    </xf>
    <xf numFmtId="177" fontId="2" fillId="0" borderId="60" xfId="0" applyNumberFormat="1" applyFont="1" applyBorder="1"/>
    <xf numFmtId="44" fontId="3" fillId="0" borderId="0" xfId="0" applyNumberFormat="1" applyFont="1"/>
    <xf numFmtId="17" fontId="4" fillId="0" borderId="85" xfId="0" applyNumberFormat="1" applyFont="1" applyBorder="1" applyAlignment="1">
      <alignment horizontal="left" vertical="center"/>
    </xf>
    <xf numFmtId="17" fontId="4" fillId="0" borderId="83" xfId="0" applyNumberFormat="1" applyFont="1" applyBorder="1" applyAlignment="1">
      <alignment horizontal="left" vertical="center"/>
    </xf>
    <xf numFmtId="194" fontId="100" fillId="0" borderId="0" xfId="0" applyNumberFormat="1" applyFont="1" applyAlignment="1">
      <alignment horizontal="center"/>
    </xf>
    <xf numFmtId="195" fontId="100" fillId="0" borderId="0" xfId="0" applyNumberFormat="1" applyFont="1"/>
    <xf numFmtId="0" fontId="18" fillId="0" borderId="0" xfId="0" applyFont="1" applyAlignment="1">
      <alignment horizontal="left"/>
    </xf>
    <xf numFmtId="37" fontId="72" fillId="0" borderId="1" xfId="248" applyFont="1" applyBorder="1" applyAlignment="1">
      <alignment horizontal="left" indent="1"/>
    </xf>
    <xf numFmtId="37" fontId="72" fillId="0" borderId="0" xfId="248" applyFont="1"/>
    <xf numFmtId="37" fontId="72" fillId="0" borderId="1" xfId="248" applyFont="1" applyBorder="1" applyAlignment="1">
      <alignment horizontal="center"/>
    </xf>
    <xf numFmtId="37" fontId="72" fillId="0" borderId="0" xfId="248" applyFont="1" applyAlignment="1">
      <alignment horizontal="left" vertical="top"/>
    </xf>
    <xf numFmtId="37" fontId="72" fillId="0" borderId="0" xfId="248" applyFont="1" applyAlignment="1">
      <alignment vertical="top"/>
    </xf>
    <xf numFmtId="37" fontId="72" fillId="0" borderId="0" xfId="248" applyFont="1" applyAlignment="1">
      <alignment horizontal="center" vertical="top"/>
    </xf>
    <xf numFmtId="37" fontId="72" fillId="0" borderId="0" xfId="248" applyFont="1" applyAlignment="1">
      <alignment horizontal="left" vertical="top" wrapText="1"/>
    </xf>
    <xf numFmtId="37" fontId="72" fillId="0" borderId="0" xfId="248" applyFont="1" applyAlignment="1">
      <alignment horizontal="center" vertical="center"/>
    </xf>
    <xf numFmtId="0" fontId="106" fillId="0" borderId="0" xfId="0" applyFont="1"/>
    <xf numFmtId="0" fontId="7" fillId="0" borderId="23" xfId="0" applyFont="1" applyBorder="1"/>
    <xf numFmtId="43" fontId="18" fillId="0" borderId="1" xfId="1" applyFont="1" applyBorder="1" applyAlignment="1">
      <alignment horizontal="centerContinuous"/>
    </xf>
    <xf numFmtId="2" fontId="0" fillId="0" borderId="1" xfId="0" applyNumberFormat="1" applyBorder="1" applyAlignment="1">
      <alignment horizontal="centerContinuous"/>
    </xf>
    <xf numFmtId="0" fontId="18" fillId="0" borderId="1" xfId="0" applyFont="1" applyBorder="1" applyAlignment="1">
      <alignment horizontal="centerContinuous"/>
    </xf>
    <xf numFmtId="0" fontId="0" fillId="0" borderId="1" xfId="0" applyBorder="1"/>
    <xf numFmtId="43" fontId="107" fillId="0" borderId="0" xfId="1" applyFont="1" applyAlignment="1">
      <alignment horizontal="center" wrapText="1"/>
    </xf>
    <xf numFmtId="43" fontId="108" fillId="0" borderId="0" xfId="1" applyFont="1"/>
    <xf numFmtId="0" fontId="0" fillId="0" borderId="0" xfId="0" applyAlignment="1">
      <alignment horizontal="left" indent="1"/>
    </xf>
    <xf numFmtId="41" fontId="18" fillId="0" borderId="4" xfId="0" applyNumberFormat="1" applyFont="1" applyBorder="1"/>
    <xf numFmtId="41" fontId="18" fillId="0" borderId="0" xfId="0" applyNumberFormat="1" applyFont="1"/>
    <xf numFmtId="41" fontId="18" fillId="0" borderId="59" xfId="0" applyNumberFormat="1" applyFont="1" applyBorder="1"/>
    <xf numFmtId="0" fontId="7" fillId="0" borderId="0" xfId="0" applyFont="1" applyAlignment="1">
      <alignment horizontal="left"/>
    </xf>
    <xf numFmtId="43" fontId="68" fillId="0" borderId="1" xfId="1" applyFont="1" applyBorder="1"/>
    <xf numFmtId="43" fontId="68" fillId="0" borderId="1" xfId="1" applyFont="1" applyBorder="1" applyAlignment="1">
      <alignment horizontal="center" wrapText="1"/>
    </xf>
    <xf numFmtId="186" fontId="68" fillId="0" borderId="1" xfId="2" applyNumberFormat="1" applyFont="1" applyBorder="1"/>
    <xf numFmtId="10" fontId="68" fillId="0" borderId="1" xfId="2" applyNumberFormat="1" applyFont="1" applyBorder="1"/>
    <xf numFmtId="43" fontId="0" fillId="0" borderId="0" xfId="1" applyFont="1"/>
    <xf numFmtId="186" fontId="0" fillId="0" borderId="0" xfId="2" applyNumberFormat="1" applyFont="1"/>
    <xf numFmtId="43" fontId="18" fillId="0" borderId="111" xfId="1" applyFont="1" applyBorder="1"/>
    <xf numFmtId="43" fontId="18" fillId="0" borderId="75" xfId="1" applyFont="1" applyBorder="1"/>
    <xf numFmtId="186" fontId="18" fillId="0" borderId="94" xfId="2" applyNumberFormat="1" applyFont="1" applyBorder="1"/>
    <xf numFmtId="43" fontId="18" fillId="0" borderId="101" xfId="1" applyFont="1" applyBorder="1"/>
    <xf numFmtId="9" fontId="18" fillId="0" borderId="95" xfId="2" applyFont="1" applyBorder="1"/>
    <xf numFmtId="0" fontId="18" fillId="0" borderId="95" xfId="0" applyFont="1" applyBorder="1"/>
    <xf numFmtId="43" fontId="18" fillId="0" borderId="65" xfId="1" applyFont="1" applyBorder="1"/>
    <xf numFmtId="0" fontId="71" fillId="48" borderId="1" xfId="0" applyFont="1" applyFill="1" applyBorder="1"/>
    <xf numFmtId="0" fontId="71" fillId="48" borderId="1" xfId="0" applyFont="1" applyFill="1" applyBorder="1" applyAlignment="1">
      <alignment horizontal="right"/>
    </xf>
    <xf numFmtId="0" fontId="62" fillId="0" borderId="0" xfId="0" applyFont="1" applyAlignment="1">
      <alignment vertical="center" wrapText="1"/>
    </xf>
    <xf numFmtId="8" fontId="0" fillId="48" borderId="0" xfId="0" applyNumberFormat="1" applyFill="1"/>
    <xf numFmtId="177" fontId="101" fillId="0" borderId="104" xfId="0" applyNumberFormat="1" applyFont="1" applyBorder="1"/>
    <xf numFmtId="0" fontId="3" fillId="0" borderId="104" xfId="0" applyFont="1" applyBorder="1"/>
    <xf numFmtId="177" fontId="101" fillId="48" borderId="100" xfId="244" applyNumberFormat="1" applyFont="1" applyFill="1" applyBorder="1"/>
    <xf numFmtId="43" fontId="3" fillId="0" borderId="0" xfId="1" applyFont="1" applyBorder="1"/>
    <xf numFmtId="17" fontId="4" fillId="0" borderId="86" xfId="0" applyNumberFormat="1" applyFont="1" applyBorder="1" applyAlignment="1">
      <alignment horizontal="left" vertical="center"/>
    </xf>
    <xf numFmtId="168" fontId="74" fillId="0" borderId="0" xfId="1" applyNumberFormat="1" applyFont="1" applyFill="1" applyProtection="1">
      <protection locked="0"/>
    </xf>
    <xf numFmtId="10" fontId="74" fillId="0" borderId="0" xfId="246" applyNumberFormat="1" applyFont="1" applyFill="1" applyProtection="1">
      <protection locked="0"/>
    </xf>
    <xf numFmtId="0" fontId="75" fillId="0" borderId="0" xfId="247" applyFont="1"/>
    <xf numFmtId="0" fontId="74" fillId="0" borderId="0" xfId="247" applyFont="1"/>
    <xf numFmtId="2" fontId="74" fillId="0" borderId="0" xfId="247" applyNumberFormat="1" applyFont="1"/>
    <xf numFmtId="37" fontId="74" fillId="0" borderId="0" xfId="247" applyNumberFormat="1" applyFont="1"/>
    <xf numFmtId="177" fontId="74" fillId="0" borderId="0" xfId="247" applyNumberFormat="1" applyFont="1"/>
    <xf numFmtId="7" fontId="74" fillId="0" borderId="0" xfId="247" applyNumberFormat="1" applyFont="1"/>
    <xf numFmtId="168" fontId="74" fillId="0" borderId="0" xfId="1" applyNumberFormat="1" applyFont="1" applyFill="1"/>
    <xf numFmtId="5" fontId="74" fillId="0" borderId="0" xfId="247" applyNumberFormat="1" applyFont="1"/>
    <xf numFmtId="10" fontId="74" fillId="0" borderId="0" xfId="246" applyNumberFormat="1" applyFont="1" applyFill="1"/>
    <xf numFmtId="3" fontId="74" fillId="0" borderId="0" xfId="247" applyNumberFormat="1" applyFont="1"/>
    <xf numFmtId="178" fontId="74" fillId="0" borderId="0" xfId="247" applyNumberFormat="1" applyFont="1"/>
    <xf numFmtId="0" fontId="74" fillId="0" borderId="0" xfId="247" applyFont="1" applyAlignment="1">
      <alignment horizontal="left" indent="2"/>
    </xf>
    <xf numFmtId="179" fontId="74" fillId="0" borderId="0" xfId="247" applyNumberFormat="1" applyFont="1"/>
    <xf numFmtId="180" fontId="74" fillId="0" borderId="0" xfId="247" applyNumberFormat="1" applyFont="1"/>
    <xf numFmtId="0" fontId="74" fillId="0" borderId="59" xfId="247" applyFont="1" applyBorder="1" applyAlignment="1">
      <alignment horizontal="left"/>
    </xf>
    <xf numFmtId="0" fontId="74" fillId="0" borderId="59" xfId="247" applyFont="1" applyBorder="1"/>
    <xf numFmtId="37" fontId="74" fillId="0" borderId="59" xfId="247" applyNumberFormat="1" applyFont="1" applyBorder="1"/>
    <xf numFmtId="180" fontId="74" fillId="0" borderId="59" xfId="247" applyNumberFormat="1" applyFont="1" applyBorder="1"/>
    <xf numFmtId="178" fontId="74" fillId="0" borderId="59" xfId="247" applyNumberFormat="1" applyFont="1" applyBorder="1"/>
    <xf numFmtId="5" fontId="74" fillId="0" borderId="59" xfId="247" applyNumberFormat="1" applyFont="1" applyBorder="1"/>
    <xf numFmtId="10" fontId="74" fillId="0" borderId="59" xfId="246" applyNumberFormat="1" applyFont="1" applyFill="1" applyBorder="1"/>
    <xf numFmtId="181" fontId="74" fillId="0" borderId="0" xfId="247" applyNumberFormat="1" applyFont="1"/>
    <xf numFmtId="168" fontId="74" fillId="0" borderId="0" xfId="1" applyNumberFormat="1" applyFont="1" applyFill="1" applyBorder="1" applyProtection="1"/>
    <xf numFmtId="10" fontId="74" fillId="0" borderId="0" xfId="246" applyNumberFormat="1" applyFont="1" applyFill="1" applyBorder="1" applyProtection="1"/>
    <xf numFmtId="10" fontId="74" fillId="0" borderId="59" xfId="246" applyNumberFormat="1" applyFont="1" applyFill="1" applyBorder="1" applyProtection="1"/>
    <xf numFmtId="0" fontId="18" fillId="0" borderId="14" xfId="0" applyFont="1" applyBorder="1" applyAlignment="1">
      <alignment horizontal="left" indent="1"/>
    </xf>
    <xf numFmtId="44" fontId="68" fillId="0" borderId="3" xfId="1" applyNumberFormat="1" applyFont="1" applyFill="1" applyBorder="1" applyAlignment="1">
      <alignment vertical="center"/>
    </xf>
    <xf numFmtId="175" fontId="10" fillId="0" borderId="0" xfId="1" applyNumberFormat="1" applyFont="1" applyFill="1" applyAlignment="1">
      <alignment vertical="center"/>
    </xf>
    <xf numFmtId="0" fontId="0" fillId="0" borderId="0" xfId="0" applyAlignment="1">
      <alignment horizontal="left" wrapText="1"/>
    </xf>
    <xf numFmtId="176" fontId="0" fillId="0" borderId="0" xfId="0" applyNumberFormat="1"/>
    <xf numFmtId="0" fontId="18" fillId="0" borderId="14" xfId="0" applyFont="1" applyBorder="1" applyAlignment="1">
      <alignment horizontal="left"/>
    </xf>
    <xf numFmtId="0" fontId="1" fillId="0" borderId="0" xfId="10" applyAlignment="1">
      <alignment horizontal="center"/>
    </xf>
    <xf numFmtId="0" fontId="1" fillId="0" borderId="0" xfId="10" applyAlignment="1">
      <alignment wrapText="1"/>
    </xf>
    <xf numFmtId="0" fontId="1" fillId="0" borderId="0" xfId="10"/>
    <xf numFmtId="190" fontId="10" fillId="0" borderId="0" xfId="136" applyNumberFormat="1" applyFont="1" applyFill="1" applyAlignment="1">
      <alignment vertical="center"/>
    </xf>
    <xf numFmtId="190" fontId="0" fillId="0" borderId="0" xfId="138" applyNumberFormat="1" applyFont="1" applyFill="1"/>
    <xf numFmtId="190" fontId="1" fillId="0" borderId="0" xfId="10" applyNumberFormat="1"/>
    <xf numFmtId="172" fontId="10" fillId="0" borderId="0" xfId="244" applyNumberFormat="1" applyFont="1" applyFill="1" applyAlignment="1">
      <alignment vertical="center"/>
    </xf>
    <xf numFmtId="172" fontId="68" fillId="0" borderId="3" xfId="1" applyNumberFormat="1" applyFont="1" applyFill="1" applyBorder="1" applyAlignment="1">
      <alignment vertical="center"/>
    </xf>
    <xf numFmtId="172" fontId="0" fillId="0" borderId="0" xfId="9" applyNumberFormat="1" applyFont="1" applyFill="1"/>
    <xf numFmtId="172" fontId="0" fillId="0" borderId="0" xfId="0" applyNumberFormat="1" applyAlignment="1">
      <alignment horizontal="center"/>
    </xf>
    <xf numFmtId="44" fontId="68" fillId="0" borderId="0" xfId="1" applyNumberFormat="1" applyFont="1" applyFill="1" applyBorder="1" applyAlignment="1">
      <alignment vertical="center"/>
    </xf>
    <xf numFmtId="187" fontId="10" fillId="0" borderId="0" xfId="1" applyNumberFormat="1" applyFont="1" applyFill="1" applyAlignment="1">
      <alignment vertical="center"/>
    </xf>
    <xf numFmtId="9" fontId="0" fillId="0" borderId="0" xfId="16" applyFont="1" applyFill="1"/>
    <xf numFmtId="185" fontId="68" fillId="0" borderId="3" xfId="1" applyNumberFormat="1" applyFont="1" applyFill="1" applyBorder="1" applyAlignment="1">
      <alignment vertical="center"/>
    </xf>
    <xf numFmtId="172" fontId="0" fillId="0" borderId="0" xfId="0" applyNumberFormat="1"/>
    <xf numFmtId="185" fontId="0" fillId="0" borderId="0" xfId="9" applyNumberFormat="1" applyFont="1" applyFill="1"/>
    <xf numFmtId="0" fontId="18" fillId="0" borderId="14" xfId="10" applyFont="1" applyBorder="1" applyAlignment="1">
      <alignment horizontal="center"/>
    </xf>
    <xf numFmtId="0" fontId="1" fillId="0" borderId="3" xfId="10" applyBorder="1" applyAlignment="1">
      <alignment horizontal="left" wrapText="1"/>
    </xf>
    <xf numFmtId="0" fontId="1" fillId="0" borderId="3" xfId="10" applyBorder="1" applyAlignment="1">
      <alignment horizontal="left" indent="2"/>
    </xf>
    <xf numFmtId="44" fontId="68" fillId="0" borderId="3" xfId="136" applyNumberFormat="1" applyFont="1" applyFill="1" applyBorder="1" applyAlignment="1">
      <alignment vertical="center"/>
    </xf>
    <xf numFmtId="172" fontId="68" fillId="0" borderId="3" xfId="136" applyNumberFormat="1" applyFont="1" applyFill="1" applyBorder="1" applyAlignment="1">
      <alignment vertical="center"/>
    </xf>
    <xf numFmtId="187" fontId="10" fillId="0" borderId="0" xfId="136" applyNumberFormat="1" applyFont="1" applyFill="1" applyAlignment="1">
      <alignment vertical="center"/>
    </xf>
    <xf numFmtId="187" fontId="0" fillId="0" borderId="0" xfId="138" applyNumberFormat="1" applyFont="1" applyFill="1"/>
    <xf numFmtId="187" fontId="1" fillId="0" borderId="0" xfId="10" applyNumberFormat="1"/>
    <xf numFmtId="0" fontId="1" fillId="0" borderId="0" xfId="201" applyAlignment="1">
      <alignment vertical="top" wrapText="1"/>
    </xf>
    <xf numFmtId="0" fontId="1" fillId="0" borderId="0" xfId="201" applyAlignment="1">
      <alignment vertical="center" wrapText="1"/>
    </xf>
    <xf numFmtId="184" fontId="0" fillId="0" borderId="0" xfId="0" applyNumberFormat="1"/>
    <xf numFmtId="184" fontId="68" fillId="0" borderId="3" xfId="1" applyNumberFormat="1" applyFont="1" applyFill="1" applyBorder="1" applyAlignment="1">
      <alignment vertical="center"/>
    </xf>
    <xf numFmtId="184" fontId="10" fillId="0" borderId="0" xfId="1" applyNumberFormat="1" applyFont="1" applyFill="1" applyAlignment="1">
      <alignment vertical="center"/>
    </xf>
    <xf numFmtId="184" fontId="0" fillId="0" borderId="0" xfId="9" applyNumberFormat="1" applyFont="1" applyFill="1"/>
    <xf numFmtId="185" fontId="10" fillId="0" borderId="0" xfId="1" applyNumberFormat="1" applyFont="1" applyFill="1" applyBorder="1" applyAlignment="1">
      <alignment vertical="center"/>
    </xf>
    <xf numFmtId="191" fontId="0" fillId="0" borderId="0" xfId="0" applyNumberFormat="1"/>
    <xf numFmtId="0" fontId="91" fillId="0" borderId="0" xfId="0" applyFont="1"/>
    <xf numFmtId="0" fontId="4" fillId="0" borderId="63" xfId="0" applyFont="1" applyBorder="1" applyAlignment="1">
      <alignment horizontal="left"/>
    </xf>
    <xf numFmtId="0" fontId="87" fillId="0" borderId="63" xfId="0" applyFont="1" applyBorder="1" applyAlignment="1">
      <alignment horizontal="center"/>
    </xf>
    <xf numFmtId="0" fontId="4" fillId="0" borderId="3" xfId="0" applyFont="1" applyBorder="1"/>
    <xf numFmtId="3" fontId="4" fillId="0" borderId="3" xfId="0" applyNumberFormat="1" applyFont="1" applyBorder="1"/>
    <xf numFmtId="0" fontId="4" fillId="0" borderId="63" xfId="0" applyFont="1" applyBorder="1"/>
    <xf numFmtId="3" fontId="4" fillId="0" borderId="63" xfId="0" applyNumberFormat="1" applyFont="1" applyBorder="1"/>
    <xf numFmtId="0" fontId="63" fillId="0" borderId="0" xfId="0" applyFont="1"/>
    <xf numFmtId="172" fontId="0" fillId="0" borderId="0" xfId="244" applyNumberFormat="1" applyFont="1" applyFill="1"/>
    <xf numFmtId="0" fontId="18" fillId="0" borderId="14" xfId="0" applyFont="1" applyBorder="1"/>
    <xf numFmtId="0" fontId="18" fillId="0" borderId="3" xfId="0" applyFont="1" applyBorder="1"/>
    <xf numFmtId="2" fontId="20" fillId="0" borderId="3" xfId="0" applyNumberFormat="1" applyFont="1" applyBorder="1"/>
    <xf numFmtId="2" fontId="0" fillId="0" borderId="0" xfId="0" applyNumberFormat="1"/>
    <xf numFmtId="41" fontId="20" fillId="0" borderId="3" xfId="0" applyNumberFormat="1" applyFont="1" applyBorder="1"/>
    <xf numFmtId="0" fontId="18" fillId="0" borderId="0" xfId="0" applyFont="1" applyAlignment="1">
      <alignment horizontal="left" indent="2"/>
    </xf>
    <xf numFmtId="0" fontId="7" fillId="0" borderId="0" xfId="0" applyFont="1" applyAlignment="1">
      <alignment horizontal="left" indent="4"/>
    </xf>
    <xf numFmtId="0" fontId="18" fillId="0" borderId="0" xfId="0" applyFont="1" applyAlignment="1">
      <alignment horizontal="left" indent="5"/>
    </xf>
    <xf numFmtId="0" fontId="0" fillId="0" borderId="0" xfId="0" applyAlignment="1">
      <alignment horizontal="left" indent="5"/>
    </xf>
    <xf numFmtId="41" fontId="18" fillId="0" borderId="0" xfId="244" applyNumberFormat="1" applyFont="1" applyFill="1"/>
    <xf numFmtId="0" fontId="18" fillId="0" borderId="3" xfId="0" applyFont="1" applyBorder="1" applyAlignment="1">
      <alignment horizontal="left" wrapText="1" indent="2"/>
    </xf>
    <xf numFmtId="41" fontId="18" fillId="0" borderId="3" xfId="244" applyNumberFormat="1" applyFont="1" applyFill="1" applyBorder="1"/>
    <xf numFmtId="41" fontId="0" fillId="0" borderId="3" xfId="0" applyNumberFormat="1" applyBorder="1"/>
    <xf numFmtId="2" fontId="20" fillId="0" borderId="0" xfId="0" applyNumberFormat="1" applyFont="1"/>
    <xf numFmtId="3" fontId="87" fillId="0" borderId="0" xfId="0" applyNumberFormat="1" applyFont="1"/>
    <xf numFmtId="41" fontId="0" fillId="0" borderId="0" xfId="244" applyNumberFormat="1" applyFont="1" applyFill="1"/>
    <xf numFmtId="43" fontId="0" fillId="0" borderId="0" xfId="0" applyNumberFormat="1"/>
    <xf numFmtId="43" fontId="18" fillId="0" borderId="0" xfId="0" applyNumberFormat="1" applyFont="1" applyAlignment="1">
      <alignment horizontal="center"/>
    </xf>
    <xf numFmtId="0" fontId="18" fillId="0" borderId="14" xfId="0" applyFont="1" applyBorder="1" applyAlignment="1">
      <alignment horizontal="left" indent="4"/>
    </xf>
    <xf numFmtId="0" fontId="0" fillId="0" borderId="3" xfId="0" applyBorder="1"/>
    <xf numFmtId="171" fontId="18" fillId="0" borderId="3" xfId="0" applyNumberFormat="1" applyFont="1" applyBorder="1" applyAlignment="1">
      <alignment horizontal="center"/>
    </xf>
    <xf numFmtId="41" fontId="18" fillId="0" borderId="15" xfId="244" applyNumberFormat="1" applyFont="1" applyFill="1" applyBorder="1"/>
    <xf numFmtId="0" fontId="18" fillId="0" borderId="23" xfId="0" applyFont="1" applyBorder="1" applyAlignment="1">
      <alignment horizontal="left" indent="3"/>
    </xf>
    <xf numFmtId="41" fontId="0" fillId="0" borderId="23" xfId="0" applyNumberFormat="1" applyBorder="1" applyAlignment="1">
      <alignment horizontal="left" indent="2"/>
    </xf>
    <xf numFmtId="41" fontId="0" fillId="0" borderId="0" xfId="0" applyNumberFormat="1" applyAlignment="1">
      <alignment horizontal="left" indent="2"/>
    </xf>
    <xf numFmtId="41" fontId="0" fillId="0" borderId="3" xfId="0" applyNumberFormat="1" applyBorder="1" applyAlignment="1">
      <alignment horizontal="left" indent="2"/>
    </xf>
    <xf numFmtId="41" fontId="18" fillId="0" borderId="3" xfId="0" applyNumberFormat="1" applyFont="1" applyBorder="1" applyAlignment="1">
      <alignment horizontal="center"/>
    </xf>
    <xf numFmtId="41" fontId="18" fillId="0" borderId="3" xfId="0" applyNumberFormat="1" applyFont="1" applyBorder="1"/>
    <xf numFmtId="41" fontId="18" fillId="0" borderId="15" xfId="0" applyNumberFormat="1" applyFont="1" applyBorder="1"/>
    <xf numFmtId="41" fontId="0" fillId="0" borderId="0" xfId="0" applyNumberFormat="1" applyAlignment="1">
      <alignment horizontal="right"/>
    </xf>
    <xf numFmtId="0" fontId="65" fillId="0" borderId="0" xfId="0" applyFont="1"/>
    <xf numFmtId="0" fontId="71" fillId="0" borderId="0" xfId="0" applyFont="1" applyAlignment="1">
      <alignment horizontal="left" indent="1"/>
    </xf>
    <xf numFmtId="0" fontId="65" fillId="0" borderId="14" xfId="0" applyFont="1" applyBorder="1" applyAlignment="1">
      <alignment horizontal="left" indent="2"/>
    </xf>
    <xf numFmtId="177" fontId="65" fillId="0" borderId="3" xfId="0" applyNumberFormat="1" applyFont="1" applyBorder="1"/>
    <xf numFmtId="41" fontId="65" fillId="0" borderId="3" xfId="0" applyNumberFormat="1" applyFont="1" applyBorder="1"/>
    <xf numFmtId="41" fontId="65" fillId="0" borderId="15" xfId="0" applyNumberFormat="1" applyFont="1" applyBorder="1"/>
    <xf numFmtId="0" fontId="65" fillId="0" borderId="0" xfId="0" applyFont="1" applyAlignment="1">
      <alignment horizontal="left" indent="2"/>
    </xf>
    <xf numFmtId="177" fontId="65" fillId="0" borderId="0" xfId="0" applyNumberFormat="1" applyFont="1"/>
    <xf numFmtId="41" fontId="65" fillId="0" borderId="0" xfId="0" applyNumberFormat="1" applyFont="1"/>
    <xf numFmtId="41" fontId="0" fillId="0" borderId="0" xfId="0" applyNumberFormat="1" applyAlignment="1">
      <alignment horizontal="center"/>
    </xf>
    <xf numFmtId="0" fontId="18" fillId="0" borderId="14" xfId="0" applyFont="1" applyBorder="1" applyAlignment="1">
      <alignment horizontal="left" indent="2"/>
    </xf>
    <xf numFmtId="177" fontId="18" fillId="0" borderId="3" xfId="0" applyNumberFormat="1" applyFont="1" applyBorder="1"/>
    <xf numFmtId="0" fontId="53" fillId="0" borderId="0" xfId="0" applyFont="1" applyAlignment="1">
      <alignment horizontal="left" indent="3"/>
    </xf>
    <xf numFmtId="0" fontId="53" fillId="0" borderId="0" xfId="0" applyFont="1"/>
    <xf numFmtId="41" fontId="89" fillId="0" borderId="3" xfId="0" applyNumberFormat="1" applyFont="1" applyBorder="1"/>
    <xf numFmtId="0" fontId="53" fillId="0" borderId="0" xfId="0" applyFont="1" applyAlignment="1">
      <alignment horizontal="center" vertical="center"/>
    </xf>
    <xf numFmtId="0" fontId="90" fillId="0" borderId="0" xfId="0" applyFont="1"/>
    <xf numFmtId="0" fontId="110" fillId="0" borderId="0" xfId="0" applyFont="1"/>
    <xf numFmtId="0" fontId="90" fillId="0" borderId="0" xfId="0" applyFont="1" applyAlignment="1">
      <alignment horizontal="left" indent="1"/>
    </xf>
    <xf numFmtId="43" fontId="53" fillId="0" borderId="0" xfId="1" applyFont="1" applyFill="1"/>
    <xf numFmtId="0" fontId="111" fillId="0" borderId="0" xfId="0" applyFont="1" applyAlignment="1">
      <alignment horizontal="right" vertical="top"/>
    </xf>
    <xf numFmtId="0" fontId="111" fillId="0" borderId="0" xfId="0" applyFont="1"/>
    <xf numFmtId="43" fontId="53" fillId="0" borderId="0" xfId="0" applyNumberFormat="1" applyFont="1"/>
    <xf numFmtId="0" fontId="3" fillId="0" borderId="0" xfId="0" applyFont="1" applyAlignment="1">
      <alignment horizontal="left"/>
    </xf>
    <xf numFmtId="0" fontId="17" fillId="0" borderId="1" xfId="0" applyFont="1" applyBorder="1" applyAlignment="1">
      <alignment horizontal="center" wrapText="1"/>
    </xf>
    <xf numFmtId="0" fontId="17" fillId="0" borderId="0" xfId="0" applyFont="1" applyAlignment="1">
      <alignment horizontal="center" wrapText="1"/>
    </xf>
    <xf numFmtId="172" fontId="17" fillId="0" borderId="0" xfId="1" applyNumberFormat="1" applyFont="1" applyFill="1" applyBorder="1"/>
    <xf numFmtId="41" fontId="17" fillId="0" borderId="0" xfId="1" applyNumberFormat="1" applyFont="1" applyFill="1" applyBorder="1"/>
    <xf numFmtId="41" fontId="17" fillId="0" borderId="0" xfId="1" applyNumberFormat="1" applyFont="1" applyFill="1"/>
    <xf numFmtId="168" fontId="17" fillId="0" borderId="0" xfId="1" applyNumberFormat="1" applyFont="1" applyFill="1" applyBorder="1"/>
    <xf numFmtId="41" fontId="82" fillId="0" borderId="4" xfId="2" applyNumberFormat="1" applyFont="1" applyFill="1" applyBorder="1"/>
    <xf numFmtId="41" fontId="17" fillId="0" borderId="0" xfId="2" applyNumberFormat="1" applyFont="1" applyFill="1" applyBorder="1"/>
    <xf numFmtId="41" fontId="82" fillId="0" borderId="0" xfId="1" applyNumberFormat="1" applyFont="1" applyFill="1" applyBorder="1"/>
    <xf numFmtId="41" fontId="17" fillId="0" borderId="1" xfId="1" applyNumberFormat="1" applyFont="1" applyFill="1" applyBorder="1"/>
    <xf numFmtId="172" fontId="82" fillId="0" borderId="0" xfId="244" applyNumberFormat="1" applyFont="1" applyFill="1" applyBorder="1"/>
    <xf numFmtId="41" fontId="82" fillId="0" borderId="0" xfId="244" applyNumberFormat="1" applyFont="1" applyFill="1" applyBorder="1"/>
    <xf numFmtId="0" fontId="65" fillId="0" borderId="0" xfId="0" applyFont="1" applyAlignment="1">
      <alignment horizontal="left" indent="1"/>
    </xf>
    <xf numFmtId="41" fontId="65" fillId="0" borderId="0" xfId="0" applyNumberFormat="1" applyFont="1" applyAlignment="1">
      <alignment horizontal="left" indent="1"/>
    </xf>
    <xf numFmtId="41" fontId="17" fillId="0" borderId="0" xfId="244" applyNumberFormat="1" applyFont="1" applyFill="1" applyBorder="1"/>
    <xf numFmtId="41" fontId="82" fillId="0" borderId="0" xfId="244" applyNumberFormat="1" applyFont="1" applyFill="1"/>
    <xf numFmtId="189" fontId="82" fillId="0" borderId="0" xfId="244" applyNumberFormat="1" applyFont="1" applyFill="1" applyBorder="1"/>
    <xf numFmtId="189" fontId="82" fillId="0" borderId="0" xfId="244" applyNumberFormat="1" applyFont="1" applyFill="1"/>
    <xf numFmtId="0" fontId="82" fillId="0" borderId="0" xfId="0" applyFont="1"/>
    <xf numFmtId="0" fontId="17" fillId="0" borderId="0" xfId="0" applyFont="1"/>
    <xf numFmtId="41" fontId="17" fillId="0" borderId="0" xfId="0" applyNumberFormat="1" applyFont="1"/>
    <xf numFmtId="0" fontId="17" fillId="0" borderId="0" xfId="0" applyFont="1" applyAlignment="1">
      <alignment horizontal="left" indent="1"/>
    </xf>
    <xf numFmtId="41" fontId="112" fillId="0" borderId="0" xfId="0" applyNumberFormat="1" applyFont="1"/>
    <xf numFmtId="41" fontId="113" fillId="0" borderId="0" xfId="0" applyNumberFormat="1" applyFont="1"/>
    <xf numFmtId="41" fontId="114" fillId="0" borderId="0" xfId="0" applyNumberFormat="1" applyFont="1"/>
    <xf numFmtId="5" fontId="17" fillId="0" borderId="0" xfId="0" applyNumberFormat="1" applyFont="1"/>
    <xf numFmtId="41" fontId="82" fillId="0" borderId="0" xfId="0" applyNumberFormat="1" applyFont="1"/>
    <xf numFmtId="41" fontId="82" fillId="0" borderId="4" xfId="0" applyNumberFormat="1" applyFont="1" applyBorder="1"/>
    <xf numFmtId="41" fontId="17" fillId="0" borderId="1" xfId="0" applyNumberFormat="1" applyFont="1" applyBorder="1"/>
    <xf numFmtId="0" fontId="82" fillId="0" borderId="0" xfId="0" applyFont="1" applyAlignment="1">
      <alignment horizontal="left"/>
    </xf>
    <xf numFmtId="0" fontId="82" fillId="0" borderId="0" xfId="0" applyFont="1" applyAlignment="1">
      <alignment wrapText="1"/>
    </xf>
    <xf numFmtId="43" fontId="82" fillId="0" borderId="0" xfId="0" applyNumberFormat="1" applyFont="1"/>
    <xf numFmtId="41" fontId="114" fillId="0" borderId="0" xfId="1" applyNumberFormat="1" applyFont="1" applyFill="1" applyBorder="1"/>
    <xf numFmtId="168" fontId="82" fillId="0" borderId="0" xfId="0" applyNumberFormat="1" applyFont="1"/>
    <xf numFmtId="0" fontId="82" fillId="0" borderId="0" xfId="0" applyFont="1" applyAlignment="1">
      <alignment horizontal="center" wrapText="1"/>
    </xf>
    <xf numFmtId="3" fontId="82" fillId="0" borderId="0" xfId="0" applyNumberFormat="1" applyFont="1"/>
    <xf numFmtId="0" fontId="0" fillId="0" borderId="35" xfId="0" applyBorder="1" applyAlignment="1">
      <alignment horizontal="center" wrapText="1"/>
    </xf>
    <xf numFmtId="0" fontId="0" fillId="0" borderId="73" xfId="0" applyBorder="1" applyAlignment="1">
      <alignment horizontal="center" wrapText="1"/>
    </xf>
    <xf numFmtId="0" fontId="0" fillId="0" borderId="72" xfId="0" applyBorder="1" applyAlignment="1">
      <alignment horizontal="center"/>
    </xf>
    <xf numFmtId="168" fontId="20" fillId="0" borderId="3" xfId="0" applyNumberFormat="1" applyFont="1" applyBorder="1"/>
    <xf numFmtId="41" fontId="20" fillId="0" borderId="71" xfId="0" applyNumberFormat="1" applyFont="1" applyBorder="1"/>
    <xf numFmtId="41" fontId="20" fillId="0" borderId="70" xfId="0" applyNumberFormat="1" applyFont="1" applyBorder="1"/>
    <xf numFmtId="41" fontId="18" fillId="0" borderId="71" xfId="244" applyNumberFormat="1" applyFont="1" applyFill="1" applyBorder="1"/>
    <xf numFmtId="41" fontId="18" fillId="0" borderId="72" xfId="244" applyNumberFormat="1" applyFont="1" applyFill="1" applyBorder="1"/>
    <xf numFmtId="5" fontId="0" fillId="0" borderId="0" xfId="1" applyNumberFormat="1" applyFont="1" applyFill="1" applyBorder="1"/>
    <xf numFmtId="41" fontId="20" fillId="0" borderId="73" xfId="0" applyNumberFormat="1" applyFont="1" applyBorder="1"/>
    <xf numFmtId="41" fontId="64" fillId="0" borderId="0" xfId="0" applyNumberFormat="1" applyFont="1"/>
    <xf numFmtId="41" fontId="20" fillId="0" borderId="69" xfId="0" applyNumberFormat="1" applyFont="1" applyBorder="1"/>
    <xf numFmtId="0" fontId="65" fillId="0" borderId="14" xfId="0" applyFont="1" applyBorder="1"/>
    <xf numFmtId="41" fontId="66" fillId="0" borderId="3" xfId="0" applyNumberFormat="1" applyFont="1" applyBorder="1"/>
    <xf numFmtId="168" fontId="66" fillId="0" borderId="3" xfId="0" applyNumberFormat="1" applyFont="1" applyBorder="1"/>
    <xf numFmtId="168" fontId="64" fillId="0" borderId="0" xfId="0" applyNumberFormat="1" applyFont="1"/>
    <xf numFmtId="189" fontId="66" fillId="0" borderId="0" xfId="0" applyNumberFormat="1" applyFont="1"/>
    <xf numFmtId="41" fontId="66" fillId="0" borderId="0" xfId="0" applyNumberFormat="1" applyFont="1"/>
    <xf numFmtId="41" fontId="0" fillId="0" borderId="0" xfId="0" applyNumberFormat="1" applyAlignment="1">
      <alignment horizontal="center" wrapText="1"/>
    </xf>
    <xf numFmtId="41" fontId="0" fillId="0" borderId="72" xfId="0" applyNumberFormat="1" applyBorder="1"/>
    <xf numFmtId="172" fontId="0" fillId="0" borderId="72" xfId="244" applyNumberFormat="1" applyFont="1" applyFill="1" applyBorder="1"/>
    <xf numFmtId="0" fontId="0" fillId="0" borderId="72" xfId="0" applyBorder="1"/>
    <xf numFmtId="168" fontId="0" fillId="0" borderId="0" xfId="0" applyNumberFormat="1"/>
    <xf numFmtId="41" fontId="66" fillId="0" borderId="71" xfId="0" applyNumberFormat="1" applyFont="1" applyBorder="1"/>
    <xf numFmtId="41" fontId="66" fillId="0" borderId="72" xfId="0" applyNumberFormat="1" applyFont="1" applyBorder="1"/>
    <xf numFmtId="41" fontId="0" fillId="0" borderId="71" xfId="0" applyNumberFormat="1" applyBorder="1"/>
    <xf numFmtId="6" fontId="0" fillId="0" borderId="0" xfId="1" applyNumberFormat="1" applyFont="1" applyFill="1" applyBorder="1"/>
    <xf numFmtId="0" fontId="7" fillId="0" borderId="0" xfId="0" applyFont="1" applyAlignment="1">
      <alignment horizontal="center" wrapText="1"/>
    </xf>
    <xf numFmtId="0" fontId="18" fillId="0" borderId="23" xfId="0" applyFont="1" applyBorder="1"/>
    <xf numFmtId="41" fontId="18" fillId="0" borderId="23" xfId="0" applyNumberFormat="1" applyFont="1" applyBorder="1"/>
    <xf numFmtId="41" fontId="18" fillId="0" borderId="74" xfId="0" applyNumberFormat="1" applyFont="1" applyBorder="1"/>
    <xf numFmtId="41" fontId="0" fillId="0" borderId="74" xfId="0" applyNumberFormat="1" applyBorder="1"/>
    <xf numFmtId="0" fontId="18" fillId="0" borderId="3" xfId="0" applyFont="1" applyBorder="1" applyAlignment="1">
      <alignment horizontal="left" indent="2"/>
    </xf>
    <xf numFmtId="41" fontId="18" fillId="0" borderId="70" xfId="0" applyNumberFormat="1" applyFont="1" applyBorder="1"/>
    <xf numFmtId="41" fontId="0" fillId="0" borderId="70" xfId="0" applyNumberFormat="1" applyBorder="1"/>
    <xf numFmtId="41" fontId="18" fillId="0" borderId="72" xfId="0" applyNumberFormat="1" applyFont="1" applyBorder="1"/>
    <xf numFmtId="0" fontId="18" fillId="0" borderId="3" xfId="0" applyFont="1" applyBorder="1" applyAlignment="1">
      <alignment horizontal="left" indent="1"/>
    </xf>
    <xf numFmtId="0" fontId="18" fillId="0" borderId="3" xfId="0" applyFont="1" applyBorder="1" applyAlignment="1">
      <alignment horizontal="left"/>
    </xf>
    <xf numFmtId="0" fontId="18" fillId="0" borderId="23" xfId="0" applyFont="1" applyBorder="1" applyAlignment="1">
      <alignment wrapText="1"/>
    </xf>
    <xf numFmtId="41" fontId="18" fillId="0" borderId="71" xfId="0" applyNumberFormat="1" applyFont="1" applyBorder="1"/>
    <xf numFmtId="43" fontId="0" fillId="0" borderId="72" xfId="0" applyNumberFormat="1" applyBorder="1"/>
    <xf numFmtId="6" fontId="0" fillId="0" borderId="0" xfId="1" applyNumberFormat="1" applyFont="1" applyFill="1"/>
    <xf numFmtId="0" fontId="78" fillId="0" borderId="87" xfId="0" applyFont="1" applyBorder="1"/>
    <xf numFmtId="10" fontId="116" fillId="58" borderId="51" xfId="0" applyNumberFormat="1" applyFont="1" applyFill="1" applyBorder="1"/>
    <xf numFmtId="0" fontId="78" fillId="0" borderId="0" xfId="0" applyFont="1"/>
    <xf numFmtId="0" fontId="78" fillId="0" borderId="16" xfId="0" applyFont="1" applyBorder="1"/>
    <xf numFmtId="0" fontId="118" fillId="0" borderId="60" xfId="0" applyFont="1" applyBorder="1" applyAlignment="1">
      <alignment horizontal="center" vertical="center"/>
    </xf>
    <xf numFmtId="0" fontId="118" fillId="0" borderId="17" xfId="0" applyFont="1" applyBorder="1" applyAlignment="1">
      <alignment horizontal="center" vertical="center"/>
    </xf>
    <xf numFmtId="0" fontId="78" fillId="0" borderId="20" xfId="0" applyFont="1" applyBorder="1"/>
    <xf numFmtId="10" fontId="78" fillId="0" borderId="1" xfId="0" applyNumberFormat="1" applyFont="1" applyBorder="1"/>
    <xf numFmtId="10" fontId="78" fillId="0" borderId="62" xfId="0" applyNumberFormat="1" applyFont="1" applyBorder="1"/>
    <xf numFmtId="0" fontId="78" fillId="0" borderId="21" xfId="0" applyFont="1" applyBorder="1"/>
    <xf numFmtId="0" fontId="80" fillId="0" borderId="22" xfId="0" applyFont="1" applyBorder="1"/>
    <xf numFmtId="8" fontId="80" fillId="0" borderId="23" xfId="0" applyNumberFormat="1" applyFont="1" applyBorder="1"/>
    <xf numFmtId="8" fontId="80" fillId="0" borderId="65" xfId="0" applyNumberFormat="1" applyFont="1" applyBorder="1"/>
    <xf numFmtId="172" fontId="20" fillId="0" borderId="0" xfId="244" applyNumberFormat="1" applyFont="1" applyBorder="1"/>
    <xf numFmtId="172" fontId="20" fillId="0" borderId="21" xfId="244" applyNumberFormat="1" applyFont="1" applyBorder="1"/>
    <xf numFmtId="172" fontId="20" fillId="0" borderId="0" xfId="244" applyNumberFormat="1" applyFont="1"/>
    <xf numFmtId="172" fontId="20" fillId="0" borderId="0" xfId="0" applyNumberFormat="1" applyFont="1"/>
    <xf numFmtId="172" fontId="20" fillId="0" borderId="21" xfId="0" applyNumberFormat="1" applyFont="1" applyBorder="1"/>
    <xf numFmtId="0" fontId="80" fillId="0" borderId="0" xfId="0" applyFont="1"/>
    <xf numFmtId="0" fontId="0" fillId="51" borderId="1" xfId="0" applyFill="1" applyBorder="1" applyAlignment="1">
      <alignment horizontal="center" wrapText="1"/>
    </xf>
    <xf numFmtId="41" fontId="0" fillId="51" borderId="0" xfId="1" applyNumberFormat="1" applyFont="1" applyFill="1" applyBorder="1"/>
    <xf numFmtId="196" fontId="18" fillId="0" borderId="0" xfId="0" applyNumberFormat="1" applyFont="1"/>
    <xf numFmtId="0" fontId="119" fillId="0" borderId="0" xfId="132" applyFont="1" applyAlignment="1">
      <alignment horizontal="left" indent="3"/>
    </xf>
    <xf numFmtId="0" fontId="111" fillId="61" borderId="0" xfId="132" applyFont="1" applyFill="1"/>
    <xf numFmtId="0" fontId="120" fillId="61" borderId="0" xfId="132" applyFont="1" applyFill="1" applyAlignment="1">
      <alignment horizontal="center"/>
    </xf>
    <xf numFmtId="197" fontId="121" fillId="61" borderId="0" xfId="132" quotePrefix="1" applyNumberFormat="1" applyFont="1" applyFill="1" applyAlignment="1">
      <alignment horizontal="center"/>
    </xf>
    <xf numFmtId="0" fontId="111" fillId="61" borderId="0" xfId="132" applyFont="1" applyFill="1" applyAlignment="1">
      <alignment horizontal="center"/>
    </xf>
    <xf numFmtId="197" fontId="122" fillId="61" borderId="0" xfId="132" quotePrefix="1" applyNumberFormat="1" applyFont="1" applyFill="1" applyAlignment="1">
      <alignment horizontal="center"/>
    </xf>
    <xf numFmtId="0" fontId="111" fillId="0" borderId="0" xfId="132" applyFont="1"/>
    <xf numFmtId="43" fontId="123" fillId="0" borderId="0" xfId="368" applyFont="1" applyFill="1" applyAlignment="1">
      <alignment horizontal="center"/>
    </xf>
    <xf numFmtId="0" fontId="53" fillId="0" borderId="0" xfId="132"/>
    <xf numFmtId="0" fontId="53" fillId="61" borderId="0" xfId="132" applyFill="1"/>
    <xf numFmtId="0" fontId="53" fillId="0" borderId="0" xfId="132" applyAlignment="1">
      <alignment horizontal="center"/>
    </xf>
    <xf numFmtId="43" fontId="124" fillId="0" borderId="0" xfId="368" applyFont="1" applyFill="1" applyAlignment="1">
      <alignment horizontal="center"/>
    </xf>
    <xf numFmtId="0" fontId="90" fillId="0" borderId="0" xfId="132" applyFont="1"/>
    <xf numFmtId="0" fontId="125" fillId="0" borderId="23" xfId="132" applyFont="1" applyBorder="1"/>
    <xf numFmtId="0" fontId="111" fillId="0" borderId="23" xfId="132" applyFont="1" applyBorder="1"/>
    <xf numFmtId="9" fontId="111" fillId="0" borderId="23" xfId="132" applyNumberFormat="1" applyFont="1" applyBorder="1"/>
    <xf numFmtId="0" fontId="111" fillId="0" borderId="23" xfId="132" applyFont="1" applyBorder="1" applyAlignment="1">
      <alignment horizontal="center"/>
    </xf>
    <xf numFmtId="9" fontId="111" fillId="0" borderId="23" xfId="132" applyNumberFormat="1" applyFont="1" applyBorder="1" applyAlignment="1">
      <alignment horizontal="center"/>
    </xf>
    <xf numFmtId="9" fontId="111" fillId="0" borderId="0" xfId="132" applyNumberFormat="1" applyFont="1"/>
    <xf numFmtId="0" fontId="125" fillId="0" borderId="0" xfId="132" applyFont="1"/>
    <xf numFmtId="0" fontId="111" fillId="0" borderId="0" xfId="132" applyFont="1" applyAlignment="1">
      <alignment horizontal="center"/>
    </xf>
    <xf numFmtId="9" fontId="111" fillId="0" borderId="0" xfId="132" applyNumberFormat="1" applyFont="1" applyAlignment="1">
      <alignment horizontal="center"/>
    </xf>
    <xf numFmtId="0" fontId="111" fillId="0" borderId="16" xfId="132" applyFont="1" applyBorder="1"/>
    <xf numFmtId="0" fontId="111" fillId="0" borderId="17" xfId="132" applyFont="1" applyBorder="1"/>
    <xf numFmtId="0" fontId="111" fillId="0" borderId="112" xfId="132" applyFont="1" applyBorder="1"/>
    <xf numFmtId="9" fontId="111" fillId="0" borderId="113" xfId="132" applyNumberFormat="1" applyFont="1" applyBorder="1"/>
    <xf numFmtId="0" fontId="111" fillId="0" borderId="114" xfId="132" applyFont="1" applyBorder="1"/>
    <xf numFmtId="0" fontId="111" fillId="0" borderId="115" xfId="132" applyFont="1" applyBorder="1"/>
    <xf numFmtId="9" fontId="111" fillId="0" borderId="116" xfId="132" applyNumberFormat="1" applyFont="1" applyBorder="1"/>
    <xf numFmtId="0" fontId="111" fillId="0" borderId="116" xfId="132" applyFont="1" applyBorder="1"/>
    <xf numFmtId="0" fontId="111" fillId="0" borderId="117" xfId="132" applyFont="1" applyBorder="1"/>
    <xf numFmtId="0" fontId="126" fillId="0" borderId="0" xfId="132" applyFont="1"/>
    <xf numFmtId="0" fontId="127" fillId="62" borderId="0" xfId="132" applyFont="1" applyFill="1"/>
    <xf numFmtId="43" fontId="128" fillId="6" borderId="118" xfId="368" quotePrefix="1" applyFont="1" applyFill="1" applyBorder="1" applyAlignment="1">
      <alignment horizontal="center"/>
    </xf>
    <xf numFmtId="43" fontId="128" fillId="0" borderId="0" xfId="368" applyFont="1" applyFill="1" applyBorder="1" applyAlignment="1">
      <alignment horizontal="center"/>
    </xf>
    <xf numFmtId="43" fontId="129" fillId="0" borderId="0" xfId="368" applyFont="1" applyFill="1" applyBorder="1" applyAlignment="1">
      <alignment horizontal="center"/>
    </xf>
    <xf numFmtId="0" fontId="53" fillId="0" borderId="20" xfId="132" applyBorder="1"/>
    <xf numFmtId="0" fontId="53" fillId="0" borderId="21" xfId="132" applyBorder="1"/>
    <xf numFmtId="43" fontId="128" fillId="4" borderId="118" xfId="368" quotePrefix="1" applyFont="1" applyFill="1" applyBorder="1" applyAlignment="1">
      <alignment horizontal="center"/>
    </xf>
    <xf numFmtId="43" fontId="128" fillId="60" borderId="118" xfId="368" quotePrefix="1" applyFont="1" applyFill="1" applyBorder="1" applyAlignment="1">
      <alignment horizontal="center"/>
    </xf>
    <xf numFmtId="0" fontId="53" fillId="0" borderId="119" xfId="132" applyBorder="1"/>
    <xf numFmtId="43" fontId="129" fillId="63" borderId="118" xfId="368" applyFont="1" applyFill="1" applyBorder="1" applyAlignment="1">
      <alignment horizontal="center"/>
    </xf>
    <xf numFmtId="0" fontId="53" fillId="0" borderId="120" xfId="132" applyBorder="1"/>
    <xf numFmtId="0" fontId="53" fillId="0" borderId="121" xfId="132" applyBorder="1"/>
    <xf numFmtId="43" fontId="128" fillId="3" borderId="118" xfId="368" applyFont="1" applyFill="1" applyBorder="1" applyAlignment="1">
      <alignment horizontal="center"/>
    </xf>
    <xf numFmtId="43" fontId="129" fillId="64" borderId="118" xfId="368" applyFont="1" applyFill="1" applyBorder="1" applyAlignment="1">
      <alignment horizontal="center"/>
    </xf>
    <xf numFmtId="0" fontId="53" fillId="0" borderId="122" xfId="132" applyBorder="1"/>
    <xf numFmtId="43" fontId="130" fillId="0" borderId="0" xfId="368" applyFont="1" applyFill="1" applyAlignment="1">
      <alignment horizontal="centerContinuous"/>
    </xf>
    <xf numFmtId="0" fontId="131" fillId="61" borderId="0" xfId="132" applyFont="1" applyFill="1" applyAlignment="1">
      <alignment horizontal="center"/>
    </xf>
    <xf numFmtId="0" fontId="132" fillId="62" borderId="0" xfId="132" applyFont="1" applyFill="1" applyAlignment="1">
      <alignment horizontal="center"/>
    </xf>
    <xf numFmtId="0" fontId="132" fillId="62" borderId="0" xfId="132" applyFont="1" applyFill="1"/>
    <xf numFmtId="0" fontId="133" fillId="6" borderId="102" xfId="132" applyFont="1" applyFill="1" applyBorder="1" applyAlignment="1">
      <alignment horizontal="center" vertical="center" wrapText="1"/>
    </xf>
    <xf numFmtId="0" fontId="133" fillId="0" borderId="0" xfId="132" applyFont="1" applyAlignment="1">
      <alignment horizontal="center" vertical="center" wrapText="1"/>
    </xf>
    <xf numFmtId="0" fontId="132" fillId="0" borderId="0" xfId="132" applyFont="1" applyAlignment="1">
      <alignment horizontal="center" vertical="center" wrapText="1"/>
    </xf>
    <xf numFmtId="0" fontId="133" fillId="4" borderId="102" xfId="132" applyFont="1" applyFill="1" applyBorder="1" applyAlignment="1">
      <alignment horizontal="center" vertical="center" wrapText="1"/>
    </xf>
    <xf numFmtId="0" fontId="133" fillId="60" borderId="102" xfId="132" applyFont="1" applyFill="1" applyBorder="1" applyAlignment="1">
      <alignment horizontal="center" vertical="center" wrapText="1"/>
    </xf>
    <xf numFmtId="0" fontId="132" fillId="63" borderId="102" xfId="132" applyFont="1" applyFill="1" applyBorder="1" applyAlignment="1">
      <alignment horizontal="center" vertical="center" wrapText="1"/>
    </xf>
    <xf numFmtId="0" fontId="133" fillId="3" borderId="102" xfId="132" applyFont="1" applyFill="1" applyBorder="1" applyAlignment="1">
      <alignment horizontal="center" vertical="center" wrapText="1"/>
    </xf>
    <xf numFmtId="0" fontId="132" fillId="64" borderId="102" xfId="132" applyFont="1" applyFill="1" applyBorder="1" applyAlignment="1">
      <alignment horizontal="center" vertical="center" wrapText="1"/>
    </xf>
    <xf numFmtId="43" fontId="123" fillId="0" borderId="0" xfId="368" applyFont="1" applyFill="1" applyAlignment="1">
      <alignment horizontal="center" wrapText="1"/>
    </xf>
    <xf numFmtId="43" fontId="123" fillId="0" borderId="0" xfId="368" applyFont="1" applyFill="1" applyAlignment="1">
      <alignment horizontal="center" vertical="center"/>
    </xf>
    <xf numFmtId="43" fontId="123" fillId="0" borderId="0" xfId="368" applyFont="1" applyFill="1" applyAlignment="1">
      <alignment horizontal="center" vertical="center" wrapText="1"/>
    </xf>
    <xf numFmtId="0" fontId="122" fillId="61" borderId="0" xfId="132" applyFont="1" applyFill="1"/>
    <xf numFmtId="0" fontId="131" fillId="61" borderId="0" xfId="132" applyFont="1" applyFill="1"/>
    <xf numFmtId="0" fontId="90" fillId="0" borderId="0" xfId="132" applyFont="1" applyAlignment="1">
      <alignment horizontal="center"/>
    </xf>
    <xf numFmtId="0" fontId="90" fillId="0" borderId="0" xfId="132" applyFont="1" applyAlignment="1">
      <alignment horizontal="left" indent="1"/>
    </xf>
    <xf numFmtId="0" fontId="90" fillId="0" borderId="20" xfId="132" applyFont="1" applyBorder="1"/>
    <xf numFmtId="0" fontId="90" fillId="0" borderId="21" xfId="132" applyFont="1" applyBorder="1"/>
    <xf numFmtId="0" fontId="90" fillId="0" borderId="119" xfId="132" applyFont="1" applyBorder="1"/>
    <xf numFmtId="0" fontId="90" fillId="0" borderId="120" xfId="132" applyFont="1" applyBorder="1"/>
    <xf numFmtId="0" fontId="90" fillId="0" borderId="121" xfId="132" applyFont="1" applyBorder="1"/>
    <xf numFmtId="0" fontId="90" fillId="0" borderId="122" xfId="132" applyFont="1" applyBorder="1"/>
    <xf numFmtId="0" fontId="90" fillId="0" borderId="123" xfId="132" applyFont="1" applyBorder="1" applyAlignment="1">
      <alignment horizontal="center"/>
    </xf>
    <xf numFmtId="0" fontId="90" fillId="0" borderId="124" xfId="132" applyFont="1" applyBorder="1" applyAlignment="1">
      <alignment horizontal="left" indent="1"/>
    </xf>
    <xf numFmtId="0" fontId="90" fillId="0" borderId="124" xfId="132" applyFont="1" applyBorder="1"/>
    <xf numFmtId="168" fontId="90" fillId="0" borderId="124" xfId="132" applyNumberFormat="1" applyFont="1" applyBorder="1" applyAlignment="1">
      <alignment horizontal="right"/>
    </xf>
    <xf numFmtId="0" fontId="90" fillId="0" borderId="124" xfId="132" applyFont="1" applyBorder="1" applyAlignment="1">
      <alignment horizontal="right"/>
    </xf>
    <xf numFmtId="0" fontId="90" fillId="57" borderId="124" xfId="132" applyFont="1" applyFill="1" applyBorder="1" applyAlignment="1">
      <alignment horizontal="center"/>
    </xf>
    <xf numFmtId="168" fontId="90" fillId="57" borderId="124" xfId="132" applyNumberFormat="1" applyFont="1" applyFill="1" applyBorder="1" applyAlignment="1">
      <alignment horizontal="right"/>
    </xf>
    <xf numFmtId="0" fontId="90" fillId="57" borderId="124" xfId="132" applyFont="1" applyFill="1" applyBorder="1" applyAlignment="1">
      <alignment horizontal="right"/>
    </xf>
    <xf numFmtId="168" fontId="125" fillId="0" borderId="125" xfId="132" applyNumberFormat="1" applyFont="1" applyBorder="1" applyAlignment="1">
      <alignment horizontal="right"/>
    </xf>
    <xf numFmtId="168" fontId="90" fillId="0" borderId="123" xfId="132" applyNumberFormat="1" applyFont="1" applyBorder="1" applyAlignment="1">
      <alignment horizontal="right"/>
    </xf>
    <xf numFmtId="168" fontId="90" fillId="0" borderId="125" xfId="132" applyNumberFormat="1" applyFont="1" applyBorder="1" applyAlignment="1">
      <alignment horizontal="right"/>
    </xf>
    <xf numFmtId="168" fontId="90" fillId="0" borderId="126" xfId="132" applyNumberFormat="1" applyFont="1" applyBorder="1" applyAlignment="1">
      <alignment horizontal="right"/>
    </xf>
    <xf numFmtId="43" fontId="123" fillId="0" borderId="0" xfId="368" applyFont="1" applyFill="1" applyAlignment="1">
      <alignment horizontal="right"/>
    </xf>
    <xf numFmtId="0" fontId="53" fillId="0" borderId="0" xfId="132" applyAlignment="1">
      <alignment horizontal="left" indent="3"/>
    </xf>
    <xf numFmtId="172" fontId="0" fillId="0" borderId="0" xfId="368" applyNumberFormat="1" applyFont="1"/>
    <xf numFmtId="172" fontId="0" fillId="0" borderId="0" xfId="368" applyNumberFormat="1" applyFont="1" applyFill="1" applyAlignment="1">
      <alignment horizontal="center"/>
    </xf>
    <xf numFmtId="172" fontId="0" fillId="57" borderId="0" xfId="368" applyNumberFormat="1" applyFont="1" applyFill="1" applyAlignment="1">
      <alignment horizontal="center"/>
    </xf>
    <xf numFmtId="0" fontId="53" fillId="57" borderId="0" xfId="132" applyFill="1" applyAlignment="1">
      <alignment horizontal="center"/>
    </xf>
    <xf numFmtId="0" fontId="53" fillId="57" borderId="0" xfId="132" applyFill="1"/>
    <xf numFmtId="172" fontId="0" fillId="57" borderId="0" xfId="368" applyNumberFormat="1" applyFont="1" applyFill="1" applyAlignment="1">
      <alignment horizontal="right"/>
    </xf>
    <xf numFmtId="172" fontId="0" fillId="0" borderId="0" xfId="368" applyNumberFormat="1" applyFont="1" applyFill="1" applyAlignment="1">
      <alignment horizontal="right"/>
    </xf>
    <xf numFmtId="172" fontId="0" fillId="0" borderId="0" xfId="368" applyNumberFormat="1" applyFont="1" applyBorder="1"/>
    <xf numFmtId="172" fontId="53" fillId="0" borderId="0" xfId="132" applyNumberFormat="1"/>
    <xf numFmtId="168" fontId="0" fillId="0" borderId="0" xfId="368" applyNumberFormat="1" applyFont="1"/>
    <xf numFmtId="168" fontId="0" fillId="0" borderId="0" xfId="368" applyNumberFormat="1" applyFont="1" applyFill="1" applyAlignment="1">
      <alignment horizontal="center"/>
    </xf>
    <xf numFmtId="168" fontId="0" fillId="57" borderId="0" xfId="368" applyNumberFormat="1" applyFont="1" applyFill="1" applyAlignment="1">
      <alignment horizontal="center"/>
    </xf>
    <xf numFmtId="168" fontId="0" fillId="57" borderId="0" xfId="368" applyNumberFormat="1" applyFont="1" applyFill="1" applyAlignment="1">
      <alignment horizontal="right"/>
    </xf>
    <xf numFmtId="168" fontId="0" fillId="0" borderId="0" xfId="368" applyNumberFormat="1" applyFont="1" applyFill="1" applyAlignment="1">
      <alignment horizontal="right"/>
    </xf>
    <xf numFmtId="168" fontId="0" fillId="0" borderId="0" xfId="368" applyNumberFormat="1" applyFont="1" applyBorder="1"/>
    <xf numFmtId="172" fontId="90" fillId="0" borderId="4" xfId="132" applyNumberFormat="1" applyFont="1" applyBorder="1"/>
    <xf numFmtId="172" fontId="90" fillId="57" borderId="4" xfId="132" applyNumberFormat="1" applyFont="1" applyFill="1" applyBorder="1" applyAlignment="1">
      <alignment horizontal="center"/>
    </xf>
    <xf numFmtId="0" fontId="90" fillId="57" borderId="0" xfId="132" applyFont="1" applyFill="1" applyAlignment="1">
      <alignment horizontal="center"/>
    </xf>
    <xf numFmtId="0" fontId="90" fillId="57" borderId="0" xfId="132" applyFont="1" applyFill="1"/>
    <xf numFmtId="172" fontId="90" fillId="57" borderId="4" xfId="132" applyNumberFormat="1" applyFont="1" applyFill="1" applyBorder="1" applyAlignment="1">
      <alignment horizontal="right"/>
    </xf>
    <xf numFmtId="0" fontId="78" fillId="48" borderId="0" xfId="132" applyFont="1" applyFill="1" applyAlignment="1">
      <alignment horizontal="left" indent="1"/>
    </xf>
    <xf numFmtId="172" fontId="0" fillId="0" borderId="0" xfId="368" applyNumberFormat="1" applyFont="1" applyFill="1"/>
    <xf numFmtId="172" fontId="0" fillId="0" borderId="0" xfId="368" applyNumberFormat="1" applyFont="1" applyFill="1" applyBorder="1"/>
    <xf numFmtId="168" fontId="0" fillId="0" borderId="0" xfId="368" applyNumberFormat="1" applyFont="1" applyFill="1"/>
    <xf numFmtId="168" fontId="0" fillId="0" borderId="0" xfId="368" applyNumberFormat="1" applyFont="1" applyFill="1" applyBorder="1"/>
    <xf numFmtId="172" fontId="90" fillId="0" borderId="4" xfId="132" applyNumberFormat="1" applyFont="1" applyBorder="1" applyAlignment="1">
      <alignment horizontal="center"/>
    </xf>
    <xf numFmtId="172" fontId="90" fillId="0" borderId="0" xfId="132" applyNumberFormat="1" applyFont="1"/>
    <xf numFmtId="172" fontId="90" fillId="0" borderId="0" xfId="132" applyNumberFormat="1" applyFont="1" applyAlignment="1">
      <alignment horizontal="center"/>
    </xf>
    <xf numFmtId="0" fontId="90" fillId="0" borderId="0" xfId="132" applyFont="1" applyAlignment="1">
      <alignment horizontal="left" indent="2"/>
    </xf>
    <xf numFmtId="172" fontId="90" fillId="0" borderId="0" xfId="369" applyNumberFormat="1" applyFont="1" applyFill="1"/>
    <xf numFmtId="172" fontId="90" fillId="0" borderId="0" xfId="369" applyNumberFormat="1" applyFont="1" applyFill="1" applyAlignment="1">
      <alignment horizontal="center"/>
    </xf>
    <xf numFmtId="172" fontId="90" fillId="0" borderId="0" xfId="369" applyNumberFormat="1" applyFont="1" applyFill="1" applyBorder="1"/>
    <xf numFmtId="172" fontId="90" fillId="0" borderId="59" xfId="369" applyNumberFormat="1" applyFont="1" applyBorder="1"/>
    <xf numFmtId="172" fontId="90" fillId="0" borderId="0" xfId="369" applyNumberFormat="1" applyFont="1" applyBorder="1"/>
    <xf numFmtId="172" fontId="90" fillId="0" borderId="0" xfId="369" applyNumberFormat="1" applyFont="1" applyBorder="1" applyAlignment="1">
      <alignment horizontal="center"/>
    </xf>
    <xf numFmtId="0" fontId="90" fillId="0" borderId="0" xfId="132" applyFont="1" applyAlignment="1">
      <alignment horizontal="left"/>
    </xf>
    <xf numFmtId="172" fontId="53" fillId="0" borderId="0" xfId="369" applyNumberFormat="1" applyFont="1" applyFill="1"/>
    <xf numFmtId="172" fontId="0" fillId="0" borderId="0" xfId="369" applyNumberFormat="1" applyFont="1" applyBorder="1"/>
    <xf numFmtId="168" fontId="53" fillId="0" borderId="0" xfId="369" applyNumberFormat="1" applyFont="1" applyFill="1"/>
    <xf numFmtId="168" fontId="0" fillId="0" borderId="0" xfId="369" applyNumberFormat="1" applyFont="1" applyFill="1" applyBorder="1"/>
    <xf numFmtId="172" fontId="90" fillId="57" borderId="4" xfId="369" applyNumberFormat="1" applyFont="1" applyFill="1" applyBorder="1"/>
    <xf numFmtId="172" fontId="90" fillId="57" borderId="4" xfId="369" applyNumberFormat="1" applyFont="1" applyFill="1" applyBorder="1" applyAlignment="1">
      <alignment horizontal="center"/>
    </xf>
    <xf numFmtId="172" fontId="90" fillId="0" borderId="4" xfId="369" applyNumberFormat="1" applyFont="1" applyBorder="1"/>
    <xf numFmtId="168" fontId="53" fillId="0" borderId="0" xfId="368" applyNumberFormat="1" applyFont="1" applyFill="1"/>
    <xf numFmtId="172" fontId="0" fillId="0" borderId="0" xfId="369" applyNumberFormat="1" applyFont="1" applyFill="1" applyBorder="1"/>
    <xf numFmtId="0" fontId="90" fillId="0" borderId="0" xfId="132" applyFont="1" applyAlignment="1">
      <alignment horizontal="left" wrapText="1" indent="1"/>
    </xf>
    <xf numFmtId="172" fontId="90" fillId="0" borderId="0" xfId="369" applyNumberFormat="1" applyFont="1" applyFill="1" applyBorder="1" applyAlignment="1">
      <alignment horizontal="center"/>
    </xf>
    <xf numFmtId="0" fontId="53" fillId="0" borderId="0" xfId="132" applyAlignment="1">
      <alignment horizontal="left" indent="2"/>
    </xf>
    <xf numFmtId="172" fontId="53" fillId="0" borderId="0" xfId="369" applyNumberFormat="1" applyFont="1" applyFill="1" applyBorder="1"/>
    <xf numFmtId="43" fontId="126" fillId="0" borderId="0" xfId="368" applyFont="1" applyFill="1" applyAlignment="1">
      <alignment horizontal="right"/>
    </xf>
    <xf numFmtId="43" fontId="126" fillId="0" borderId="0" xfId="368" applyFont="1" applyFill="1" applyAlignment="1">
      <alignment horizontal="center"/>
    </xf>
    <xf numFmtId="172" fontId="90" fillId="0" borderId="63" xfId="369" applyNumberFormat="1" applyFont="1" applyBorder="1"/>
    <xf numFmtId="0" fontId="53" fillId="0" borderId="22" xfId="132" applyBorder="1"/>
    <xf numFmtId="0" fontId="53" fillId="0" borderId="65" xfId="132" applyBorder="1"/>
    <xf numFmtId="0" fontId="53" fillId="0" borderId="127" xfId="132" applyBorder="1"/>
    <xf numFmtId="0" fontId="53" fillId="0" borderId="128" xfId="132" applyBorder="1"/>
    <xf numFmtId="0" fontId="53" fillId="0" borderId="129" xfId="132" applyBorder="1"/>
    <xf numFmtId="0" fontId="53" fillId="0" borderId="130" xfId="132" applyBorder="1"/>
    <xf numFmtId="0" fontId="53" fillId="0" borderId="131" xfId="132" applyBorder="1"/>
    <xf numFmtId="0" fontId="53" fillId="0" borderId="132" xfId="132" applyBorder="1"/>
    <xf numFmtId="0" fontId="125" fillId="0" borderId="0" xfId="132" applyFont="1" applyAlignment="1">
      <alignment horizontal="left"/>
    </xf>
    <xf numFmtId="172" fontId="90" fillId="57" borderId="63" xfId="369" applyNumberFormat="1" applyFont="1" applyFill="1" applyBorder="1"/>
    <xf numFmtId="172" fontId="90" fillId="57" borderId="63" xfId="369" applyNumberFormat="1" applyFont="1" applyFill="1" applyBorder="1" applyAlignment="1">
      <alignment horizontal="center"/>
    </xf>
    <xf numFmtId="9" fontId="111" fillId="0" borderId="60" xfId="132" applyNumberFormat="1" applyFont="1" applyBorder="1"/>
    <xf numFmtId="43" fontId="129" fillId="40" borderId="41" xfId="368" applyFont="1" applyFill="1" applyBorder="1" applyAlignment="1">
      <alignment horizontal="center"/>
    </xf>
    <xf numFmtId="0" fontId="132" fillId="40" borderId="102" xfId="132" applyFont="1" applyFill="1" applyBorder="1" applyAlignment="1">
      <alignment horizontal="center" vertical="center" wrapText="1"/>
    </xf>
    <xf numFmtId="172" fontId="53" fillId="0" borderId="0" xfId="369" applyNumberFormat="1" applyFont="1" applyBorder="1"/>
    <xf numFmtId="172" fontId="53" fillId="0" borderId="0" xfId="369" applyNumberFormat="1" applyFont="1" applyBorder="1" applyAlignment="1">
      <alignment horizontal="right"/>
    </xf>
    <xf numFmtId="172" fontId="90" fillId="0" borderId="4" xfId="369" applyNumberFormat="1" applyFont="1" applyBorder="1" applyAlignment="1">
      <alignment horizontal="right"/>
    </xf>
    <xf numFmtId="0" fontId="53" fillId="0" borderId="23" xfId="132" applyBorder="1"/>
    <xf numFmtId="172" fontId="90" fillId="0" borderId="63" xfId="369" applyNumberFormat="1" applyFont="1" applyFill="1" applyBorder="1"/>
    <xf numFmtId="168" fontId="0" fillId="0" borderId="0" xfId="369" applyNumberFormat="1" applyFont="1" applyBorder="1"/>
    <xf numFmtId="8" fontId="53" fillId="0" borderId="0" xfId="132" applyNumberFormat="1"/>
    <xf numFmtId="198" fontId="53" fillId="0" borderId="0" xfId="132" applyNumberFormat="1"/>
    <xf numFmtId="168" fontId="0" fillId="0" borderId="0" xfId="1" applyNumberFormat="1" applyFont="1" applyFill="1"/>
    <xf numFmtId="0" fontId="137" fillId="0" borderId="0" xfId="0" applyFont="1"/>
    <xf numFmtId="0" fontId="138" fillId="0" borderId="0" xfId="0" applyFont="1"/>
    <xf numFmtId="0" fontId="137" fillId="0" borderId="0" xfId="0" quotePrefix="1" applyFont="1"/>
    <xf numFmtId="0" fontId="139" fillId="51" borderId="0" xfId="132" applyFont="1" applyFill="1" applyAlignment="1">
      <alignment wrapText="1"/>
    </xf>
    <xf numFmtId="0" fontId="127" fillId="51" borderId="0" xfId="132" applyFont="1" applyFill="1"/>
    <xf numFmtId="172" fontId="0" fillId="51" borderId="0" xfId="369" applyNumberFormat="1" applyFont="1" applyFill="1" applyBorder="1"/>
    <xf numFmtId="172" fontId="90" fillId="51" borderId="63" xfId="369" applyNumberFormat="1" applyFont="1" applyFill="1" applyBorder="1"/>
    <xf numFmtId="172" fontId="90" fillId="51" borderId="59" xfId="369" applyNumberFormat="1" applyFont="1" applyFill="1" applyBorder="1"/>
    <xf numFmtId="172" fontId="90" fillId="51" borderId="4" xfId="369" applyNumberFormat="1" applyFont="1" applyFill="1" applyBorder="1"/>
    <xf numFmtId="0" fontId="119" fillId="0" borderId="0" xfId="132" applyFont="1"/>
    <xf numFmtId="0" fontId="119" fillId="0" borderId="0" xfId="132" applyFont="1" applyAlignment="1">
      <alignment horizontal="center"/>
    </xf>
    <xf numFmtId="168" fontId="119" fillId="57" borderId="0" xfId="368" applyNumberFormat="1" applyFont="1" applyFill="1"/>
    <xf numFmtId="168" fontId="119" fillId="0" borderId="0" xfId="368" applyNumberFormat="1" applyFont="1" applyFill="1"/>
    <xf numFmtId="0" fontId="119" fillId="0" borderId="20" xfId="132" applyFont="1" applyBorder="1"/>
    <xf numFmtId="168" fontId="119" fillId="0" borderId="0" xfId="368" applyNumberFormat="1" applyFont="1" applyFill="1" applyBorder="1"/>
    <xf numFmtId="0" fontId="119" fillId="0" borderId="21" xfId="132" applyFont="1" applyBorder="1"/>
    <xf numFmtId="0" fontId="119" fillId="0" borderId="119" xfId="132" applyFont="1" applyBorder="1"/>
    <xf numFmtId="0" fontId="119" fillId="0" borderId="120" xfId="132" applyFont="1" applyBorder="1"/>
    <xf numFmtId="0" fontId="119" fillId="0" borderId="121" xfId="132" applyFont="1" applyBorder="1"/>
    <xf numFmtId="0" fontId="119" fillId="0" borderId="122" xfId="132" applyFont="1" applyBorder="1"/>
    <xf numFmtId="0" fontId="140" fillId="0" borderId="0" xfId="21" applyFont="1" applyAlignment="1">
      <alignment horizontal="left" vertical="center"/>
    </xf>
    <xf numFmtId="0" fontId="9" fillId="0" borderId="0" xfId="21"/>
    <xf numFmtId="0" fontId="141" fillId="0" borderId="133" xfId="21" applyFont="1" applyBorder="1" applyAlignment="1">
      <alignment horizontal="center" vertical="center" wrapText="1"/>
    </xf>
    <xf numFmtId="0" fontId="141" fillId="0" borderId="134" xfId="21" applyFont="1" applyBorder="1" applyAlignment="1">
      <alignment horizontal="center" vertical="center" wrapText="1"/>
    </xf>
    <xf numFmtId="0" fontId="143" fillId="0" borderId="134" xfId="21" applyFont="1" applyBorder="1" applyAlignment="1">
      <alignment horizontal="center" vertical="center" wrapText="1"/>
    </xf>
    <xf numFmtId="0" fontId="143" fillId="0" borderId="135" xfId="21" applyFont="1" applyBorder="1" applyAlignment="1">
      <alignment horizontal="center" vertical="center" wrapText="1"/>
    </xf>
    <xf numFmtId="0" fontId="145" fillId="0" borderId="136" xfId="21" applyFont="1" applyBorder="1" applyAlignment="1">
      <alignment horizontal="center" vertical="center" wrapText="1"/>
    </xf>
    <xf numFmtId="0" fontId="145" fillId="0" borderId="137" xfId="21" applyFont="1" applyBorder="1" applyAlignment="1">
      <alignment horizontal="center" vertical="center" wrapText="1"/>
    </xf>
    <xf numFmtId="0" fontId="145" fillId="0" borderId="138" xfId="21" applyFont="1" applyBorder="1" applyAlignment="1">
      <alignment horizontal="center" vertical="center" wrapText="1"/>
    </xf>
    <xf numFmtId="0" fontId="11" fillId="0" borderId="137" xfId="21" applyFont="1" applyBorder="1" applyAlignment="1">
      <alignment horizontal="left" vertical="center" wrapText="1"/>
    </xf>
    <xf numFmtId="0" fontId="11" fillId="0" borderId="141" xfId="21" applyFont="1" applyBorder="1" applyAlignment="1">
      <alignment horizontal="left" vertical="center" wrapText="1"/>
    </xf>
    <xf numFmtId="0" fontId="146" fillId="0" borderId="143" xfId="21" applyFont="1" applyBorder="1" applyAlignment="1">
      <alignment horizontal="center" vertical="center" wrapText="1"/>
    </xf>
    <xf numFmtId="0" fontId="146" fillId="0" borderId="144" xfId="21" applyFont="1" applyBorder="1" applyAlignment="1">
      <alignment horizontal="center" vertical="center" wrapText="1"/>
    </xf>
    <xf numFmtId="0" fontId="11" fillId="0" borderId="144" xfId="21" applyFont="1" applyBorder="1" applyAlignment="1">
      <alignment horizontal="center" vertical="center" wrapText="1"/>
    </xf>
    <xf numFmtId="0" fontId="11" fillId="0" borderId="144" xfId="21" applyFont="1" applyBorder="1" applyAlignment="1">
      <alignment horizontal="left" vertical="center" wrapText="1"/>
    </xf>
    <xf numFmtId="0" fontId="11" fillId="0" borderId="138" xfId="21" applyFont="1" applyBorder="1" applyAlignment="1">
      <alignment horizontal="left" vertical="center" wrapText="1"/>
    </xf>
    <xf numFmtId="0" fontId="146" fillId="65" borderId="136" xfId="21" applyFont="1" applyFill="1" applyBorder="1" applyAlignment="1">
      <alignment horizontal="center" vertical="center" wrapText="1"/>
    </xf>
    <xf numFmtId="0" fontId="148" fillId="65" borderId="137" xfId="21" applyFont="1" applyFill="1" applyBorder="1" applyAlignment="1">
      <alignment horizontal="left" vertical="center" wrapText="1"/>
    </xf>
    <xf numFmtId="0" fontId="148" fillId="0" borderId="145" xfId="21" applyFont="1" applyBorder="1" applyAlignment="1">
      <alignment horizontal="left" vertical="center" wrapText="1"/>
    </xf>
    <xf numFmtId="0" fontId="148" fillId="65" borderId="141" xfId="21" applyFont="1" applyFill="1" applyBorder="1" applyAlignment="1">
      <alignment horizontal="left" vertical="center" wrapText="1"/>
    </xf>
    <xf numFmtId="0" fontId="11" fillId="0" borderId="146" xfId="21" applyFont="1" applyBorder="1" applyAlignment="1">
      <alignment horizontal="left" vertical="center" wrapText="1"/>
    </xf>
    <xf numFmtId="168" fontId="11" fillId="65" borderId="137" xfId="8" applyNumberFormat="1" applyFont="1" applyFill="1" applyBorder="1" applyAlignment="1">
      <alignment vertical="center" wrapText="1"/>
    </xf>
    <xf numFmtId="0" fontId="11" fillId="65" borderId="137" xfId="21" applyFont="1" applyFill="1" applyBorder="1" applyAlignment="1">
      <alignment horizontal="left" vertical="center" wrapText="1"/>
    </xf>
    <xf numFmtId="168" fontId="11" fillId="65" borderId="141" xfId="8" applyNumberFormat="1" applyFont="1" applyFill="1" applyBorder="1" applyAlignment="1">
      <alignment vertical="center" wrapText="1"/>
    </xf>
    <xf numFmtId="0" fontId="11" fillId="65" borderId="141" xfId="21" applyFont="1" applyFill="1" applyBorder="1" applyAlignment="1">
      <alignment horizontal="left" vertical="center" wrapText="1"/>
    </xf>
    <xf numFmtId="168" fontId="11" fillId="65" borderId="148" xfId="8" applyNumberFormat="1" applyFont="1" applyFill="1" applyBorder="1" applyAlignment="1">
      <alignment vertical="center" wrapText="1"/>
    </xf>
    <xf numFmtId="0" fontId="11" fillId="65" borderId="148" xfId="21" applyFont="1" applyFill="1" applyBorder="1" applyAlignment="1">
      <alignment horizontal="left" vertical="center" wrapText="1"/>
    </xf>
    <xf numFmtId="0" fontId="11" fillId="0" borderId="0" xfId="21" applyFont="1" applyAlignment="1">
      <alignment horizontal="left" vertical="center" wrapText="1"/>
    </xf>
    <xf numFmtId="0" fontId="19" fillId="0" borderId="0" xfId="21" applyFont="1" applyAlignment="1">
      <alignment horizontal="left" vertical="center" wrapText="1"/>
    </xf>
    <xf numFmtId="0" fontId="145" fillId="65" borderId="136" xfId="21" applyFont="1" applyFill="1" applyBorder="1" applyAlignment="1">
      <alignment horizontal="center" vertical="center" wrapText="1"/>
    </xf>
    <xf numFmtId="0" fontId="145" fillId="65" borderId="137" xfId="21" applyFont="1" applyFill="1" applyBorder="1" applyAlignment="1">
      <alignment horizontal="center" vertical="center" wrapText="1"/>
    </xf>
    <xf numFmtId="0" fontId="145" fillId="65" borderId="138" xfId="21" applyFont="1" applyFill="1" applyBorder="1" applyAlignment="1">
      <alignment horizontal="center" vertical="center" wrapText="1"/>
    </xf>
    <xf numFmtId="0" fontId="148" fillId="65" borderId="145" xfId="21" applyFont="1" applyFill="1" applyBorder="1" applyAlignment="1">
      <alignment horizontal="left" vertical="center" wrapText="1"/>
    </xf>
    <xf numFmtId="0" fontId="11" fillId="65" borderId="146" xfId="21" applyFont="1" applyFill="1" applyBorder="1" applyAlignment="1">
      <alignment horizontal="left" vertical="center" wrapText="1"/>
    </xf>
    <xf numFmtId="0" fontId="146" fillId="65" borderId="143" xfId="21" applyFont="1" applyFill="1" applyBorder="1" applyAlignment="1">
      <alignment horizontal="center" vertical="center" wrapText="1"/>
    </xf>
    <xf numFmtId="0" fontId="11" fillId="65" borderId="144" xfId="21" applyFont="1" applyFill="1" applyBorder="1" applyAlignment="1">
      <alignment horizontal="center" vertical="center" wrapText="1"/>
    </xf>
    <xf numFmtId="168" fontId="11" fillId="65" borderId="144" xfId="8" applyNumberFormat="1" applyFont="1" applyFill="1" applyBorder="1" applyAlignment="1">
      <alignment horizontal="center" vertical="center" wrapText="1"/>
    </xf>
    <xf numFmtId="0" fontId="11" fillId="65" borderId="144" xfId="21" applyFont="1" applyFill="1" applyBorder="1" applyAlignment="1">
      <alignment horizontal="left" vertical="center" wrapText="1"/>
    </xf>
    <xf numFmtId="0" fontId="11" fillId="65" borderId="138" xfId="21" applyFont="1" applyFill="1" applyBorder="1" applyAlignment="1">
      <alignment horizontal="left" vertical="center" wrapText="1"/>
    </xf>
    <xf numFmtId="0" fontId="11" fillId="65" borderId="150" xfId="21" applyFont="1" applyFill="1" applyBorder="1" applyAlignment="1">
      <alignment horizontal="center" vertical="center" wrapText="1"/>
    </xf>
    <xf numFmtId="0" fontId="11" fillId="65" borderId="150" xfId="21" applyFont="1" applyFill="1" applyBorder="1" applyAlignment="1">
      <alignment horizontal="left" vertical="center" wrapText="1"/>
    </xf>
    <xf numFmtId="0" fontId="11" fillId="65" borderId="151" xfId="21" applyFont="1" applyFill="1" applyBorder="1" applyAlignment="1">
      <alignment horizontal="left" vertical="center" wrapText="1"/>
    </xf>
    <xf numFmtId="0" fontId="146" fillId="65" borderId="46" xfId="21" applyFont="1" applyFill="1" applyBorder="1" applyAlignment="1">
      <alignment horizontal="center" vertical="center" wrapText="1"/>
    </xf>
    <xf numFmtId="0" fontId="11" fillId="65" borderId="152" xfId="21" applyFont="1" applyFill="1" applyBorder="1" applyAlignment="1">
      <alignment horizontal="center" vertical="center" wrapText="1"/>
    </xf>
    <xf numFmtId="0" fontId="33" fillId="63" borderId="14" xfId="0" applyFont="1" applyFill="1" applyBorder="1" applyAlignment="1">
      <alignment horizontal="center"/>
    </xf>
    <xf numFmtId="0" fontId="33" fillId="63" borderId="3" xfId="0" applyFont="1" applyFill="1" applyBorder="1" applyAlignment="1">
      <alignment horizontal="center"/>
    </xf>
    <xf numFmtId="0" fontId="33" fillId="63" borderId="15" xfId="0" applyFont="1" applyFill="1" applyBorder="1" applyAlignment="1">
      <alignment horizontal="center"/>
    </xf>
    <xf numFmtId="0" fontId="0" fillId="2" borderId="33" xfId="0" applyFill="1" applyBorder="1"/>
    <xf numFmtId="0" fontId="0" fillId="2" borderId="0" xfId="0" applyFill="1"/>
    <xf numFmtId="0" fontId="0" fillId="2" borderId="34" xfId="0" applyFill="1" applyBorder="1"/>
    <xf numFmtId="6" fontId="0" fillId="2" borderId="33" xfId="0" applyNumberFormat="1" applyFill="1" applyBorder="1" applyAlignment="1">
      <alignment horizontal="center"/>
    </xf>
    <xf numFmtId="6" fontId="0" fillId="2" borderId="0" xfId="0" applyNumberFormat="1" applyFill="1" applyAlignment="1">
      <alignment horizontal="center"/>
    </xf>
    <xf numFmtId="6" fontId="0" fillId="2" borderId="34" xfId="0" applyNumberFormat="1" applyFill="1" applyBorder="1" applyAlignment="1">
      <alignment horizontal="center"/>
    </xf>
    <xf numFmtId="0" fontId="7" fillId="2" borderId="34" xfId="0" applyFont="1" applyFill="1" applyBorder="1" applyAlignment="1">
      <alignment horizontal="center"/>
    </xf>
    <xf numFmtId="0" fontId="0" fillId="0" borderId="34" xfId="0" applyBorder="1"/>
    <xf numFmtId="6" fontId="0" fillId="0" borderId="33" xfId="0" applyNumberFormat="1" applyBorder="1" applyAlignment="1">
      <alignment horizontal="center"/>
    </xf>
    <xf numFmtId="6" fontId="0" fillId="0" borderId="0" xfId="0" applyNumberFormat="1" applyAlignment="1">
      <alignment horizontal="center"/>
    </xf>
    <xf numFmtId="6" fontId="0" fillId="0" borderId="34" xfId="0" applyNumberFormat="1" applyBorder="1" applyAlignment="1">
      <alignment horizontal="center"/>
    </xf>
    <xf numFmtId="0" fontId="7" fillId="0" borderId="34" xfId="0" applyFont="1" applyBorder="1" applyAlignment="1">
      <alignment horizontal="center"/>
    </xf>
    <xf numFmtId="0" fontId="0" fillId="0" borderId="35" xfId="0" applyBorder="1"/>
    <xf numFmtId="0" fontId="0" fillId="0" borderId="36" xfId="0" applyBorder="1"/>
    <xf numFmtId="6" fontId="0" fillId="0" borderId="35" xfId="0" applyNumberFormat="1" applyBorder="1" applyAlignment="1">
      <alignment horizontal="center"/>
    </xf>
    <xf numFmtId="6" fontId="0" fillId="0" borderId="1" xfId="0" applyNumberFormat="1" applyBorder="1" applyAlignment="1">
      <alignment horizontal="center"/>
    </xf>
    <xf numFmtId="6" fontId="0" fillId="0" borderId="36" xfId="0" applyNumberFormat="1" applyBorder="1" applyAlignment="1">
      <alignment horizontal="center"/>
    </xf>
    <xf numFmtId="0" fontId="7" fillId="0" borderId="36" xfId="0" applyFont="1" applyBorder="1" applyAlignment="1">
      <alignment horizontal="center"/>
    </xf>
    <xf numFmtId="0" fontId="18" fillId="52" borderId="35" xfId="0" applyFont="1" applyFill="1" applyBorder="1" applyAlignment="1">
      <alignment horizontal="left" indent="1"/>
    </xf>
    <xf numFmtId="0" fontId="18" fillId="52" borderId="1" xfId="0" applyFont="1" applyFill="1" applyBorder="1"/>
    <xf numFmtId="0" fontId="18" fillId="52" borderId="36" xfId="0" applyFont="1" applyFill="1" applyBorder="1"/>
    <xf numFmtId="6" fontId="18" fillId="52" borderId="35" xfId="0" applyNumberFormat="1" applyFont="1" applyFill="1" applyBorder="1" applyAlignment="1">
      <alignment horizontal="center"/>
    </xf>
    <xf numFmtId="6" fontId="18" fillId="52" borderId="1" xfId="0" applyNumberFormat="1" applyFont="1" applyFill="1" applyBorder="1" applyAlignment="1">
      <alignment horizontal="center"/>
    </xf>
    <xf numFmtId="6" fontId="18" fillId="52" borderId="36" xfId="0" applyNumberFormat="1" applyFont="1" applyFill="1" applyBorder="1" applyAlignment="1">
      <alignment horizontal="center"/>
    </xf>
    <xf numFmtId="41" fontId="0" fillId="66" borderId="0" xfId="1" applyNumberFormat="1" applyFont="1" applyFill="1" applyBorder="1"/>
    <xf numFmtId="6" fontId="0" fillId="66" borderId="0" xfId="1" applyNumberFormat="1" applyFont="1" applyFill="1" applyBorder="1"/>
    <xf numFmtId="0" fontId="11" fillId="65" borderId="137" xfId="21" applyFont="1" applyFill="1" applyBorder="1" applyAlignment="1">
      <alignment vertical="center" wrapText="1"/>
    </xf>
    <xf numFmtId="0" fontId="11" fillId="65" borderId="141" xfId="21" applyFont="1" applyFill="1" applyBorder="1" applyAlignment="1">
      <alignment vertical="center" wrapText="1"/>
    </xf>
    <xf numFmtId="37" fontId="105" fillId="0" borderId="0" xfId="248" applyFont="1" applyAlignment="1">
      <alignment horizontal="center" vertical="top"/>
    </xf>
    <xf numFmtId="0" fontId="18" fillId="0" borderId="0" xfId="0" applyFont="1" applyAlignment="1">
      <alignment horizontal="center"/>
    </xf>
    <xf numFmtId="0" fontId="0" fillId="50" borderId="33" xfId="0" applyFill="1" applyBorder="1" applyAlignment="1">
      <alignment horizontal="center"/>
    </xf>
    <xf numFmtId="0" fontId="0" fillId="50" borderId="34" xfId="0" applyFill="1" applyBorder="1" applyAlignment="1">
      <alignment horizontal="center"/>
    </xf>
    <xf numFmtId="0" fontId="0" fillId="49" borderId="35" xfId="0" applyFill="1" applyBorder="1" applyAlignment="1">
      <alignment horizontal="center"/>
    </xf>
    <xf numFmtId="0" fontId="0" fillId="49" borderId="36" xfId="0" applyFill="1" applyBorder="1" applyAlignment="1">
      <alignment horizontal="center"/>
    </xf>
    <xf numFmtId="0" fontId="0" fillId="46" borderId="31" xfId="0" applyFill="1" applyBorder="1" applyAlignment="1">
      <alignment horizontal="center"/>
    </xf>
    <xf numFmtId="0" fontId="0" fillId="46" borderId="32" xfId="0" applyFill="1" applyBorder="1" applyAlignment="1">
      <alignment horizontal="center"/>
    </xf>
    <xf numFmtId="0" fontId="0" fillId="47" borderId="33" xfId="0" applyFill="1" applyBorder="1" applyAlignment="1">
      <alignment horizontal="center"/>
    </xf>
    <xf numFmtId="0" fontId="0" fillId="47" borderId="34" xfId="0" applyFill="1" applyBorder="1" applyAlignment="1">
      <alignment horizontal="center"/>
    </xf>
    <xf numFmtId="0" fontId="33" fillId="40" borderId="31" xfId="0" applyFont="1" applyFill="1" applyBorder="1" applyAlignment="1">
      <alignment horizontal="center"/>
    </xf>
    <xf numFmtId="0" fontId="33" fillId="40" borderId="32" xfId="0" applyFont="1" applyFill="1" applyBorder="1" applyAlignment="1">
      <alignment horizontal="center"/>
    </xf>
    <xf numFmtId="0" fontId="18" fillId="8" borderId="18" xfId="0" applyFont="1" applyFill="1" applyBorder="1" applyAlignment="1">
      <alignment horizontal="left"/>
    </xf>
    <xf numFmtId="0" fontId="18" fillId="8" borderId="3" xfId="0" applyFont="1" applyFill="1" applyBorder="1" applyAlignment="1">
      <alignment horizontal="left"/>
    </xf>
    <xf numFmtId="0" fontId="18" fillId="8" borderId="19" xfId="0" applyFont="1" applyFill="1" applyBorder="1" applyAlignment="1">
      <alignment horizontal="left"/>
    </xf>
    <xf numFmtId="0" fontId="18" fillId="0" borderId="0" xfId="0" applyFont="1" applyAlignment="1">
      <alignment horizontal="left"/>
    </xf>
    <xf numFmtId="0" fontId="0" fillId="0" borderId="0" xfId="0" applyAlignment="1">
      <alignment horizontal="left"/>
    </xf>
    <xf numFmtId="0" fontId="18" fillId="8" borderId="52" xfId="0" applyFont="1" applyFill="1" applyBorder="1" applyAlignment="1">
      <alignment horizontal="left"/>
    </xf>
    <xf numFmtId="0" fontId="18" fillId="8" borderId="53" xfId="0" applyFont="1" applyFill="1" applyBorder="1" applyAlignment="1">
      <alignment horizontal="left"/>
    </xf>
    <xf numFmtId="0" fontId="18" fillId="8" borderId="54" xfId="0" applyFont="1" applyFill="1" applyBorder="1" applyAlignment="1">
      <alignment horizontal="left"/>
    </xf>
    <xf numFmtId="0" fontId="18" fillId="8" borderId="61" xfId="0" applyFont="1" applyFill="1" applyBorder="1" applyAlignment="1">
      <alignment horizontal="center"/>
    </xf>
    <xf numFmtId="0" fontId="18" fillId="8" borderId="1" xfId="0" applyFont="1" applyFill="1" applyBorder="1" applyAlignment="1">
      <alignment horizontal="center"/>
    </xf>
    <xf numFmtId="0" fontId="18" fillId="8" borderId="62" xfId="0" applyFont="1" applyFill="1" applyBorder="1" applyAlignment="1">
      <alignment horizontal="center"/>
    </xf>
    <xf numFmtId="0" fontId="18" fillId="8" borderId="18" xfId="0" applyFont="1" applyFill="1" applyBorder="1" applyAlignment="1">
      <alignment horizontal="center"/>
    </xf>
    <xf numFmtId="0" fontId="18" fillId="8" borderId="3" xfId="0" applyFont="1" applyFill="1" applyBorder="1" applyAlignment="1">
      <alignment horizontal="center"/>
    </xf>
    <xf numFmtId="0" fontId="18" fillId="8" borderId="19" xfId="0" applyFont="1" applyFill="1" applyBorder="1" applyAlignment="1">
      <alignment horizontal="center"/>
    </xf>
    <xf numFmtId="0" fontId="0" fillId="0" borderId="23" xfId="0" applyBorder="1" applyAlignment="1">
      <alignment horizontal="left"/>
    </xf>
    <xf numFmtId="0" fontId="0" fillId="45" borderId="0" xfId="0" applyFill="1" applyAlignment="1">
      <alignment horizontal="center"/>
    </xf>
    <xf numFmtId="0" fontId="2" fillId="53" borderId="16" xfId="0" applyFont="1" applyFill="1" applyBorder="1" applyAlignment="1">
      <alignment horizontal="left"/>
    </xf>
    <xf numFmtId="0" fontId="2" fillId="53" borderId="60" xfId="0" applyFont="1" applyFill="1" applyBorder="1" applyAlignment="1">
      <alignment horizontal="left"/>
    </xf>
    <xf numFmtId="0" fontId="2" fillId="53" borderId="17" xfId="0" applyFont="1" applyFill="1" applyBorder="1" applyAlignment="1">
      <alignment horizontal="left"/>
    </xf>
    <xf numFmtId="0" fontId="117" fillId="59" borderId="87" xfId="0" applyFont="1" applyFill="1" applyBorder="1" applyAlignment="1">
      <alignment horizontal="center"/>
    </xf>
    <xf numFmtId="0" fontId="117" fillId="59" borderId="93" xfId="0" applyFont="1" applyFill="1" applyBorder="1" applyAlignment="1">
      <alignment horizontal="center"/>
    </xf>
    <xf numFmtId="0" fontId="117" fillId="59" borderId="51" xfId="0" applyFont="1" applyFill="1" applyBorder="1" applyAlignment="1">
      <alignment horizontal="center"/>
    </xf>
    <xf numFmtId="0" fontId="12" fillId="0" borderId="0" xfId="0" applyFont="1" applyAlignment="1">
      <alignment horizontal="center"/>
    </xf>
    <xf numFmtId="0" fontId="3" fillId="0" borderId="0" xfId="0" applyFont="1" applyAlignment="1">
      <alignment horizontal="left" vertical="top" wrapText="1"/>
    </xf>
    <xf numFmtId="0" fontId="3" fillId="0" borderId="1" xfId="0" applyFont="1" applyBorder="1" applyAlignment="1">
      <alignment horizontal="center"/>
    </xf>
    <xf numFmtId="0" fontId="12" fillId="0" borderId="1" xfId="0" applyFont="1" applyBorder="1" applyAlignment="1">
      <alignment horizontal="center"/>
    </xf>
    <xf numFmtId="0" fontId="7" fillId="0" borderId="0" xfId="0" applyFont="1" applyAlignment="1">
      <alignment horizontal="center"/>
    </xf>
    <xf numFmtId="0" fontId="111" fillId="0" borderId="0" xfId="0" applyFont="1" applyAlignment="1">
      <alignment horizontal="left" vertical="center" wrapText="1"/>
    </xf>
    <xf numFmtId="0" fontId="111" fillId="0" borderId="0" xfId="0" applyFont="1" applyAlignment="1">
      <alignment horizontal="left" vertical="top" wrapText="1"/>
    </xf>
    <xf numFmtId="0" fontId="62" fillId="0" borderId="0" xfId="0" applyFont="1" applyAlignment="1">
      <alignment horizontal="center" vertical="center" wrapText="1"/>
    </xf>
    <xf numFmtId="0" fontId="62" fillId="0" borderId="0" xfId="0" applyFont="1" applyAlignment="1">
      <alignment horizontal="center" vertical="center"/>
    </xf>
    <xf numFmtId="0" fontId="65" fillId="0" borderId="0" xfId="0" applyFont="1" applyAlignment="1">
      <alignment horizontal="center"/>
    </xf>
    <xf numFmtId="0" fontId="0" fillId="0" borderId="0" xfId="0" applyAlignment="1">
      <alignment horizontal="center"/>
    </xf>
    <xf numFmtId="0" fontId="149" fillId="2" borderId="0" xfId="0" applyFont="1" applyFill="1" applyAlignment="1">
      <alignment horizontal="center"/>
    </xf>
    <xf numFmtId="0" fontId="11" fillId="0" borderId="139" xfId="21" applyFont="1" applyBorder="1" applyAlignment="1">
      <alignment horizontal="left" vertical="center" wrapText="1"/>
    </xf>
    <xf numFmtId="0" fontId="11" fillId="0" borderId="142" xfId="21" applyFont="1" applyBorder="1" applyAlignment="1">
      <alignment horizontal="left" vertical="center" wrapText="1"/>
    </xf>
    <xf numFmtId="0" fontId="146" fillId="0" borderId="136" xfId="21" applyFont="1" applyBorder="1" applyAlignment="1">
      <alignment horizontal="center" vertical="center" wrapText="1"/>
    </xf>
    <xf numFmtId="0" fontId="146" fillId="0" borderId="140" xfId="21" applyFont="1" applyBorder="1" applyAlignment="1">
      <alignment horizontal="center" vertical="center" wrapText="1"/>
    </xf>
    <xf numFmtId="0" fontId="146" fillId="0" borderId="137" xfId="21" applyFont="1" applyBorder="1" applyAlignment="1">
      <alignment horizontal="center" vertical="center" wrapText="1"/>
    </xf>
    <xf numFmtId="0" fontId="146" fillId="0" borderId="141" xfId="21" applyFont="1" applyBorder="1" applyAlignment="1">
      <alignment horizontal="center" vertical="center" wrapText="1"/>
    </xf>
    <xf numFmtId="0" fontId="11" fillId="0" borderId="137" xfId="21" applyFont="1" applyBorder="1" applyAlignment="1">
      <alignment horizontal="center" vertical="center" wrapText="1"/>
    </xf>
    <xf numFmtId="0" fontId="11" fillId="0" borderId="141" xfId="21" applyFont="1" applyBorder="1" applyAlignment="1">
      <alignment horizontal="center" vertical="center" wrapText="1"/>
    </xf>
    <xf numFmtId="0" fontId="146" fillId="65" borderId="136" xfId="21" applyFont="1" applyFill="1" applyBorder="1" applyAlignment="1">
      <alignment horizontal="center" vertical="center" wrapText="1"/>
    </xf>
    <xf numFmtId="0" fontId="146" fillId="65" borderId="140" xfId="21" applyFont="1" applyFill="1" applyBorder="1" applyAlignment="1">
      <alignment horizontal="center" vertical="center" wrapText="1"/>
    </xf>
    <xf numFmtId="0" fontId="146" fillId="65" borderId="137" xfId="21" applyFont="1" applyFill="1" applyBorder="1" applyAlignment="1">
      <alignment horizontal="center" vertical="center" wrapText="1"/>
    </xf>
    <xf numFmtId="0" fontId="146" fillId="65" borderId="141" xfId="21" applyFont="1" applyFill="1" applyBorder="1" applyAlignment="1">
      <alignment horizontal="center" vertical="center" wrapText="1"/>
    </xf>
    <xf numFmtId="0" fontId="11" fillId="65" borderId="137" xfId="21" applyFont="1" applyFill="1" applyBorder="1" applyAlignment="1">
      <alignment horizontal="center" vertical="center" wrapText="1"/>
    </xf>
    <xf numFmtId="0" fontId="11" fillId="65" borderId="141" xfId="21" applyFont="1" applyFill="1" applyBorder="1" applyAlignment="1">
      <alignment horizontal="center" vertical="center" wrapText="1"/>
    </xf>
    <xf numFmtId="168" fontId="146" fillId="65" borderId="137" xfId="8" applyNumberFormat="1" applyFont="1" applyFill="1" applyBorder="1" applyAlignment="1">
      <alignment horizontal="center" vertical="center" wrapText="1"/>
    </xf>
    <xf numFmtId="168" fontId="146" fillId="65" borderId="141" xfId="8" applyNumberFormat="1" applyFont="1" applyFill="1" applyBorder="1" applyAlignment="1">
      <alignment horizontal="center" vertical="center" wrapText="1"/>
    </xf>
    <xf numFmtId="0" fontId="11" fillId="65" borderId="136" xfId="21" applyFont="1" applyFill="1" applyBorder="1" applyAlignment="1">
      <alignment horizontal="center" vertical="center" wrapText="1"/>
    </xf>
    <xf numFmtId="0" fontId="11" fillId="65" borderId="147" xfId="21" applyFont="1" applyFill="1" applyBorder="1" applyAlignment="1">
      <alignment horizontal="center" vertical="center" wrapText="1"/>
    </xf>
    <xf numFmtId="0" fontId="11" fillId="65" borderId="148" xfId="21" applyFont="1" applyFill="1" applyBorder="1" applyAlignment="1">
      <alignment horizontal="center" vertical="center" wrapText="1"/>
    </xf>
    <xf numFmtId="0" fontId="11" fillId="0" borderId="149" xfId="21" applyFont="1" applyBorder="1" applyAlignment="1">
      <alignment horizontal="left" vertical="center" wrapText="1"/>
    </xf>
    <xf numFmtId="0" fontId="11" fillId="65" borderId="140" xfId="21" applyFont="1" applyFill="1" applyBorder="1" applyAlignment="1">
      <alignment horizontal="center" vertical="center" wrapText="1"/>
    </xf>
    <xf numFmtId="0" fontId="148" fillId="65" borderId="137" xfId="21" applyFont="1" applyFill="1" applyBorder="1" applyAlignment="1">
      <alignment horizontal="left" vertical="center" wrapText="1"/>
    </xf>
    <xf numFmtId="0" fontId="148" fillId="65" borderId="141" xfId="21" applyFont="1" applyFill="1" applyBorder="1" applyAlignment="1">
      <alignment horizontal="left" vertical="center" wrapText="1"/>
    </xf>
    <xf numFmtId="16" fontId="68" fillId="0" borderId="35" xfId="1" applyNumberFormat="1" applyFont="1" applyBorder="1" applyAlignment="1">
      <alignment horizontal="center"/>
    </xf>
    <xf numFmtId="16" fontId="68" fillId="0" borderId="1" xfId="1" applyNumberFormat="1" applyFont="1" applyBorder="1" applyAlignment="1">
      <alignment horizontal="center"/>
    </xf>
    <xf numFmtId="16" fontId="68" fillId="0" borderId="36" xfId="1" applyNumberFormat="1" applyFont="1" applyBorder="1" applyAlignment="1">
      <alignment horizontal="center"/>
    </xf>
    <xf numFmtId="43" fontId="68" fillId="0" borderId="0" xfId="1" applyFont="1" applyAlignment="1">
      <alignment horizontal="center" wrapText="1"/>
    </xf>
    <xf numFmtId="43" fontId="68" fillId="0" borderId="1" xfId="1" applyFont="1" applyBorder="1" applyAlignment="1">
      <alignment horizontal="center" wrapText="1"/>
    </xf>
    <xf numFmtId="0" fontId="18" fillId="0" borderId="22" xfId="0" applyFont="1" applyBorder="1" applyAlignment="1">
      <alignment horizontal="center"/>
    </xf>
    <xf numFmtId="0" fontId="18" fillId="0" borderId="65" xfId="0" applyFont="1" applyBorder="1" applyAlignment="1">
      <alignment horizontal="center"/>
    </xf>
    <xf numFmtId="0" fontId="68" fillId="0" borderId="0" xfId="0" applyFont="1" applyAlignment="1">
      <alignment horizontal="center"/>
    </xf>
    <xf numFmtId="0" fontId="68" fillId="0" borderId="1" xfId="0" applyFont="1" applyBorder="1" applyAlignment="1">
      <alignment horizontal="center"/>
    </xf>
    <xf numFmtId="43" fontId="68" fillId="0" borderId="0" xfId="1" applyFont="1" applyAlignment="1">
      <alignment horizontal="center"/>
    </xf>
    <xf numFmtId="43" fontId="68" fillId="0" borderId="1" xfId="1" applyFont="1" applyBorder="1" applyAlignment="1">
      <alignment horizontal="center"/>
    </xf>
    <xf numFmtId="43" fontId="68" fillId="0" borderId="35" xfId="1" applyFont="1" applyBorder="1" applyAlignment="1">
      <alignment horizontal="center"/>
    </xf>
    <xf numFmtId="43" fontId="68" fillId="0" borderId="36" xfId="1" applyFont="1" applyBorder="1" applyAlignment="1">
      <alignment horizontal="center"/>
    </xf>
    <xf numFmtId="0" fontId="115" fillId="0" borderId="0" xfId="0" applyFont="1" applyAlignment="1">
      <alignment horizontal="center"/>
    </xf>
    <xf numFmtId="0" fontId="7" fillId="0" borderId="1" xfId="0" applyFont="1" applyBorder="1" applyAlignment="1">
      <alignment horizontal="center"/>
    </xf>
    <xf numFmtId="0" fontId="74" fillId="0" borderId="0" xfId="0" applyFont="1"/>
    <xf numFmtId="0" fontId="74" fillId="0" borderId="1" xfId="0" applyFont="1" applyBorder="1"/>
    <xf numFmtId="0" fontId="74" fillId="0" borderId="68" xfId="0" applyFont="1" applyBorder="1"/>
    <xf numFmtId="0" fontId="74" fillId="0" borderId="59" xfId="0" applyFont="1" applyBorder="1" applyAlignment="1">
      <alignment horizontal="left"/>
    </xf>
    <xf numFmtId="0" fontId="74" fillId="0" borderId="14" xfId="0" applyFont="1" applyBorder="1" applyAlignment="1">
      <alignment horizontal="center"/>
    </xf>
    <xf numFmtId="0" fontId="74" fillId="0" borderId="15" xfId="0" applyFont="1" applyBorder="1" applyAlignment="1">
      <alignment horizontal="center"/>
    </xf>
    <xf numFmtId="190" fontId="100" fillId="0" borderId="0" xfId="0" applyNumberFormat="1" applyFont="1" applyAlignment="1">
      <alignment horizontal="center"/>
    </xf>
    <xf numFmtId="0" fontId="99" fillId="52" borderId="87" xfId="0" applyFont="1" applyFill="1" applyBorder="1" applyAlignment="1">
      <alignment horizontal="center" vertical="center"/>
    </xf>
    <xf numFmtId="0" fontId="99" fillId="52" borderId="93" xfId="0" applyFont="1" applyFill="1" applyBorder="1" applyAlignment="1">
      <alignment horizontal="center" vertical="center"/>
    </xf>
    <xf numFmtId="0" fontId="99" fillId="52" borderId="51" xfId="0" applyFont="1" applyFill="1" applyBorder="1" applyAlignment="1">
      <alignment horizontal="center" vertical="center"/>
    </xf>
    <xf numFmtId="0" fontId="99" fillId="52" borderId="87" xfId="0" applyFont="1" applyFill="1" applyBorder="1" applyAlignment="1">
      <alignment horizontal="center"/>
    </xf>
    <xf numFmtId="0" fontId="99" fillId="52" borderId="93" xfId="0" applyFont="1" applyFill="1" applyBorder="1" applyAlignment="1">
      <alignment horizontal="center"/>
    </xf>
    <xf numFmtId="0" fontId="99" fillId="52" borderId="51" xfId="0" applyFont="1" applyFill="1" applyBorder="1" applyAlignment="1">
      <alignment horizontal="center"/>
    </xf>
    <xf numFmtId="0" fontId="4" fillId="52" borderId="87" xfId="0" applyFont="1" applyFill="1" applyBorder="1" applyAlignment="1">
      <alignment horizontal="center"/>
    </xf>
    <xf numFmtId="0" fontId="4" fillId="52" borderId="93" xfId="0" applyFont="1" applyFill="1" applyBorder="1" applyAlignment="1">
      <alignment horizontal="center"/>
    </xf>
    <xf numFmtId="0" fontId="4" fillId="52" borderId="51" xfId="0" applyFont="1" applyFill="1" applyBorder="1" applyAlignment="1">
      <alignment horizontal="center"/>
    </xf>
    <xf numFmtId="17" fontId="4" fillId="0" borderId="108" xfId="0" applyNumberFormat="1" applyFont="1" applyBorder="1" applyAlignment="1">
      <alignment horizontal="left" vertical="center"/>
    </xf>
    <xf numFmtId="17" fontId="4" fillId="0" borderId="64" xfId="0" applyNumberFormat="1" applyFont="1" applyBorder="1" applyAlignment="1">
      <alignment horizontal="left" vertical="center"/>
    </xf>
    <xf numFmtId="0" fontId="4" fillId="0" borderId="87" xfId="0" applyFont="1" applyBorder="1" applyAlignment="1">
      <alignment horizontal="right"/>
    </xf>
    <xf numFmtId="0" fontId="4" fillId="0" borderId="51" xfId="0" applyFont="1" applyBorder="1" applyAlignment="1">
      <alignment horizontal="right"/>
    </xf>
    <xf numFmtId="0" fontId="98" fillId="0" borderId="0" xfId="0" applyFont="1" applyAlignment="1">
      <alignment horizontal="center" vertical="center" wrapText="1"/>
    </xf>
    <xf numFmtId="0" fontId="98" fillId="0" borderId="16" xfId="0" applyFont="1" applyBorder="1" applyAlignment="1">
      <alignment horizontal="center" vertical="center" wrapText="1"/>
    </xf>
    <xf numFmtId="0" fontId="98" fillId="0" borderId="60" xfId="0" applyFont="1" applyBorder="1" applyAlignment="1">
      <alignment horizontal="center" vertical="center" wrapText="1"/>
    </xf>
    <xf numFmtId="0" fontId="98" fillId="0" borderId="17" xfId="0" applyFont="1" applyBorder="1" applyAlignment="1">
      <alignment horizontal="center" vertical="center" wrapText="1"/>
    </xf>
    <xf numFmtId="0" fontId="98" fillId="0" borderId="20" xfId="0" applyFont="1" applyBorder="1" applyAlignment="1">
      <alignment horizontal="center" vertical="center" wrapText="1"/>
    </xf>
    <xf numFmtId="0" fontId="98" fillId="0" borderId="21" xfId="0" applyFont="1" applyBorder="1" applyAlignment="1">
      <alignment horizontal="center" vertical="center" wrapText="1"/>
    </xf>
    <xf numFmtId="0" fontId="98" fillId="0" borderId="22" xfId="0" applyFont="1" applyBorder="1" applyAlignment="1">
      <alignment horizontal="center" vertical="center" wrapText="1"/>
    </xf>
    <xf numFmtId="0" fontId="98" fillId="0" borderId="23" xfId="0" applyFont="1" applyBorder="1" applyAlignment="1">
      <alignment horizontal="center" vertical="center" wrapText="1"/>
    </xf>
    <xf numFmtId="0" fontId="98" fillId="0" borderId="65" xfId="0" applyFont="1" applyBorder="1" applyAlignment="1">
      <alignment horizontal="center" vertical="center" wrapText="1"/>
    </xf>
    <xf numFmtId="0" fontId="98" fillId="57" borderId="87" xfId="0" applyFont="1" applyFill="1" applyBorder="1" applyAlignment="1">
      <alignment horizontal="center" vertical="center" wrapText="1"/>
    </xf>
    <xf numFmtId="0" fontId="98" fillId="57" borderId="93" xfId="0" applyFont="1" applyFill="1" applyBorder="1" applyAlignment="1">
      <alignment horizontal="center" vertical="center" wrapText="1"/>
    </xf>
    <xf numFmtId="0" fontId="99" fillId="57" borderId="87" xfId="0" applyFont="1" applyFill="1" applyBorder="1" applyAlignment="1">
      <alignment horizontal="center" vertical="center"/>
    </xf>
    <xf numFmtId="0" fontId="99" fillId="57" borderId="93" xfId="0" applyFont="1" applyFill="1" applyBorder="1" applyAlignment="1">
      <alignment horizontal="center" vertical="center"/>
    </xf>
    <xf numFmtId="0" fontId="99" fillId="57" borderId="51" xfId="0" applyFont="1" applyFill="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65" xfId="0" applyFont="1" applyBorder="1" applyAlignment="1">
      <alignment horizontal="center" vertical="center"/>
    </xf>
    <xf numFmtId="0" fontId="99" fillId="57" borderId="16" xfId="0" applyFont="1" applyFill="1" applyBorder="1" applyAlignment="1">
      <alignment horizontal="center" vertical="center"/>
    </xf>
    <xf numFmtId="0" fontId="99" fillId="57" borderId="60" xfId="0" applyFont="1" applyFill="1" applyBorder="1" applyAlignment="1">
      <alignment horizontal="center" vertical="center"/>
    </xf>
    <xf numFmtId="0" fontId="99" fillId="57" borderId="17" xfId="0" applyFont="1" applyFill="1" applyBorder="1" applyAlignment="1">
      <alignment horizontal="center" vertical="center"/>
    </xf>
    <xf numFmtId="0" fontId="99" fillId="57" borderId="22" xfId="0" applyFont="1" applyFill="1" applyBorder="1" applyAlignment="1">
      <alignment horizontal="center" vertical="center"/>
    </xf>
    <xf numFmtId="0" fontId="99" fillId="57" borderId="23" xfId="0" applyFont="1" applyFill="1" applyBorder="1" applyAlignment="1">
      <alignment horizontal="center" vertical="center"/>
    </xf>
    <xf numFmtId="0" fontId="99" fillId="57" borderId="65" xfId="0" applyFont="1" applyFill="1" applyBorder="1" applyAlignment="1">
      <alignment horizontal="center" vertical="center"/>
    </xf>
    <xf numFmtId="0" fontId="4" fillId="0" borderId="87" xfId="0" applyFont="1" applyBorder="1" applyAlignment="1">
      <alignment horizontal="center" vertical="center"/>
    </xf>
    <xf numFmtId="0" fontId="4" fillId="0" borderId="93" xfId="0" applyFont="1" applyBorder="1" applyAlignment="1">
      <alignment horizontal="center" vertical="center"/>
    </xf>
    <xf numFmtId="0" fontId="4" fillId="0" borderId="51" xfId="0" applyFont="1" applyBorder="1" applyAlignment="1">
      <alignment horizontal="center" vertical="center"/>
    </xf>
    <xf numFmtId="0" fontId="0" fillId="0" borderId="0" xfId="0" applyAlignment="1">
      <alignment horizontal="center" wrapText="1"/>
    </xf>
    <xf numFmtId="0" fontId="74" fillId="0" borderId="67" xfId="0" applyFont="1" applyBorder="1"/>
    <xf numFmtId="0" fontId="74" fillId="0" borderId="59" xfId="0" applyFont="1" applyBorder="1"/>
    <xf numFmtId="0" fontId="75" fillId="0" borderId="0" xfId="0" applyFont="1"/>
    <xf numFmtId="0" fontId="74" fillId="0" borderId="0" xfId="0" applyFont="1" applyAlignment="1">
      <alignment horizontal="center"/>
    </xf>
    <xf numFmtId="0" fontId="72" fillId="0" borderId="0" xfId="0" applyFont="1" applyAlignment="1">
      <alignment horizontal="left"/>
    </xf>
    <xf numFmtId="0" fontId="84" fillId="0" borderId="0" xfId="0" applyFont="1"/>
    <xf numFmtId="0" fontId="74" fillId="55" borderId="0" xfId="0" applyFont="1" applyFill="1" applyAlignment="1">
      <alignment horizontal="left"/>
    </xf>
  </cellXfs>
  <cellStyles count="373">
    <cellStyle name="20% - Accent1 10" xfId="287" xr:uid="{87B6364B-E78F-479D-987F-CABCE963064B}"/>
    <cellStyle name="20% - Accent1 11" xfId="310" xr:uid="{81657C8A-A506-41B0-A814-E1ECDC9C2B50}"/>
    <cellStyle name="20% - Accent1 12" xfId="328" xr:uid="{BD93086C-5AA8-4C66-9904-B2DEA79A1483}"/>
    <cellStyle name="20% - Accent1 13" xfId="348" xr:uid="{0A3B6819-ED4A-49CB-A2A9-CF52DDDA1A3F}"/>
    <cellStyle name="20% - Accent1 2" xfId="71" xr:uid="{097B2DAF-8FA3-41FB-870D-60212FA4F490}"/>
    <cellStyle name="20% - Accent1 3" xfId="112" xr:uid="{2D4BDCA5-20A4-4F3B-9F5F-A206A71D1126}"/>
    <cellStyle name="20% - Accent1 4" xfId="142" xr:uid="{39F57F04-BC0B-4F18-92D2-3FD9757014B9}"/>
    <cellStyle name="20% - Accent1 5" xfId="162" xr:uid="{B67220AB-CE79-48DC-8B8F-41238BE8A324}"/>
    <cellStyle name="20% - Accent1 6" xfId="182" xr:uid="{041A81AD-01F9-4450-8EEA-3E3261F0A520}"/>
    <cellStyle name="20% - Accent1 7" xfId="202" xr:uid="{5C0DC894-0A04-4537-BD0F-136996C076DF}"/>
    <cellStyle name="20% - Accent1 8" xfId="225" xr:uid="{BCAE1CF1-E50A-46D5-9333-9DC526C2726C}"/>
    <cellStyle name="20% - Accent1 9" xfId="39" xr:uid="{A25B0335-3462-4B11-8C61-6608FC00824D}"/>
    <cellStyle name="20% - Accent1 9 2" xfId="267" xr:uid="{6140E097-A3FE-4219-8F2E-514CD6723325}"/>
    <cellStyle name="20% - Accent2 10" xfId="290" xr:uid="{B505C940-0541-486A-B329-DF584461574C}"/>
    <cellStyle name="20% - Accent2 11" xfId="313" xr:uid="{9F401015-2876-4673-9188-63072D561F24}"/>
    <cellStyle name="20% - Accent2 12" xfId="329" xr:uid="{011BC467-A904-4698-81B8-43669B3560B9}"/>
    <cellStyle name="20% - Accent2 13" xfId="349" xr:uid="{9935C9E3-29CA-4C05-A6F1-D60C8493356A}"/>
    <cellStyle name="20% - Accent2 2" xfId="72" xr:uid="{0890101E-BEDD-418B-9B58-FF9BD845798B}"/>
    <cellStyle name="20% - Accent2 3" xfId="113" xr:uid="{8EBCEB37-F66D-4F4E-9B90-5588D91AC7E5}"/>
    <cellStyle name="20% - Accent2 4" xfId="145" xr:uid="{5A8B347A-9007-4F93-8663-FCB54AC8D07F}"/>
    <cellStyle name="20% - Accent2 5" xfId="165" xr:uid="{B1B17921-A08F-4762-81C7-4189ED55D1F3}"/>
    <cellStyle name="20% - Accent2 6" xfId="185" xr:uid="{00DCD4ED-377C-4335-801D-D16D3133CDF7}"/>
    <cellStyle name="20% - Accent2 7" xfId="203" xr:uid="{14E0FFC0-2AD1-485E-98E7-E941F3B7A9E1}"/>
    <cellStyle name="20% - Accent2 8" xfId="228" xr:uid="{8C89A921-50FF-49A9-8B74-901CAB681687}"/>
    <cellStyle name="20% - Accent2 9" xfId="43" xr:uid="{B50A30BF-553E-4BF0-AC21-DA5CA397658E}"/>
    <cellStyle name="20% - Accent2 9 2" xfId="270" xr:uid="{0B1B591B-815E-40EE-9E07-A4C658B00A62}"/>
    <cellStyle name="20% - Accent3 10" xfId="293" xr:uid="{C11E4EC3-7FBE-4A44-B8FA-6A0446C79024}"/>
    <cellStyle name="20% - Accent3 11" xfId="316" xr:uid="{B72AA59E-A4CF-42FF-A8DF-594F1D7200B9}"/>
    <cellStyle name="20% - Accent3 12" xfId="330" xr:uid="{B8140A0D-5775-4DA0-87A2-67C9ECA145E4}"/>
    <cellStyle name="20% - Accent3 13" xfId="350" xr:uid="{22EB5F21-84B0-4C81-8522-595B919B465A}"/>
    <cellStyle name="20% - Accent3 2" xfId="73" xr:uid="{52A0AC33-BAF4-4393-9D37-967B76568AD9}"/>
    <cellStyle name="20% - Accent3 3" xfId="114" xr:uid="{74066E55-E31D-4026-8A49-7D68643BBBE1}"/>
    <cellStyle name="20% - Accent3 4" xfId="148" xr:uid="{D1A7A7D0-30DC-4049-904F-B878C858CB75}"/>
    <cellStyle name="20% - Accent3 5" xfId="168" xr:uid="{ED9AC937-F2A6-4F6A-8577-B965CB16FBC9}"/>
    <cellStyle name="20% - Accent3 6" xfId="188" xr:uid="{097EEEDE-8A5C-4B1D-82FF-96D4A315F286}"/>
    <cellStyle name="20% - Accent3 7" xfId="204" xr:uid="{97AD88BF-0D71-4A6B-9A6D-1A85D6C3A82E}"/>
    <cellStyle name="20% - Accent3 8" xfId="231" xr:uid="{EA44778F-41A3-488B-BFC1-E2E16CF6564A}"/>
    <cellStyle name="20% - Accent3 9" xfId="47" xr:uid="{92B39D7A-FAC5-47C7-A7D1-D7614F250DDD}"/>
    <cellStyle name="20% - Accent3 9 2" xfId="273" xr:uid="{485BC875-5490-4704-8E78-FDA9473031FD}"/>
    <cellStyle name="20% - Accent4 10" xfId="296" xr:uid="{D76020BD-143D-4CEB-8113-7234D1A67B58}"/>
    <cellStyle name="20% - Accent4 11" xfId="319" xr:uid="{43C81254-3580-4C72-BA35-F094286AFDA6}"/>
    <cellStyle name="20% - Accent4 12" xfId="331" xr:uid="{CD48AC93-97AB-4E1F-8F8E-E85EFE67B1A5}"/>
    <cellStyle name="20% - Accent4 13" xfId="351" xr:uid="{9B710A6C-B04D-4BBE-909E-D1E66080A1FF}"/>
    <cellStyle name="20% - Accent4 2" xfId="74" xr:uid="{0CB50635-7ADB-4CA5-ACCD-C9130DCA038F}"/>
    <cellStyle name="20% - Accent4 3" xfId="115" xr:uid="{3EDBFB70-198A-407D-A476-2F9B4278E73A}"/>
    <cellStyle name="20% - Accent4 4" xfId="151" xr:uid="{B8665F65-35E2-4991-8446-5CAF47A3C3FE}"/>
    <cellStyle name="20% - Accent4 5" xfId="171" xr:uid="{0F0D62BF-D2EF-4A10-8DBB-B781609C32A8}"/>
    <cellStyle name="20% - Accent4 6" xfId="191" xr:uid="{1D262E92-18AD-4119-938B-FB13B3D8CAF0}"/>
    <cellStyle name="20% - Accent4 7" xfId="205" xr:uid="{F4404564-1C54-4A88-BD7A-83EB2F71E825}"/>
    <cellStyle name="20% - Accent4 8" xfId="234" xr:uid="{C774608F-5F3E-4CD2-924C-1237E6F3DE6C}"/>
    <cellStyle name="20% - Accent4 9" xfId="51" xr:uid="{93879FCD-327E-4D1B-8958-FBD6DB787858}"/>
    <cellStyle name="20% - Accent4 9 2" xfId="276" xr:uid="{9E23E9DC-93AC-42B9-867D-4F589E502ECF}"/>
    <cellStyle name="20% - Accent5 10" xfId="299" xr:uid="{D23C6583-3CE4-4590-9AD6-C83E0809BC8E}"/>
    <cellStyle name="20% - Accent5 11" xfId="322" xr:uid="{1607A0A8-77BE-4CEB-8252-45B5D2550CF8}"/>
    <cellStyle name="20% - Accent5 12" xfId="332" xr:uid="{FDF69C30-A419-4E97-A164-91F8DCCAA819}"/>
    <cellStyle name="20% - Accent5 13" xfId="352" xr:uid="{E3EAF8CE-3958-4E87-A1EA-9E464654D555}"/>
    <cellStyle name="20% - Accent5 2" xfId="75" xr:uid="{4BEDDBA4-CBB5-4889-A698-1A192C28BA3F}"/>
    <cellStyle name="20% - Accent5 3" xfId="116" xr:uid="{17260105-CCF5-4B0E-BD11-87652C53F824}"/>
    <cellStyle name="20% - Accent5 4" xfId="154" xr:uid="{DDC77F6D-D5B3-49E8-AABF-5024B1F29904}"/>
    <cellStyle name="20% - Accent5 5" xfId="174" xr:uid="{349BA17F-838F-4B74-936D-2E137C909DD0}"/>
    <cellStyle name="20% - Accent5 6" xfId="194" xr:uid="{2C463A25-3D7B-4DD3-BBEE-0885AE6C3DA5}"/>
    <cellStyle name="20% - Accent5 7" xfId="206" xr:uid="{BEE77C5C-F30C-4B36-B822-E3D94DB0B3E4}"/>
    <cellStyle name="20% - Accent5 8" xfId="237" xr:uid="{F6103A91-4BD6-4302-8A26-CFBD24A062AB}"/>
    <cellStyle name="20% - Accent5 9" xfId="55" xr:uid="{F407D00B-D925-4DC2-B828-95E62062DF27}"/>
    <cellStyle name="20% - Accent5 9 2" xfId="279" xr:uid="{035EB006-44EC-4B47-83A7-C8109DBF6667}"/>
    <cellStyle name="20% - Accent6 10" xfId="302" xr:uid="{07481E7F-61C5-4F9B-8081-ADD0AFDCC336}"/>
    <cellStyle name="20% - Accent6 11" xfId="325" xr:uid="{456549B2-F525-4019-9D38-9A8B2E3155E5}"/>
    <cellStyle name="20% - Accent6 12" xfId="333" xr:uid="{15C84C1D-5B45-4F64-BE70-D5837C1C4FB9}"/>
    <cellStyle name="20% - Accent6 13" xfId="353" xr:uid="{5092D31B-49B6-40B9-A822-B8B181970DC9}"/>
    <cellStyle name="20% - Accent6 2" xfId="76" xr:uid="{5AD44D91-435D-4459-88A2-0A52520CC7F6}"/>
    <cellStyle name="20% - Accent6 3" xfId="117" xr:uid="{39CE2839-57A7-4A6A-A52D-0C4C99137B77}"/>
    <cellStyle name="20% - Accent6 4" xfId="157" xr:uid="{CA89EC20-63DB-40A0-B440-18286142C047}"/>
    <cellStyle name="20% - Accent6 5" xfId="177" xr:uid="{15D4FD97-4339-4688-B911-61E0D45E69C3}"/>
    <cellStyle name="20% - Accent6 6" xfId="197" xr:uid="{FEF8F359-37CF-49AF-97D2-34FFB05CEFCA}"/>
    <cellStyle name="20% - Accent6 7" xfId="207" xr:uid="{D8188627-8AAB-4813-9330-6FEAB56C89AA}"/>
    <cellStyle name="20% - Accent6 8" xfId="240" xr:uid="{72407EA8-9BD0-477C-B7AE-929980C5D0A1}"/>
    <cellStyle name="20% - Accent6 9" xfId="59" xr:uid="{3EFA6F2E-C56F-49FD-822C-D081BE19DF10}"/>
    <cellStyle name="20% - Accent6 9 2" xfId="282" xr:uid="{0D92327A-710A-4500-8E30-12D927E73AA5}"/>
    <cellStyle name="40% - Accent1 10" xfId="288" xr:uid="{1861FD48-6F6E-4E98-A1FD-C5438F5C0258}"/>
    <cellStyle name="40% - Accent1 11" xfId="311" xr:uid="{140D23A5-5909-4CF9-94DA-AA073126C344}"/>
    <cellStyle name="40% - Accent1 12" xfId="334" xr:uid="{2E0969F3-32EA-40CC-905C-9E44BBC99D5E}"/>
    <cellStyle name="40% - Accent1 13" xfId="354" xr:uid="{EECBC553-455F-407D-BEC0-35AECDE8EF31}"/>
    <cellStyle name="40% - Accent1 2" xfId="77" xr:uid="{359BBA8D-62E7-472E-B104-F97577BE8874}"/>
    <cellStyle name="40% - Accent1 3" xfId="118" xr:uid="{46D58AFC-EADB-4748-B3CC-B745D6C64CBB}"/>
    <cellStyle name="40% - Accent1 4" xfId="143" xr:uid="{A6BB735F-2B5B-4A03-861A-EB110A622CE1}"/>
    <cellStyle name="40% - Accent1 5" xfId="163" xr:uid="{57948F6B-33F1-4D8C-9BF7-FCF72777144B}"/>
    <cellStyle name="40% - Accent1 6" xfId="183" xr:uid="{0C56D6BE-4BB6-49B5-89D3-9B7E9D22470C}"/>
    <cellStyle name="40% - Accent1 7" xfId="208" xr:uid="{2671E5AD-4064-46E3-8FCB-B76DB747DE55}"/>
    <cellStyle name="40% - Accent1 8" xfId="226" xr:uid="{BD449223-E806-4C7A-82D5-C1DE77BBB293}"/>
    <cellStyle name="40% - Accent1 9" xfId="40" xr:uid="{D8FBF25A-7506-442F-B6D6-FB129C20DBCB}"/>
    <cellStyle name="40% - Accent1 9 2" xfId="268" xr:uid="{491C542A-C18A-47DA-ADA8-34B681E859BF}"/>
    <cellStyle name="40% - Accent2 10" xfId="291" xr:uid="{6489050D-A618-40B7-892D-6E3AA76E06FC}"/>
    <cellStyle name="40% - Accent2 11" xfId="314" xr:uid="{F7B2A3A2-7198-41D7-AA85-F2192C52BA63}"/>
    <cellStyle name="40% - Accent2 12" xfId="335" xr:uid="{B918CE87-3869-4663-905C-8D96A10E38F5}"/>
    <cellStyle name="40% - Accent2 13" xfId="355" xr:uid="{9E7936FC-E9E2-4F2A-90BC-1D49EC4716AB}"/>
    <cellStyle name="40% - Accent2 2" xfId="78" xr:uid="{7E1AAC56-9199-4808-BC52-3CA9D720553F}"/>
    <cellStyle name="40% - Accent2 3" xfId="119" xr:uid="{6E72759A-8582-42D2-8BA8-7DC7B6D3205F}"/>
    <cellStyle name="40% - Accent2 4" xfId="146" xr:uid="{9C719DE9-21CB-46F5-A153-B98144B5F638}"/>
    <cellStyle name="40% - Accent2 5" xfId="166" xr:uid="{93AE2427-87F1-451C-98EE-281FCCB22FBB}"/>
    <cellStyle name="40% - Accent2 6" xfId="186" xr:uid="{34B7AFFB-FA9E-4103-83A0-B98BFF4D1A80}"/>
    <cellStyle name="40% - Accent2 7" xfId="209" xr:uid="{071F31B4-5F34-42DF-AE61-BC89ECA25217}"/>
    <cellStyle name="40% - Accent2 8" xfId="229" xr:uid="{3AF472DF-B7E9-4BF1-A95E-5A54902790A3}"/>
    <cellStyle name="40% - Accent2 9" xfId="44" xr:uid="{58AEC058-CC79-44D4-9670-CE0A8471DD27}"/>
    <cellStyle name="40% - Accent2 9 2" xfId="271" xr:uid="{67975CB4-5A6D-4132-927F-D173EA888702}"/>
    <cellStyle name="40% - Accent3 10" xfId="294" xr:uid="{A5DE5D8D-5D7E-4D0C-84DD-CAB88712A225}"/>
    <cellStyle name="40% - Accent3 11" xfId="317" xr:uid="{2221FE63-B9B0-48B2-B40A-5CD2A605204A}"/>
    <cellStyle name="40% - Accent3 12" xfId="336" xr:uid="{C803DEF7-3065-480F-A71D-8956C5D1EDB4}"/>
    <cellStyle name="40% - Accent3 13" xfId="356" xr:uid="{572E3327-F3E2-4680-BDCB-D7EFF543681E}"/>
    <cellStyle name="40% - Accent3 2" xfId="79" xr:uid="{BCB5C94C-38AA-4ADC-B6B3-7987433019E2}"/>
    <cellStyle name="40% - Accent3 3" xfId="120" xr:uid="{08FF2C3A-87BB-41AD-BDC6-8DBBED27C49E}"/>
    <cellStyle name="40% - Accent3 4" xfId="149" xr:uid="{A879EE17-3CD5-4AAF-83A2-837E308648C5}"/>
    <cellStyle name="40% - Accent3 5" xfId="169" xr:uid="{D0DDCD50-B9D6-4D81-A262-72C652C79E7E}"/>
    <cellStyle name="40% - Accent3 6" xfId="189" xr:uid="{854F17BD-7145-4D6D-B87C-E458EA3142FB}"/>
    <cellStyle name="40% - Accent3 7" xfId="210" xr:uid="{3DA1A94C-A32C-4099-AD29-8F3C2ABEFE9D}"/>
    <cellStyle name="40% - Accent3 8" xfId="232" xr:uid="{9BA6617F-B3AF-4FB7-A9A2-A73A3514A586}"/>
    <cellStyle name="40% - Accent3 9" xfId="48" xr:uid="{94472898-1C58-43FF-9C84-01025F6EB203}"/>
    <cellStyle name="40% - Accent3 9 2" xfId="274" xr:uid="{A668FEDB-4744-46B6-88D6-1E456DADEE7B}"/>
    <cellStyle name="40% - Accent4 10" xfId="297" xr:uid="{72D8FDA5-5186-4BF8-AEBD-B5A9715A58BF}"/>
    <cellStyle name="40% - Accent4 11" xfId="320" xr:uid="{0CEA5338-4979-45BC-B638-B9094B920BB5}"/>
    <cellStyle name="40% - Accent4 12" xfId="337" xr:uid="{7D107405-7C37-45C9-A236-237C452ADC67}"/>
    <cellStyle name="40% - Accent4 13" xfId="357" xr:uid="{555A2768-D226-481A-9880-6632EC776EAE}"/>
    <cellStyle name="40% - Accent4 2" xfId="80" xr:uid="{9B884B12-486B-4CBF-AB64-2ED366B64DFB}"/>
    <cellStyle name="40% - Accent4 3" xfId="121" xr:uid="{FE06450F-F4B5-4D03-A00C-6502BB2982CE}"/>
    <cellStyle name="40% - Accent4 4" xfId="152" xr:uid="{E9E1396D-E96A-4A3E-A050-0B8D1D76D28C}"/>
    <cellStyle name="40% - Accent4 5" xfId="172" xr:uid="{602C1373-8BA7-4181-AF0D-56D71A6327D1}"/>
    <cellStyle name="40% - Accent4 6" xfId="192" xr:uid="{5CDDCD04-9BF8-478E-9BBC-F0840B22B025}"/>
    <cellStyle name="40% - Accent4 7" xfId="211" xr:uid="{D70C7601-9500-44C6-99AC-C42385D20B80}"/>
    <cellStyle name="40% - Accent4 8" xfId="235" xr:uid="{A7887F06-69F0-45B1-B49C-A192BD02F4DC}"/>
    <cellStyle name="40% - Accent4 9" xfId="52" xr:uid="{B3037AC4-4895-4DE8-B849-4E248F029546}"/>
    <cellStyle name="40% - Accent4 9 2" xfId="277" xr:uid="{8F50EE52-BD91-4A71-B8C8-A45A575D090D}"/>
    <cellStyle name="40% - Accent5 10" xfId="300" xr:uid="{6DDD38F5-B56A-4C08-BB7A-ADC0F406A21C}"/>
    <cellStyle name="40% - Accent5 11" xfId="323" xr:uid="{C71574EF-5FAE-44E2-909E-C3795ED6A82E}"/>
    <cellStyle name="40% - Accent5 12" xfId="338" xr:uid="{F2581BAA-65C4-4AF3-80BF-335CF34ABED0}"/>
    <cellStyle name="40% - Accent5 13" xfId="358" xr:uid="{DC2EF7CF-2C09-4C1B-8D98-9470AF19871B}"/>
    <cellStyle name="40% - Accent5 2" xfId="81" xr:uid="{715EAF5D-2278-4CB3-B667-789EBA85FDCD}"/>
    <cellStyle name="40% - Accent5 3" xfId="122" xr:uid="{73FFA7DD-505E-4326-B713-649C7C47EC6E}"/>
    <cellStyle name="40% - Accent5 4" xfId="155" xr:uid="{546816C5-27EE-4BDC-B6CA-720BB801AE5D}"/>
    <cellStyle name="40% - Accent5 5" xfId="175" xr:uid="{1D4EA9CF-683C-4712-9C7E-5022D536BDCD}"/>
    <cellStyle name="40% - Accent5 6" xfId="195" xr:uid="{319718BA-FB3A-464B-8E5D-FFEF765894FD}"/>
    <cellStyle name="40% - Accent5 7" xfId="212" xr:uid="{899FD218-BA04-4ECE-A125-C61CFBDDE4D2}"/>
    <cellStyle name="40% - Accent5 8" xfId="238" xr:uid="{DD968EBB-9479-4218-B5EB-1C77040AD6CB}"/>
    <cellStyle name="40% - Accent5 9" xfId="56" xr:uid="{0DCE0CDE-95BD-4443-872B-3EBBD6ED5725}"/>
    <cellStyle name="40% - Accent5 9 2" xfId="280" xr:uid="{46C9B420-BFA8-4699-B13E-C7215D4FFDA9}"/>
    <cellStyle name="40% - Accent6 10" xfId="303" xr:uid="{07335EE9-3C39-48C0-8715-51C93E69DEED}"/>
    <cellStyle name="40% - Accent6 11" xfId="326" xr:uid="{3ED9D6F2-BB65-4D30-B5AF-26CD5A752B9D}"/>
    <cellStyle name="40% - Accent6 12" xfId="339" xr:uid="{80CB8FBC-5966-4403-98A5-C1033A50EC32}"/>
    <cellStyle name="40% - Accent6 13" xfId="359" xr:uid="{3D4FD390-9BB2-4D8B-A6E4-1D09FFEC4ED7}"/>
    <cellStyle name="40% - Accent6 2" xfId="82" xr:uid="{BAA52A0C-8D81-45EB-B587-83DCED262D35}"/>
    <cellStyle name="40% - Accent6 3" xfId="123" xr:uid="{FBA9E22A-D5E2-4066-8181-020F23C0CEEC}"/>
    <cellStyle name="40% - Accent6 4" xfId="158" xr:uid="{CFD96031-3810-472D-B8E4-7847E0CD0B95}"/>
    <cellStyle name="40% - Accent6 5" xfId="178" xr:uid="{2CE27C27-72D7-4D8F-849D-16D6FAA4FD7B}"/>
    <cellStyle name="40% - Accent6 6" xfId="198" xr:uid="{B89B4E63-C85B-4D15-AC95-DAE63CB52B16}"/>
    <cellStyle name="40% - Accent6 7" xfId="213" xr:uid="{BEA0774C-3126-4E00-ADA1-3F5DEDDBD9A6}"/>
    <cellStyle name="40% - Accent6 8" xfId="241" xr:uid="{897A87CC-63D3-4D49-9AAC-7C94AC35795D}"/>
    <cellStyle name="40% - Accent6 9" xfId="60" xr:uid="{CAAEE355-FA5C-41BC-B0F3-ADB05577E613}"/>
    <cellStyle name="40% - Accent6 9 2" xfId="283" xr:uid="{51AD51A9-7757-4DE1-8D84-8C104304E5FF}"/>
    <cellStyle name="60% - Accent1 10" xfId="289" xr:uid="{AB296EE3-6BEE-4B79-95A1-5C8E9CA07F23}"/>
    <cellStyle name="60% - Accent1 11" xfId="312" xr:uid="{BB18E5DB-FCCE-492C-A783-25F96A7751EB}"/>
    <cellStyle name="60% - Accent1 12" xfId="340" xr:uid="{092C3F14-8DC8-4F8A-BF33-5402C57AF1CC}"/>
    <cellStyle name="60% - Accent1 13" xfId="360" xr:uid="{AA906F9F-BB7C-4ACB-BD38-1AA1C0B009E9}"/>
    <cellStyle name="60% - Accent1 2" xfId="83" xr:uid="{E495886B-8F73-4B54-A68A-8FB17A19C429}"/>
    <cellStyle name="60% - Accent1 3" xfId="124" xr:uid="{F0E4C3EA-8675-482D-AB5B-CBDC116EA739}"/>
    <cellStyle name="60% - Accent1 4" xfId="144" xr:uid="{AEB13277-71F1-411C-BF31-FF438469BAD5}"/>
    <cellStyle name="60% - Accent1 5" xfId="164" xr:uid="{6B7A8922-F2BD-4BD9-9185-56A086BB3B7D}"/>
    <cellStyle name="60% - Accent1 6" xfId="184" xr:uid="{0ABB2DC9-2414-4EAA-99BC-03392B5B9CBB}"/>
    <cellStyle name="60% - Accent1 7" xfId="214" xr:uid="{709AFC3A-AB02-46CF-B705-0CEE271E8059}"/>
    <cellStyle name="60% - Accent1 8" xfId="227" xr:uid="{B7C687B0-D012-4125-A224-A1EBDC14A2D1}"/>
    <cellStyle name="60% - Accent1 9" xfId="41" xr:uid="{BFED713F-A125-420E-9E61-9D9957A32421}"/>
    <cellStyle name="60% - Accent1 9 2" xfId="269" xr:uid="{C25D6EB6-4A3D-4058-AA6A-20E27D667722}"/>
    <cellStyle name="60% - Accent2 10" xfId="292" xr:uid="{4A2A840B-7A5B-4859-A919-AEDF9A4A5409}"/>
    <cellStyle name="60% - Accent2 11" xfId="315" xr:uid="{CF0F937A-EE43-4BF1-9B7B-4DB19E2BB670}"/>
    <cellStyle name="60% - Accent2 12" xfId="341" xr:uid="{B06284FF-58B4-442C-B772-9F7DDF741367}"/>
    <cellStyle name="60% - Accent2 13" xfId="361" xr:uid="{4D535242-503F-47F5-9A11-1C774121917F}"/>
    <cellStyle name="60% - Accent2 2" xfId="84" xr:uid="{7B6692D3-8C9B-4C48-93A3-20FE65CAC32B}"/>
    <cellStyle name="60% - Accent2 3" xfId="125" xr:uid="{57A259AA-BC53-40D5-BC21-8A0FAC7F789F}"/>
    <cellStyle name="60% - Accent2 4" xfId="147" xr:uid="{E490B0AD-4F89-4421-A08B-DC42EDDEA47C}"/>
    <cellStyle name="60% - Accent2 5" xfId="167" xr:uid="{5C826BED-5657-4D76-A28E-3D516F16CC7B}"/>
    <cellStyle name="60% - Accent2 6" xfId="187" xr:uid="{A0B251BA-40E9-448D-8314-6729118B69AA}"/>
    <cellStyle name="60% - Accent2 7" xfId="215" xr:uid="{81569D12-E13A-463E-9268-6DB121244410}"/>
    <cellStyle name="60% - Accent2 8" xfId="230" xr:uid="{C538234A-A011-46E2-96A2-3AD7CC0C9861}"/>
    <cellStyle name="60% - Accent2 9" xfId="45" xr:uid="{1B26EA8A-E986-499D-AB1C-5D92ED172E12}"/>
    <cellStyle name="60% - Accent2 9 2" xfId="272" xr:uid="{9D5C55A2-03F7-497D-8513-D2BDFFB0A8C3}"/>
    <cellStyle name="60% - Accent3 10" xfId="295" xr:uid="{EA4366FC-BAD4-4A07-A7AB-8FB59D4B890B}"/>
    <cellStyle name="60% - Accent3 11" xfId="318" xr:uid="{C3A2A39F-BD42-4BBF-9657-93116C4CAAB8}"/>
    <cellStyle name="60% - Accent3 12" xfId="342" xr:uid="{9B946C61-C8BB-40AD-8302-76D21B87DCD2}"/>
    <cellStyle name="60% - Accent3 13" xfId="362" xr:uid="{0E2EEA75-3889-46D5-8F5F-8B536C83F22C}"/>
    <cellStyle name="60% - Accent3 2" xfId="85" xr:uid="{C344A39E-8713-45D7-85FB-C0B9F5592556}"/>
    <cellStyle name="60% - Accent3 3" xfId="126" xr:uid="{3D288E02-45BC-4A58-991B-700A09661F7B}"/>
    <cellStyle name="60% - Accent3 4" xfId="150" xr:uid="{D6D01ABD-6FDB-4524-9AA6-9C66AC5E7F14}"/>
    <cellStyle name="60% - Accent3 5" xfId="170" xr:uid="{EE58991D-391C-450A-9979-FAEEC791BB18}"/>
    <cellStyle name="60% - Accent3 6" xfId="190" xr:uid="{62E4E597-F64E-4526-B22B-428E00C3C82D}"/>
    <cellStyle name="60% - Accent3 7" xfId="216" xr:uid="{91C6190E-E7FA-4966-AC4C-5207847D476E}"/>
    <cellStyle name="60% - Accent3 8" xfId="233" xr:uid="{3CA2215E-6524-4E2A-AFC1-6934BCF0F58A}"/>
    <cellStyle name="60% - Accent3 9" xfId="49" xr:uid="{F85E15E4-4FDD-4DAE-9676-CF5E983001C4}"/>
    <cellStyle name="60% - Accent3 9 2" xfId="275" xr:uid="{B5E9AA23-1A16-41EB-8D2A-CA47021582DB}"/>
    <cellStyle name="60% - Accent4 10" xfId="298" xr:uid="{0341EBFA-F7F3-45A1-8E0F-2E001C474765}"/>
    <cellStyle name="60% - Accent4 11" xfId="321" xr:uid="{EA398A79-FB5A-43B9-9A76-2FC4C719F90A}"/>
    <cellStyle name="60% - Accent4 12" xfId="343" xr:uid="{A1B82ADF-DFBB-4A7D-A451-7ACAE0107E58}"/>
    <cellStyle name="60% - Accent4 13" xfId="363" xr:uid="{6B27269D-7005-4356-9401-6389AE2EBC4B}"/>
    <cellStyle name="60% - Accent4 2" xfId="86" xr:uid="{D6D32594-BACC-4FAD-8A89-C705539DD113}"/>
    <cellStyle name="60% - Accent4 3" xfId="127" xr:uid="{25C912D4-B28E-4F6B-928F-5845A4639E5C}"/>
    <cellStyle name="60% - Accent4 4" xfId="153" xr:uid="{9F027AD9-810F-449A-976F-B470C6AB2BC2}"/>
    <cellStyle name="60% - Accent4 5" xfId="173" xr:uid="{94BEA882-4777-406B-8A78-A0F52254402F}"/>
    <cellStyle name="60% - Accent4 6" xfId="193" xr:uid="{ED831BAB-F864-41E3-849B-2ED6CFBBED37}"/>
    <cellStyle name="60% - Accent4 7" xfId="217" xr:uid="{25FB4492-60CF-486D-B130-518756F511D3}"/>
    <cellStyle name="60% - Accent4 8" xfId="236" xr:uid="{3A6C6D59-275B-43E6-84B0-C396402A64B1}"/>
    <cellStyle name="60% - Accent4 9" xfId="53" xr:uid="{AA1DF545-7F02-4621-84B9-5B6739F1E878}"/>
    <cellStyle name="60% - Accent4 9 2" xfId="278" xr:uid="{506FFCD5-7CE5-4C9D-BDB6-D76DA8BB7714}"/>
    <cellStyle name="60% - Accent5 10" xfId="301" xr:uid="{26AAF2A8-5688-4F62-9BDD-85335C6E85A0}"/>
    <cellStyle name="60% - Accent5 11" xfId="324" xr:uid="{6B25087D-504A-4080-9AC5-D4EDB51ED1E3}"/>
    <cellStyle name="60% - Accent5 12" xfId="344" xr:uid="{CA0FDAFC-5726-48A5-A7D7-B0AE27A315EA}"/>
    <cellStyle name="60% - Accent5 13" xfId="364" xr:uid="{1049C270-3DC3-4E89-AD49-A05F3CAA4BFB}"/>
    <cellStyle name="60% - Accent5 2" xfId="87" xr:uid="{2E444215-1D8F-4486-8600-30ED881341EF}"/>
    <cellStyle name="60% - Accent5 3" xfId="128" xr:uid="{A423D9A7-A4F5-4C30-9109-13E0971F6B8F}"/>
    <cellStyle name="60% - Accent5 4" xfId="156" xr:uid="{2A31F599-74B0-4A42-A5DB-5EEC7CA83269}"/>
    <cellStyle name="60% - Accent5 5" xfId="176" xr:uid="{9BBD8D47-97EC-43CA-AC0B-5BBC1D244271}"/>
    <cellStyle name="60% - Accent5 6" xfId="196" xr:uid="{33674622-9140-497F-8E6C-2EA753BD8464}"/>
    <cellStyle name="60% - Accent5 7" xfId="218" xr:uid="{55827597-DE7E-462C-8AAB-A62692056367}"/>
    <cellStyle name="60% - Accent5 8" xfId="239" xr:uid="{FC695171-8BC4-4646-B9DF-0C60E70AACA0}"/>
    <cellStyle name="60% - Accent5 9" xfId="57" xr:uid="{AF3582F0-6914-4EAB-A6B0-4E9041FBC81A}"/>
    <cellStyle name="60% - Accent5 9 2" xfId="281" xr:uid="{25B5381C-9B1C-4886-B402-C7BDAEDB70E0}"/>
    <cellStyle name="60% - Accent6 10" xfId="304" xr:uid="{D99D05B4-3C9C-4C41-B19E-AF2B6E9930C5}"/>
    <cellStyle name="60% - Accent6 11" xfId="327" xr:uid="{3EE30B2A-A6F2-4430-A7AC-078037EF1B42}"/>
    <cellStyle name="60% - Accent6 12" xfId="345" xr:uid="{A1D49450-91F5-4E5F-BD93-BA39AC0F5EDA}"/>
    <cellStyle name="60% - Accent6 13" xfId="365" xr:uid="{59D54A75-D94D-43B5-87BA-1CF235B96509}"/>
    <cellStyle name="60% - Accent6 2" xfId="88" xr:uid="{DDCC19B8-647F-482C-A6F9-5078DB66CF02}"/>
    <cellStyle name="60% - Accent6 3" xfId="129" xr:uid="{F4E6ADC6-9C26-4BC0-8762-BCE600EC27A1}"/>
    <cellStyle name="60% - Accent6 4" xfId="159" xr:uid="{70B762E1-35ED-4943-B77B-F171152754C5}"/>
    <cellStyle name="60% - Accent6 5" xfId="179" xr:uid="{D4F99739-6B03-4AD6-8704-2CD76E3FB235}"/>
    <cellStyle name="60% - Accent6 6" xfId="199" xr:uid="{B83BE6C3-7B77-4309-A7CB-A927DE7BA8DA}"/>
    <cellStyle name="60% - Accent6 7" xfId="219" xr:uid="{7C728B64-7F15-4A36-BE32-403BBF7282C5}"/>
    <cellStyle name="60% - Accent6 8" xfId="242" xr:uid="{69FA807C-8B88-48B1-A329-A2859C6ACF2B}"/>
    <cellStyle name="60% - Accent6 9" xfId="61" xr:uid="{06C56D5E-E62A-4802-9EF1-A1D07FD27D00}"/>
    <cellStyle name="60% - Accent6 9 2" xfId="284" xr:uid="{B43A2D53-71AD-4F5B-AD45-2CDB955707F1}"/>
    <cellStyle name="Accent1 2" xfId="89" xr:uid="{C539296B-F948-49DE-B4BD-C0ED63E345DA}"/>
    <cellStyle name="Accent1 3" xfId="38" xr:uid="{9973247C-58C2-4421-8E73-E6DC22BFB783}"/>
    <cellStyle name="Accent2 2" xfId="90" xr:uid="{79E418E5-FED8-4274-970A-C89EAE10A092}"/>
    <cellStyle name="Accent2 3" xfId="42" xr:uid="{F5D91B32-90CA-43F8-A185-0E0F2C6612B8}"/>
    <cellStyle name="Accent3 2" xfId="91" xr:uid="{3F61502E-DBCD-4D6F-A38F-25A862C103F1}"/>
    <cellStyle name="Accent3 3" xfId="46" xr:uid="{E864F069-F9F3-4909-AF93-2ACF4D955CB9}"/>
    <cellStyle name="Accent4 2" xfId="92" xr:uid="{6EEC513D-2195-4557-B8F5-18BAAC0CBE61}"/>
    <cellStyle name="Accent4 3" xfId="50" xr:uid="{7EC274F4-50CF-4FC2-99A2-EF0D9CA7DD3C}"/>
    <cellStyle name="Accent5 2" xfId="93" xr:uid="{88BAC91A-4D43-416A-86B9-E6518866B81F}"/>
    <cellStyle name="Accent5 3" xfId="54" xr:uid="{A550E52C-C013-4E7E-ADCE-E6CC61C26713}"/>
    <cellStyle name="Accent6 2" xfId="94" xr:uid="{6C612524-FF19-437A-A844-B801389D41B4}"/>
    <cellStyle name="Accent6 3" xfId="58" xr:uid="{4056FEC3-97B0-4150-804C-6B558AF0D2CD}"/>
    <cellStyle name="Bad 2" xfId="95" xr:uid="{FA7DB0A1-F590-4709-8AFE-0E3A225868F5}"/>
    <cellStyle name="Bad 3" xfId="27" xr:uid="{D0CE49BA-88E8-4C3D-8EF9-3FB3D2B941D5}"/>
    <cellStyle name="Calculation 2" xfId="96" xr:uid="{33DDE212-A0B8-48C3-AC0D-E8B8BC1E572A}"/>
    <cellStyle name="Calculation 3" xfId="31" xr:uid="{2416A601-C44E-401B-A092-C7B0D5E641AE}"/>
    <cellStyle name="Check Cell 2" xfId="97" xr:uid="{6DAE572D-4899-42E2-AB95-BA421E37C97D}"/>
    <cellStyle name="Check Cell 3" xfId="33" xr:uid="{C6F96B43-8319-4E40-9CB8-5BE3E59A1FE8}"/>
    <cellStyle name="Comma" xfId="1" builtinId="3"/>
    <cellStyle name="Comma 19" xfId="252" xr:uid="{83E6453B-0EF3-46CE-A0D6-DC12B60D7F7E}"/>
    <cellStyle name="Comma 2" xfId="4" xr:uid="{07A3E769-EDAA-46F5-8880-9E573880C506}"/>
    <cellStyle name="Comma 2 2" xfId="7" xr:uid="{A88F3881-2497-44C3-A523-090F42C11B56}"/>
    <cellStyle name="Comma 2 3" xfId="251" xr:uid="{8E96286B-3B1E-4D2B-8C1D-BA5FD407F13A}"/>
    <cellStyle name="Comma 2 4" xfId="258" xr:uid="{18A0DFBB-3F40-44AD-A652-67681FC81FB4}"/>
    <cellStyle name="Comma 2 4 3" xfId="253" xr:uid="{E7A1C523-8F65-40D2-9AA6-EE3CCB64E136}"/>
    <cellStyle name="Comma 3" xfId="8" xr:uid="{1A532A25-5F26-482F-8D41-46914CEBE676}"/>
    <cellStyle name="Comma 3 2" xfId="70" xr:uid="{B1E2C804-E2A9-4DFD-8E65-BA735B950425}"/>
    <cellStyle name="Comma 4" xfId="63" xr:uid="{51AE9F37-5EA1-478F-B02D-B812E66C58A1}"/>
    <cellStyle name="Comma 5" xfId="250" xr:uid="{13A3392F-695C-465C-883C-3A996ECA836E}"/>
    <cellStyle name="Comma 5 2" xfId="261" xr:uid="{5843D7EE-E398-4F5C-AB10-FDCC93FAF28A}"/>
    <cellStyle name="Comma 6" xfId="368" xr:uid="{8E0BDA04-2668-4C5C-A573-45FF1537EC5B}"/>
    <cellStyle name="Comma 7" xfId="136" xr:uid="{21C2D61C-AFE9-45BF-A0AB-F98CB67613CB}"/>
    <cellStyle name="Currency" xfId="244" builtinId="4"/>
    <cellStyle name="Currency 10" xfId="259" xr:uid="{0306432E-94EC-4FC2-B2E7-56905C30C9EC}"/>
    <cellStyle name="Currency 2" xfId="6" xr:uid="{EA594A72-F313-4BE1-BEDC-1AF8D0DDD2FD}"/>
    <cellStyle name="Currency 2 2" xfId="200" xr:uid="{E497DBF0-948F-433F-883F-A3FB4DA6C771}"/>
    <cellStyle name="Currency 2 3" xfId="256" xr:uid="{D7C5A6C2-D38A-46D7-97C8-64474A26DAAC}"/>
    <cellStyle name="Currency 2 3 2" xfId="306" xr:uid="{06D46D61-2143-4D1B-A779-A8C0A9D3B803}"/>
    <cellStyle name="Currency 3" xfId="9" xr:uid="{BE694336-7ACF-4ACA-A06A-3550D57211F0}"/>
    <cellStyle name="Currency 3 2" xfId="138" xr:uid="{199E2698-0264-491A-8585-F8F428C61072}"/>
    <cellStyle name="Currency 3 3" xfId="260" xr:uid="{6C3BA4E4-7D36-442D-BBE3-E2ED96689A0B}"/>
    <cellStyle name="Currency 4" xfId="66" xr:uid="{BC77D0CE-C8DD-4DF1-AFAE-CE1FE8DF17D7}"/>
    <cellStyle name="Currency 5" xfId="249" xr:uid="{A0940875-EA70-4094-B9A6-7DBB6FE57D09}"/>
    <cellStyle name="Currency 6" xfId="369" xr:uid="{C4DCD8E9-91F2-4C58-B650-9A1FEFED7FA9}"/>
    <cellStyle name="Explanatory Text 2" xfId="98" xr:uid="{D12093F7-7843-4541-9C79-D6B3A8F6D2C2}"/>
    <cellStyle name="Explanatory Text 3" xfId="36" xr:uid="{00E3335C-8169-4473-A6F4-E746CA49F110}"/>
    <cellStyle name="Good 2" xfId="99" xr:uid="{F967DEE0-5E89-43E3-A3EA-37A020F35261}"/>
    <cellStyle name="Good 3" xfId="26" xr:uid="{EDCA3C2E-CB7E-4295-AF46-E74F398FC95F}"/>
    <cellStyle name="Heading 1 2" xfId="100" xr:uid="{6BE6C2F0-E880-4AB3-8676-726D9F73927C}"/>
    <cellStyle name="Heading 1 3" xfId="22" xr:uid="{EBFBE944-83B1-491F-B498-D10307B78CD4}"/>
    <cellStyle name="Heading 2 2" xfId="101" xr:uid="{BF1ED127-CF27-4101-9461-6AD4E5DDA637}"/>
    <cellStyle name="Heading 2 3" xfId="23" xr:uid="{4AD2035F-E2AD-43C0-AC5A-5FF8E1610638}"/>
    <cellStyle name="Heading 3 2" xfId="102" xr:uid="{D4C6C6AE-1A0E-4A93-A135-FE46C33CAE06}"/>
    <cellStyle name="Heading 3 3" xfId="24" xr:uid="{C0B1E3A6-B2F3-4B7E-8CD9-CDD6EB404408}"/>
    <cellStyle name="Heading 4 2" xfId="103" xr:uid="{2FEF99E2-C0D6-40A8-AB16-A56EC5E007C6}"/>
    <cellStyle name="Heading 4 3" xfId="25" xr:uid="{93CC4935-DAE7-488C-BF4A-8001157B1839}"/>
    <cellStyle name="Hyperlink" xfId="243" builtinId="8"/>
    <cellStyle name="Hyperlink 2" xfId="62" xr:uid="{F1299641-49C3-49FB-8623-7CB21A916B26}"/>
    <cellStyle name="Hyperlink 3" xfId="65" xr:uid="{2717BCF9-99A3-43A2-AAA2-50EC2BDC6AA0}"/>
    <cellStyle name="Hyperlink 4" xfId="262" xr:uid="{2A621F02-E38E-401B-BA48-FC57706462EC}"/>
    <cellStyle name="Input 2" xfId="104" xr:uid="{33824E6C-0F0B-426C-9727-7716720296E3}"/>
    <cellStyle name="Input 3" xfId="29" xr:uid="{44BFA685-91F3-4959-B52E-D1A35D85802C}"/>
    <cellStyle name="Linked Cell 2" xfId="105" xr:uid="{C70E2342-B890-4F02-9B4A-C3BC843389F4}"/>
    <cellStyle name="Linked Cell 3" xfId="32" xr:uid="{9AE919E9-9C11-4C25-9A6D-7A6D2ED76A55}"/>
    <cellStyle name="Neutral 2" xfId="106" xr:uid="{F49E103C-33FD-4F47-9E56-0479DB280A77}"/>
    <cellStyle name="Neutral 3" xfId="28" xr:uid="{624965A1-7D96-4E65-BC0E-54170B8D903B}"/>
    <cellStyle name="Normal" xfId="0" builtinId="0"/>
    <cellStyle name="Normal 1" xfId="370" xr:uid="{A1E87CF4-7337-48D1-A787-AE2A987F1EB4}"/>
    <cellStyle name="Normal 10" xfId="160" xr:uid="{A2116FB6-1F8A-482B-9CD9-A71EB8561D7E}"/>
    <cellStyle name="Normal 10 2" xfId="247" xr:uid="{3A1E98B5-11C4-4BF5-9EE7-653D2D01A603}"/>
    <cellStyle name="Normal 11" xfId="180" xr:uid="{2050C54C-736B-4787-A5F7-1330A31B286D}"/>
    <cellStyle name="Normal 12" xfId="220" xr:uid="{534CC910-3259-47C2-9EBD-427A1343B954}"/>
    <cellStyle name="Normal 13" xfId="222" xr:uid="{873D598B-780E-401D-8E9E-9D25188176A4}"/>
    <cellStyle name="Normal 14" xfId="223" xr:uid="{19E1443F-DB1A-4FC9-B64E-8C242F63AB49}"/>
    <cellStyle name="Normal 15" xfId="21" xr:uid="{C9721134-04E3-49A7-A362-819BE1521093}"/>
    <cellStyle name="Normal 15 2" xfId="263" xr:uid="{0852248F-6BF7-46E5-A2A5-19E78D568EDD}"/>
    <cellStyle name="Normal 16" xfId="265" xr:uid="{6FC012C1-464C-447A-9294-7FDD4C0B5C8C}"/>
    <cellStyle name="Normal 16 2 2" xfId="201" xr:uid="{599B5E73-AC36-4778-8B01-C3797AED77FF}"/>
    <cellStyle name="Normal 16 2 2 2" xfId="264" xr:uid="{16A34CBB-16B3-4958-8E62-39EDAAE885D2}"/>
    <cellStyle name="Normal 17" xfId="285" xr:uid="{D12DF507-4428-4F2E-8948-8C3940BF97A0}"/>
    <cellStyle name="Normal 17 2" xfId="10" xr:uid="{5DE8681A-CD4A-4B9F-8E67-7C3C80F6488F}"/>
    <cellStyle name="Normal 17 2 2" xfId="11" xr:uid="{A49C4C8C-7D21-4931-A6DC-6C4502D36FDA}"/>
    <cellStyle name="Normal 18" xfId="307" xr:uid="{2DF957CC-FCA5-4DD0-BD4B-155566805653}"/>
    <cellStyle name="Normal 19" xfId="308" xr:uid="{215051C2-3574-4339-90BD-26B39149618D}"/>
    <cellStyle name="Normal 2" xfId="5" xr:uid="{40D50B0A-A5AA-4B0B-ABA6-7E632C45E9DA}"/>
    <cellStyle name="Normal 2 2" xfId="12" xr:uid="{1B07EAFE-441E-4819-9969-15753AC26767}"/>
    <cellStyle name="Normal 2 2 2" xfId="132" xr:uid="{A91AF071-FB73-4277-BE2E-AFC648E79467}"/>
    <cellStyle name="Normal 2 2 3" xfId="248" xr:uid="{D00EB3CB-7F33-4933-B5F1-89AE8938F019}"/>
    <cellStyle name="Normal 2 2 4" xfId="371" xr:uid="{A33956B1-AC9B-4B84-9931-C1E8BF865195}"/>
    <cellStyle name="Normal 2 3" xfId="18" xr:uid="{2306DF30-BA6A-41B0-9FC5-6F9869D88186}"/>
    <cellStyle name="Normal 2 3 2" xfId="137" xr:uid="{A973BB01-C0D9-48A1-AD69-B7FA1FC18DFF}"/>
    <cellStyle name="Normal 2 4" xfId="245" xr:uid="{08964AF1-6E95-407D-A6B1-4426395BC5B8}"/>
    <cellStyle name="Normal 2 4 2" xfId="305" xr:uid="{F71B88A2-DB41-4D5B-A497-71EB0C2D4F1D}"/>
    <cellStyle name="Normal 20" xfId="346" xr:uid="{2006A771-460B-4939-9FEE-74FAA038C4CD}"/>
    <cellStyle name="Normal 21" xfId="366" xr:uid="{318FA034-646C-44EC-9D51-F2FAB6FFFCA8}"/>
    <cellStyle name="Normal 3" xfId="13" xr:uid="{E1A8C28F-EFCA-4F9A-9880-D35F74590F74}"/>
    <cellStyle name="Normal 3 2" xfId="134" xr:uid="{DF47A8A0-FCE4-4161-ABF2-D95FF4557F7C}"/>
    <cellStyle name="Normal 3 2 2" xfId="254" xr:uid="{A8B78B1C-008A-47D9-A195-FC3FC09794E3}"/>
    <cellStyle name="Normal 3 3" xfId="20" xr:uid="{1432D8D0-F629-4F67-9018-3E28D2D37CFF}"/>
    <cellStyle name="Normal 3 4" xfId="257" xr:uid="{3C537879-8E3F-4D01-AF7E-3E6D06CD39C7}"/>
    <cellStyle name="Normal 4" xfId="14" xr:uid="{A48DCAC6-46D1-4912-AF03-2FBF9C42D275}"/>
    <cellStyle name="Normal 4 2" xfId="139" xr:uid="{537E7C6A-A60F-4D95-B166-D99209A9BF63}"/>
    <cellStyle name="Normal 4 3" xfId="69" xr:uid="{87790843-0532-41E4-A1FF-FE5C34DC9502}"/>
    <cellStyle name="Normal 4 4" xfId="255" xr:uid="{AA31563B-EAF2-414F-AC19-68C9F5AEC98A}"/>
    <cellStyle name="Normal 5" xfId="107" xr:uid="{E31D3DEC-1C81-4111-941C-E698820394E9}"/>
    <cellStyle name="Normal 6" xfId="130" xr:uid="{9B102C6E-A2A0-4B99-9390-2D1A259BF99B}"/>
    <cellStyle name="Normal 7" xfId="140" xr:uid="{D72284BE-E3E3-4E9A-BC78-B0E34011FA4F}"/>
    <cellStyle name="Normal 8" xfId="133" xr:uid="{9FCAF704-66A5-4ADC-A82C-BD9D4481D93C}"/>
    <cellStyle name="Normal 9" xfId="135" xr:uid="{DFFBE907-04BD-417A-8924-7DE54A9A6776}"/>
    <cellStyle name="Note 10" xfId="286" xr:uid="{A19D018A-D204-4C22-A81E-76065E545A75}"/>
    <cellStyle name="Note 11" xfId="309" xr:uid="{5FE48FC5-B364-41CB-9121-F8818F08C738}"/>
    <cellStyle name="Note 12" xfId="347" xr:uid="{5DDCC03C-0939-4768-B889-DA892874BF93}"/>
    <cellStyle name="Note 13" xfId="367" xr:uid="{82949D7C-78F4-4144-ACCD-8E38B481D061}"/>
    <cellStyle name="Note 2" xfId="108" xr:uid="{18A69CC3-2C82-42E0-938D-BBC6345E691F}"/>
    <cellStyle name="Note 3" xfId="131" xr:uid="{602C4294-505B-4F30-A56C-2B817ECA3200}"/>
    <cellStyle name="Note 4" xfId="141" xr:uid="{2B4A9CE5-9AFF-4535-BA2B-1BE09EC7FD19}"/>
    <cellStyle name="Note 5" xfId="161" xr:uid="{A57DBBDD-D03D-4DBB-B439-971BB3B6A982}"/>
    <cellStyle name="Note 6" xfId="181" xr:uid="{EBC84C22-2474-4F30-9164-453FF6CF9EAC}"/>
    <cellStyle name="Note 7" xfId="221" xr:uid="{3B71ABD0-89E7-475E-B629-C4E02C051CE5}"/>
    <cellStyle name="Note 8" xfId="224" xr:uid="{1EFF790C-17EB-4785-8295-8095BE7CB215}"/>
    <cellStyle name="Note 9" xfId="35" xr:uid="{8393A63C-6735-40AC-8107-F0D8D251F2AD}"/>
    <cellStyle name="Note 9 2" xfId="266" xr:uid="{58E91EB9-6CAF-4444-AC73-1DA9A820D8E9}"/>
    <cellStyle name="Output 2" xfId="109" xr:uid="{31CD3DFE-E7E0-45F0-9AB7-1860E77C734E}"/>
    <cellStyle name="Output 3" xfId="30" xr:uid="{1FE03D96-7560-407F-8F90-BC0785892C06}"/>
    <cellStyle name="Percent" xfId="2" builtinId="5"/>
    <cellStyle name="Percent 11" xfId="15" xr:uid="{994CE771-C2B6-42C4-B5BF-DF1EABC1535A}"/>
    <cellStyle name="Percent 11 2" xfId="3" xr:uid="{EDF17883-1361-4AEB-89E6-236E744BE6CD}"/>
    <cellStyle name="Percent 2" xfId="16" xr:uid="{8449AB34-5EA7-4A1A-B1F2-382E41817C4C}"/>
    <cellStyle name="Percent 2 2" xfId="67" xr:uid="{91CC8D7B-6E6C-4202-A499-1AEAAF325832}"/>
    <cellStyle name="Percent 2 3" xfId="246" xr:uid="{37CC25A5-EB7E-444F-8363-A054C31393B7}"/>
    <cellStyle name="Percent 3" xfId="17" xr:uid="{9336C46A-3EE4-4EE6-BA1F-5C762E99A4FB}"/>
    <cellStyle name="Percent 4" xfId="64" xr:uid="{EFA2A6BE-8896-4BD5-AED3-2FBDD48EB447}"/>
    <cellStyle name="Percent 5" xfId="372" xr:uid="{858F7227-E5A2-48A5-8370-71A88124A301}"/>
    <cellStyle name="Style 1" xfId="68" xr:uid="{615CD640-71FC-4F67-B484-6BC1CE3FD880}"/>
    <cellStyle name="Title" xfId="19" builtinId="15" customBuiltin="1"/>
    <cellStyle name="Total 2" xfId="110" xr:uid="{4B28B360-9A66-473E-96D7-115B034BE777}"/>
    <cellStyle name="Total 3" xfId="37" xr:uid="{B105F7FB-968C-4851-93E6-B373F502832F}"/>
    <cellStyle name="Warning Text 2" xfId="111" xr:uid="{DCAFF060-FDD1-4E7D-8C78-CBD88CA9EC42}"/>
    <cellStyle name="Warning Text 3" xfId="34" xr:uid="{4BF0929D-2B72-4B45-B4B6-3D87184EE648}"/>
  </cellStyles>
  <dxfs count="417">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fill>
        <patternFill patternType="none">
          <bgColor auto="1"/>
        </patternFill>
      </fill>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fill>
        <patternFill patternType="none">
          <bgColor auto="1"/>
        </patternFill>
      </fill>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fill>
        <patternFill patternType="none">
          <bgColor auto="1"/>
        </patternFill>
      </fill>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numFmt numFmtId="199" formatCode=";;;"/>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CC99FF"/>
      <color rgb="FFFF9999"/>
      <color rgb="FFFFCCCC"/>
      <color rgb="FF9999FF"/>
      <color rgb="FF99CCFF"/>
      <color rgb="FF669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16" Type="http://schemas.openxmlformats.org/officeDocument/2006/relationships/worksheet" Target="worksheets/sheet16.xml"/><Relationship Id="rId107" Type="http://schemas.openxmlformats.org/officeDocument/2006/relationships/customXml" Target="../customXml/item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108" Type="http://schemas.openxmlformats.org/officeDocument/2006/relationships/customXml" Target="../customXml/item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externalLink" Target="externalLinks/externalLink19.xml"/><Relationship Id="rId10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0.xml"/><Relationship Id="rId105"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3.xml"/><Relationship Id="rId98" Type="http://schemas.openxmlformats.org/officeDocument/2006/relationships/externalLink" Target="externalLinks/externalLink1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3.xml"/><Relationship Id="rId88"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438150</xdr:colOff>
      <xdr:row>4</xdr:row>
      <xdr:rowOff>111125</xdr:rowOff>
    </xdr:to>
    <xdr:pic>
      <xdr:nvPicPr>
        <xdr:cNvPr id="2" name="Picture 1">
          <a:extLst>
            <a:ext uri="{FF2B5EF4-FFF2-40B4-BE49-F238E27FC236}">
              <a16:creationId xmlns:a16="http://schemas.microsoft.com/office/drawing/2014/main" id="{8D07868C-98A7-1D1D-C410-F0F7DC7DF8D8}"/>
            </a:ext>
          </a:extLst>
        </xdr:cNvPr>
        <xdr:cNvPicPr>
          <a:picLocks noChangeAspect="1"/>
        </xdr:cNvPicPr>
      </xdr:nvPicPr>
      <xdr:blipFill>
        <a:blip xmlns:r="http://schemas.openxmlformats.org/officeDocument/2006/relationships" r:embed="rId1"/>
        <a:stretch>
          <a:fillRect/>
        </a:stretch>
      </xdr:blipFill>
      <xdr:spPr>
        <a:xfrm>
          <a:off x="95250" y="142875"/>
          <a:ext cx="838200" cy="838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40</xdr:col>
      <xdr:colOff>261938</xdr:colOff>
      <xdr:row>0</xdr:row>
      <xdr:rowOff>0</xdr:rowOff>
    </xdr:from>
    <xdr:to>
      <xdr:col>43</xdr:col>
      <xdr:colOff>321469</xdr:colOff>
      <xdr:row>0</xdr:row>
      <xdr:rowOff>23812</xdr:rowOff>
    </xdr:to>
    <xdr:sp macro="" textlink="">
      <xdr:nvSpPr>
        <xdr:cNvPr id="3" name="TextBox 1">
          <a:extLst>
            <a:ext uri="{FF2B5EF4-FFF2-40B4-BE49-F238E27FC236}">
              <a16:creationId xmlns:a16="http://schemas.microsoft.com/office/drawing/2014/main" id="{F01B3349-98BF-42CD-9588-695952D6942F}"/>
            </a:ext>
          </a:extLst>
        </xdr:cNvPr>
        <xdr:cNvSpPr txBox="1"/>
      </xdr:nvSpPr>
      <xdr:spPr>
        <a:xfrm>
          <a:off x="143767969" y="95250"/>
          <a:ext cx="1809750" cy="500062"/>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t>TEMPLATE</a:t>
          </a:r>
          <a:endParaRPr lang="en-US" sz="1300"/>
        </a:p>
        <a:p>
          <a:pPr algn="ctr"/>
          <a:r>
            <a:rPr lang="en-US" sz="1300" i="1"/>
            <a:t>To</a:t>
          </a:r>
          <a:r>
            <a:rPr lang="en-US" sz="1300" i="1" baseline="0"/>
            <a:t> Be Populated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261938</xdr:colOff>
      <xdr:row>0</xdr:row>
      <xdr:rowOff>0</xdr:rowOff>
    </xdr:from>
    <xdr:to>
      <xdr:col>43</xdr:col>
      <xdr:colOff>321469</xdr:colOff>
      <xdr:row>0</xdr:row>
      <xdr:rowOff>23812</xdr:rowOff>
    </xdr:to>
    <xdr:sp macro="" textlink="">
      <xdr:nvSpPr>
        <xdr:cNvPr id="2" name="TextBox 1">
          <a:extLst>
            <a:ext uri="{FF2B5EF4-FFF2-40B4-BE49-F238E27FC236}">
              <a16:creationId xmlns:a16="http://schemas.microsoft.com/office/drawing/2014/main" id="{5520A4C6-DDAA-439F-9D7F-120042D43634}"/>
            </a:ext>
          </a:extLst>
        </xdr:cNvPr>
        <xdr:cNvSpPr txBox="1"/>
      </xdr:nvSpPr>
      <xdr:spPr>
        <a:xfrm>
          <a:off x="44143613" y="95250"/>
          <a:ext cx="1802606" cy="500062"/>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t>TEMPLATE</a:t>
          </a:r>
          <a:endParaRPr lang="en-US" sz="1300"/>
        </a:p>
        <a:p>
          <a:pPr algn="ctr"/>
          <a:r>
            <a:rPr lang="en-US" sz="1300" i="1"/>
            <a:t>To</a:t>
          </a:r>
          <a:r>
            <a:rPr lang="en-US" sz="1300" i="1" baseline="0"/>
            <a:t> Be Populated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57</xdr:col>
      <xdr:colOff>0</xdr:colOff>
      <xdr:row>0</xdr:row>
      <xdr:rowOff>0</xdr:rowOff>
    </xdr:from>
    <xdr:to>
      <xdr:col>59</xdr:col>
      <xdr:colOff>321469</xdr:colOff>
      <xdr:row>0</xdr:row>
      <xdr:rowOff>23812</xdr:rowOff>
    </xdr:to>
    <xdr:sp macro="" textlink="">
      <xdr:nvSpPr>
        <xdr:cNvPr id="2" name="TextBox 1">
          <a:extLst>
            <a:ext uri="{FF2B5EF4-FFF2-40B4-BE49-F238E27FC236}">
              <a16:creationId xmlns:a16="http://schemas.microsoft.com/office/drawing/2014/main" id="{A4FFF09B-D958-4F71-B453-58B683AE03AB}"/>
            </a:ext>
          </a:extLst>
        </xdr:cNvPr>
        <xdr:cNvSpPr txBox="1"/>
      </xdr:nvSpPr>
      <xdr:spPr>
        <a:xfrm>
          <a:off x="22719983" y="0"/>
          <a:ext cx="1836896" cy="20002"/>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t>TEMPLATE</a:t>
          </a:r>
          <a:endParaRPr lang="en-US" sz="1300"/>
        </a:p>
        <a:p>
          <a:pPr algn="ctr"/>
          <a:r>
            <a:rPr lang="en-US" sz="1300" i="1"/>
            <a:t>To</a:t>
          </a:r>
          <a:r>
            <a:rPr lang="en-US" sz="1300" i="1" baseline="0"/>
            <a:t> Be Populated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1</xdr:row>
      <xdr:rowOff>0</xdr:rowOff>
    </xdr:from>
    <xdr:to>
      <xdr:col>6</xdr:col>
      <xdr:colOff>363312</xdr:colOff>
      <xdr:row>4</xdr:row>
      <xdr:rowOff>161923</xdr:rowOff>
    </xdr:to>
    <xdr:sp macro="" textlink="">
      <xdr:nvSpPr>
        <xdr:cNvPr id="5" name="TextBox 4">
          <a:extLst>
            <a:ext uri="{FF2B5EF4-FFF2-40B4-BE49-F238E27FC236}">
              <a16:creationId xmlns:a16="http://schemas.microsoft.com/office/drawing/2014/main" id="{EC3C28C0-6F4C-4E80-9186-0045A35300BF}"/>
            </a:ext>
          </a:extLst>
        </xdr:cNvPr>
        <xdr:cNvSpPr txBox="1"/>
      </xdr:nvSpPr>
      <xdr:spPr>
        <a:xfrm>
          <a:off x="7753350" y="180975"/>
          <a:ext cx="1582512" cy="704848"/>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t>TEMPLATE</a:t>
          </a:r>
        </a:p>
        <a:p>
          <a:pPr algn="ctr"/>
          <a:endParaRPr lang="en-US" sz="1300"/>
        </a:p>
        <a:p>
          <a:pPr algn="ctr"/>
          <a:r>
            <a:rPr lang="en-US" sz="1300" i="1"/>
            <a:t>To</a:t>
          </a:r>
          <a:r>
            <a:rPr lang="en-US" sz="1300" i="1" baseline="0"/>
            <a:t> Be Populated</a:t>
          </a:r>
        </a:p>
      </xdr:txBody>
    </xdr:sp>
    <xdr:clientData/>
  </xdr:twoCellAnchor>
  <xdr:twoCellAnchor>
    <xdr:from>
      <xdr:col>4</xdr:col>
      <xdr:colOff>1</xdr:colOff>
      <xdr:row>5</xdr:row>
      <xdr:rowOff>143328</xdr:rowOff>
    </xdr:from>
    <xdr:to>
      <xdr:col>13</xdr:col>
      <xdr:colOff>361950</xdr:colOff>
      <xdr:row>7</xdr:row>
      <xdr:rowOff>609600</xdr:rowOff>
    </xdr:to>
    <xdr:sp macro="" textlink="">
      <xdr:nvSpPr>
        <xdr:cNvPr id="6" name="TextBox 5">
          <a:extLst>
            <a:ext uri="{FF2B5EF4-FFF2-40B4-BE49-F238E27FC236}">
              <a16:creationId xmlns:a16="http://schemas.microsoft.com/office/drawing/2014/main" id="{61997065-F16F-4A64-B11F-912D668725BF}"/>
            </a:ext>
          </a:extLst>
        </xdr:cNvPr>
        <xdr:cNvSpPr txBox="1"/>
      </xdr:nvSpPr>
      <xdr:spPr>
        <a:xfrm>
          <a:off x="7753351" y="1048203"/>
          <a:ext cx="5848349" cy="8282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Schedule F-3 shall describe PREPA's </a:t>
          </a:r>
          <a:r>
            <a:rPr lang="en-US" b="1"/>
            <a:t>current riders and surcharges</a:t>
          </a:r>
          <a:r>
            <a:rPr lang="en-US"/>
            <a:t>. The description of each rider or surcharge shall include the following: (a) an explanation of the Inputs and calculations that produce the charges recovered by the riders, (b) the charges for each month starting July 2024 through the present, and (c) estimated charges for each month from the present through June 2026. </a:t>
          </a:r>
          <a:endParaRPr lang="en-US" sz="1100">
            <a:solidFill>
              <a:schemeClr val="dk1"/>
            </a:solidFill>
            <a:effectLst/>
            <a:latin typeface="+mn-lt"/>
            <a:ea typeface="+mn-ea"/>
            <a:cs typeface="+mn-cs"/>
          </a:endParaRPr>
        </a:p>
      </xdr:txBody>
    </xdr:sp>
    <xdr:clientData/>
  </xdr:twoCellAnchor>
  <xdr:twoCellAnchor>
    <xdr:from>
      <xdr:col>4</xdr:col>
      <xdr:colOff>0</xdr:colOff>
      <xdr:row>7</xdr:row>
      <xdr:rowOff>762000</xdr:rowOff>
    </xdr:from>
    <xdr:to>
      <xdr:col>6</xdr:col>
      <xdr:colOff>434975</xdr:colOff>
      <xdr:row>8</xdr:row>
      <xdr:rowOff>153912</xdr:rowOff>
    </xdr:to>
    <xdr:sp macro="" textlink="">
      <xdr:nvSpPr>
        <xdr:cNvPr id="8" name="TextBox 7">
          <a:extLst>
            <a:ext uri="{FF2B5EF4-FFF2-40B4-BE49-F238E27FC236}">
              <a16:creationId xmlns:a16="http://schemas.microsoft.com/office/drawing/2014/main" id="{A17956FB-36AF-40E6-8E22-349552D24A03}"/>
            </a:ext>
          </a:extLst>
        </xdr:cNvPr>
        <xdr:cNvSpPr txBox="1"/>
      </xdr:nvSpPr>
      <xdr:spPr>
        <a:xfrm>
          <a:off x="7753350" y="2028825"/>
          <a:ext cx="1654175" cy="287262"/>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Thi</a:t>
          </a:r>
          <a:r>
            <a:rPr lang="en-US" sz="1100" b="1" i="0" u="none" strike="noStrike" baseline="0">
              <a:solidFill>
                <a:schemeClr val="dk1"/>
              </a:solidFill>
              <a:effectLst/>
              <a:latin typeface="+mn-lt"/>
              <a:ea typeface="+mn-ea"/>
              <a:cs typeface="+mn-cs"/>
            </a:rPr>
            <a:t>s seems pretty sparse.</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912019</xdr:colOff>
      <xdr:row>5</xdr:row>
      <xdr:rowOff>145256</xdr:rowOff>
    </xdr:from>
    <xdr:to>
      <xdr:col>0</xdr:col>
      <xdr:colOff>1540669</xdr:colOff>
      <xdr:row>5</xdr:row>
      <xdr:rowOff>145256</xdr:rowOff>
    </xdr:to>
    <xdr:cxnSp macro="">
      <xdr:nvCxnSpPr>
        <xdr:cNvPr id="2" name="Straight Connector 1">
          <a:extLst>
            <a:ext uri="{FF2B5EF4-FFF2-40B4-BE49-F238E27FC236}">
              <a16:creationId xmlns:a16="http://schemas.microsoft.com/office/drawing/2014/main" id="{94B22A48-F4F1-4230-9B07-BE2AD59920CD}"/>
            </a:ext>
          </a:extLst>
        </xdr:cNvPr>
        <xdr:cNvCxnSpPr>
          <a:cxnSpLocks/>
        </xdr:cNvCxnSpPr>
      </xdr:nvCxnSpPr>
      <xdr:spPr>
        <a:xfrm>
          <a:off x="912019" y="2180431"/>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6</xdr:row>
      <xdr:rowOff>114300</xdr:rowOff>
    </xdr:from>
    <xdr:to>
      <xdr:col>0</xdr:col>
      <xdr:colOff>1540669</xdr:colOff>
      <xdr:row>6</xdr:row>
      <xdr:rowOff>114300</xdr:rowOff>
    </xdr:to>
    <xdr:cxnSp macro="">
      <xdr:nvCxnSpPr>
        <xdr:cNvPr id="3" name="Straight Connector 2">
          <a:extLst>
            <a:ext uri="{FF2B5EF4-FFF2-40B4-BE49-F238E27FC236}">
              <a16:creationId xmlns:a16="http://schemas.microsoft.com/office/drawing/2014/main" id="{3C53AB73-4B0E-47CE-9E80-A48DDD28A37D}"/>
            </a:ext>
            <a:ext uri="{147F2762-F138-4A5C-976F-8EAC2B608ADB}">
              <a16:predDERef xmlns:a16="http://schemas.microsoft.com/office/drawing/2014/main" pred="{069139E4-DE86-CA19-4007-69203FE41480}"/>
            </a:ext>
          </a:extLst>
        </xdr:cNvPr>
        <xdr:cNvCxnSpPr>
          <a:cxnSpLocks/>
        </xdr:cNvCxnSpPr>
      </xdr:nvCxnSpPr>
      <xdr:spPr>
        <a:xfrm>
          <a:off x="912019" y="23907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22</xdr:row>
      <xdr:rowOff>133350</xdr:rowOff>
    </xdr:from>
    <xdr:to>
      <xdr:col>0</xdr:col>
      <xdr:colOff>1528762</xdr:colOff>
      <xdr:row>22</xdr:row>
      <xdr:rowOff>133350</xdr:rowOff>
    </xdr:to>
    <xdr:cxnSp macro="">
      <xdr:nvCxnSpPr>
        <xdr:cNvPr id="4" name="Straight Connector 3">
          <a:extLst>
            <a:ext uri="{FF2B5EF4-FFF2-40B4-BE49-F238E27FC236}">
              <a16:creationId xmlns:a16="http://schemas.microsoft.com/office/drawing/2014/main" id="{7A4AE5A8-DB27-4F63-B485-E3E3D492C5F1}"/>
            </a:ext>
          </a:extLst>
        </xdr:cNvPr>
        <xdr:cNvCxnSpPr>
          <a:cxnSpLocks/>
        </xdr:cNvCxnSpPr>
      </xdr:nvCxnSpPr>
      <xdr:spPr>
        <a:xfrm>
          <a:off x="903287" y="58674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23</xdr:row>
      <xdr:rowOff>114300</xdr:rowOff>
    </xdr:from>
    <xdr:to>
      <xdr:col>0</xdr:col>
      <xdr:colOff>1516856</xdr:colOff>
      <xdr:row>23</xdr:row>
      <xdr:rowOff>114300</xdr:rowOff>
    </xdr:to>
    <xdr:cxnSp macro="">
      <xdr:nvCxnSpPr>
        <xdr:cNvPr id="5" name="Straight Connector 4">
          <a:extLst>
            <a:ext uri="{FF2B5EF4-FFF2-40B4-BE49-F238E27FC236}">
              <a16:creationId xmlns:a16="http://schemas.microsoft.com/office/drawing/2014/main" id="{B7ECED5A-3DF9-4986-BAAE-FC973C0055EB}"/>
            </a:ext>
            <a:ext uri="{147F2762-F138-4A5C-976F-8EAC2B608ADB}">
              <a16:predDERef xmlns:a16="http://schemas.microsoft.com/office/drawing/2014/main" pred="{069139E4-DE86-CA19-4007-69203FE41480}"/>
            </a:ext>
          </a:extLst>
        </xdr:cNvPr>
        <xdr:cNvCxnSpPr>
          <a:cxnSpLocks/>
        </xdr:cNvCxnSpPr>
      </xdr:nvCxnSpPr>
      <xdr:spPr>
        <a:xfrm>
          <a:off x="885031" y="60864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39</xdr:row>
      <xdr:rowOff>133350</xdr:rowOff>
    </xdr:from>
    <xdr:to>
      <xdr:col>0</xdr:col>
      <xdr:colOff>1540668</xdr:colOff>
      <xdr:row>39</xdr:row>
      <xdr:rowOff>133350</xdr:rowOff>
    </xdr:to>
    <xdr:cxnSp macro="">
      <xdr:nvCxnSpPr>
        <xdr:cNvPr id="6" name="Straight Connector 5">
          <a:extLst>
            <a:ext uri="{FF2B5EF4-FFF2-40B4-BE49-F238E27FC236}">
              <a16:creationId xmlns:a16="http://schemas.microsoft.com/office/drawing/2014/main" id="{7CBB8013-0ADD-464E-8939-ED6AA9376B38}"/>
            </a:ext>
          </a:extLst>
        </xdr:cNvPr>
        <xdr:cNvCxnSpPr>
          <a:cxnSpLocks/>
        </xdr:cNvCxnSpPr>
      </xdr:nvCxnSpPr>
      <xdr:spPr>
        <a:xfrm>
          <a:off x="912018" y="94488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40</xdr:row>
      <xdr:rowOff>126207</xdr:rowOff>
    </xdr:from>
    <xdr:to>
      <xdr:col>0</xdr:col>
      <xdr:colOff>1540668</xdr:colOff>
      <xdr:row>40</xdr:row>
      <xdr:rowOff>126207</xdr:rowOff>
    </xdr:to>
    <xdr:cxnSp macro="">
      <xdr:nvCxnSpPr>
        <xdr:cNvPr id="7" name="Straight Connector 6">
          <a:extLst>
            <a:ext uri="{FF2B5EF4-FFF2-40B4-BE49-F238E27FC236}">
              <a16:creationId xmlns:a16="http://schemas.microsoft.com/office/drawing/2014/main" id="{15723E4A-F4A4-4FD1-AB8C-A8EE3442C977}"/>
            </a:ext>
            <a:ext uri="{147F2762-F138-4A5C-976F-8EAC2B608ADB}">
              <a16:predDERef xmlns:a16="http://schemas.microsoft.com/office/drawing/2014/main" pred="{069139E4-DE86-CA19-4007-69203FE41480}"/>
            </a:ext>
          </a:extLst>
        </xdr:cNvPr>
        <xdr:cNvCxnSpPr>
          <a:cxnSpLocks/>
        </xdr:cNvCxnSpPr>
      </xdr:nvCxnSpPr>
      <xdr:spPr>
        <a:xfrm>
          <a:off x="912018" y="9676607"/>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876300</xdr:colOff>
      <xdr:row>56</xdr:row>
      <xdr:rowOff>133350</xdr:rowOff>
    </xdr:from>
    <xdr:to>
      <xdr:col>0</xdr:col>
      <xdr:colOff>1504950</xdr:colOff>
      <xdr:row>56</xdr:row>
      <xdr:rowOff>133350</xdr:rowOff>
    </xdr:to>
    <xdr:cxnSp macro="">
      <xdr:nvCxnSpPr>
        <xdr:cNvPr id="8" name="Straight Connector 7">
          <a:extLst>
            <a:ext uri="{FF2B5EF4-FFF2-40B4-BE49-F238E27FC236}">
              <a16:creationId xmlns:a16="http://schemas.microsoft.com/office/drawing/2014/main" id="{5C936D29-8667-423D-BE40-5A56125715ED}"/>
            </a:ext>
          </a:extLst>
        </xdr:cNvPr>
        <xdr:cNvCxnSpPr>
          <a:cxnSpLocks/>
        </xdr:cNvCxnSpPr>
      </xdr:nvCxnSpPr>
      <xdr:spPr>
        <a:xfrm>
          <a:off x="876300" y="130302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864393</xdr:colOff>
      <xdr:row>57</xdr:row>
      <xdr:rowOff>114300</xdr:rowOff>
    </xdr:from>
    <xdr:to>
      <xdr:col>0</xdr:col>
      <xdr:colOff>1493043</xdr:colOff>
      <xdr:row>57</xdr:row>
      <xdr:rowOff>114300</xdr:rowOff>
    </xdr:to>
    <xdr:cxnSp macro="">
      <xdr:nvCxnSpPr>
        <xdr:cNvPr id="9" name="Straight Connector 8">
          <a:extLst>
            <a:ext uri="{FF2B5EF4-FFF2-40B4-BE49-F238E27FC236}">
              <a16:creationId xmlns:a16="http://schemas.microsoft.com/office/drawing/2014/main" id="{5456F1A1-DC2C-47A1-BCF1-19FD1A946A7E}"/>
            </a:ext>
            <a:ext uri="{147F2762-F138-4A5C-976F-8EAC2B608ADB}">
              <a16:predDERef xmlns:a16="http://schemas.microsoft.com/office/drawing/2014/main" pred="{069139E4-DE86-CA19-4007-69203FE41480}"/>
            </a:ext>
          </a:extLst>
        </xdr:cNvPr>
        <xdr:cNvCxnSpPr>
          <a:cxnSpLocks/>
        </xdr:cNvCxnSpPr>
      </xdr:nvCxnSpPr>
      <xdr:spPr>
        <a:xfrm>
          <a:off x="867568" y="132492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73</xdr:row>
      <xdr:rowOff>133350</xdr:rowOff>
    </xdr:from>
    <xdr:to>
      <xdr:col>0</xdr:col>
      <xdr:colOff>1540668</xdr:colOff>
      <xdr:row>73</xdr:row>
      <xdr:rowOff>133350</xdr:rowOff>
    </xdr:to>
    <xdr:cxnSp macro="">
      <xdr:nvCxnSpPr>
        <xdr:cNvPr id="10" name="Straight Connector 9">
          <a:extLst>
            <a:ext uri="{FF2B5EF4-FFF2-40B4-BE49-F238E27FC236}">
              <a16:creationId xmlns:a16="http://schemas.microsoft.com/office/drawing/2014/main" id="{5039E840-77A1-4309-B9A5-77B6816D630E}"/>
            </a:ext>
          </a:extLst>
        </xdr:cNvPr>
        <xdr:cNvCxnSpPr>
          <a:cxnSpLocks/>
        </xdr:cNvCxnSpPr>
      </xdr:nvCxnSpPr>
      <xdr:spPr>
        <a:xfrm>
          <a:off x="912018" y="1663065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74</xdr:row>
      <xdr:rowOff>114300</xdr:rowOff>
    </xdr:from>
    <xdr:to>
      <xdr:col>0</xdr:col>
      <xdr:colOff>1540669</xdr:colOff>
      <xdr:row>74</xdr:row>
      <xdr:rowOff>114300</xdr:rowOff>
    </xdr:to>
    <xdr:cxnSp macro="">
      <xdr:nvCxnSpPr>
        <xdr:cNvPr id="11" name="Straight Connector 10">
          <a:extLst>
            <a:ext uri="{FF2B5EF4-FFF2-40B4-BE49-F238E27FC236}">
              <a16:creationId xmlns:a16="http://schemas.microsoft.com/office/drawing/2014/main" id="{0B19955F-D1EC-499E-97DF-C42CA2F9FDDF}"/>
            </a:ext>
            <a:ext uri="{147F2762-F138-4A5C-976F-8EAC2B608ADB}">
              <a16:predDERef xmlns:a16="http://schemas.microsoft.com/office/drawing/2014/main" pred="{069139E4-DE86-CA19-4007-69203FE41480}"/>
            </a:ext>
          </a:extLst>
        </xdr:cNvPr>
        <xdr:cNvCxnSpPr>
          <a:cxnSpLocks/>
        </xdr:cNvCxnSpPr>
      </xdr:nvCxnSpPr>
      <xdr:spPr>
        <a:xfrm>
          <a:off x="912019" y="168497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90</xdr:row>
      <xdr:rowOff>145256</xdr:rowOff>
    </xdr:from>
    <xdr:to>
      <xdr:col>0</xdr:col>
      <xdr:colOff>1540669</xdr:colOff>
      <xdr:row>90</xdr:row>
      <xdr:rowOff>145256</xdr:rowOff>
    </xdr:to>
    <xdr:cxnSp macro="">
      <xdr:nvCxnSpPr>
        <xdr:cNvPr id="12" name="Straight Connector 11">
          <a:extLst>
            <a:ext uri="{FF2B5EF4-FFF2-40B4-BE49-F238E27FC236}">
              <a16:creationId xmlns:a16="http://schemas.microsoft.com/office/drawing/2014/main" id="{3403C72A-A72F-4CC4-8AB6-D382ADC8727C}"/>
            </a:ext>
          </a:extLst>
        </xdr:cNvPr>
        <xdr:cNvCxnSpPr>
          <a:cxnSpLocks/>
        </xdr:cNvCxnSpPr>
      </xdr:nvCxnSpPr>
      <xdr:spPr>
        <a:xfrm>
          <a:off x="912019" y="20220781"/>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900113</xdr:colOff>
      <xdr:row>91</xdr:row>
      <xdr:rowOff>114300</xdr:rowOff>
    </xdr:from>
    <xdr:to>
      <xdr:col>0</xdr:col>
      <xdr:colOff>1528763</xdr:colOff>
      <xdr:row>91</xdr:row>
      <xdr:rowOff>114300</xdr:rowOff>
    </xdr:to>
    <xdr:cxnSp macro="">
      <xdr:nvCxnSpPr>
        <xdr:cNvPr id="13" name="Straight Connector 12">
          <a:extLst>
            <a:ext uri="{FF2B5EF4-FFF2-40B4-BE49-F238E27FC236}">
              <a16:creationId xmlns:a16="http://schemas.microsoft.com/office/drawing/2014/main" id="{E77B2B44-1971-4D93-BE45-9657055567B2}"/>
            </a:ext>
            <a:ext uri="{147F2762-F138-4A5C-976F-8EAC2B608ADB}">
              <a16:predDERef xmlns:a16="http://schemas.microsoft.com/office/drawing/2014/main" pred="{069139E4-DE86-CA19-4007-69203FE41480}"/>
            </a:ext>
          </a:extLst>
        </xdr:cNvPr>
        <xdr:cNvCxnSpPr>
          <a:cxnSpLocks/>
        </xdr:cNvCxnSpPr>
      </xdr:nvCxnSpPr>
      <xdr:spPr>
        <a:xfrm>
          <a:off x="903288" y="204311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107</xdr:row>
      <xdr:rowOff>133350</xdr:rowOff>
    </xdr:from>
    <xdr:to>
      <xdr:col>0</xdr:col>
      <xdr:colOff>1528762</xdr:colOff>
      <xdr:row>107</xdr:row>
      <xdr:rowOff>133350</xdr:rowOff>
    </xdr:to>
    <xdr:cxnSp macro="">
      <xdr:nvCxnSpPr>
        <xdr:cNvPr id="14" name="Straight Connector 13">
          <a:extLst>
            <a:ext uri="{FF2B5EF4-FFF2-40B4-BE49-F238E27FC236}">
              <a16:creationId xmlns:a16="http://schemas.microsoft.com/office/drawing/2014/main" id="{D99A03BD-354D-489A-9863-1C1557E72124}"/>
            </a:ext>
          </a:extLst>
        </xdr:cNvPr>
        <xdr:cNvCxnSpPr>
          <a:cxnSpLocks/>
        </xdr:cNvCxnSpPr>
      </xdr:nvCxnSpPr>
      <xdr:spPr>
        <a:xfrm>
          <a:off x="903287" y="2379345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108</xdr:row>
      <xdr:rowOff>114300</xdr:rowOff>
    </xdr:from>
    <xdr:to>
      <xdr:col>0</xdr:col>
      <xdr:colOff>1516856</xdr:colOff>
      <xdr:row>108</xdr:row>
      <xdr:rowOff>114300</xdr:rowOff>
    </xdr:to>
    <xdr:cxnSp macro="">
      <xdr:nvCxnSpPr>
        <xdr:cNvPr id="15" name="Straight Connector 14">
          <a:extLst>
            <a:ext uri="{FF2B5EF4-FFF2-40B4-BE49-F238E27FC236}">
              <a16:creationId xmlns:a16="http://schemas.microsoft.com/office/drawing/2014/main" id="{85443DF3-37C6-4E75-9F32-A17A03163672}"/>
            </a:ext>
            <a:ext uri="{147F2762-F138-4A5C-976F-8EAC2B608ADB}">
              <a16:predDERef xmlns:a16="http://schemas.microsoft.com/office/drawing/2014/main" pred="{069139E4-DE86-CA19-4007-69203FE41480}"/>
            </a:ext>
          </a:extLst>
        </xdr:cNvPr>
        <xdr:cNvCxnSpPr>
          <a:cxnSpLocks/>
        </xdr:cNvCxnSpPr>
      </xdr:nvCxnSpPr>
      <xdr:spPr>
        <a:xfrm>
          <a:off x="885031" y="240125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876300</xdr:colOff>
      <xdr:row>124</xdr:row>
      <xdr:rowOff>160337</xdr:rowOff>
    </xdr:from>
    <xdr:to>
      <xdr:col>0</xdr:col>
      <xdr:colOff>1504950</xdr:colOff>
      <xdr:row>124</xdr:row>
      <xdr:rowOff>160337</xdr:rowOff>
    </xdr:to>
    <xdr:cxnSp macro="">
      <xdr:nvCxnSpPr>
        <xdr:cNvPr id="30" name="Straight Connector 15">
          <a:extLst>
            <a:ext uri="{FF2B5EF4-FFF2-40B4-BE49-F238E27FC236}">
              <a16:creationId xmlns:a16="http://schemas.microsoft.com/office/drawing/2014/main" id="{1CC68377-6ED4-4999-B700-7380A874F76D}"/>
            </a:ext>
          </a:extLst>
        </xdr:cNvPr>
        <xdr:cNvCxnSpPr>
          <a:cxnSpLocks/>
        </xdr:cNvCxnSpPr>
      </xdr:nvCxnSpPr>
      <xdr:spPr>
        <a:xfrm>
          <a:off x="876300" y="2795746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852488</xdr:colOff>
      <xdr:row>125</xdr:row>
      <xdr:rowOff>114300</xdr:rowOff>
    </xdr:from>
    <xdr:to>
      <xdr:col>0</xdr:col>
      <xdr:colOff>1481138</xdr:colOff>
      <xdr:row>125</xdr:row>
      <xdr:rowOff>114300</xdr:rowOff>
    </xdr:to>
    <xdr:cxnSp macro="">
      <xdr:nvCxnSpPr>
        <xdr:cNvPr id="29" name="Straight Connector 16">
          <a:extLst>
            <a:ext uri="{FF2B5EF4-FFF2-40B4-BE49-F238E27FC236}">
              <a16:creationId xmlns:a16="http://schemas.microsoft.com/office/drawing/2014/main" id="{AAC40C5D-B452-4B9E-B5DB-0BD36978DA88}"/>
            </a:ext>
            <a:ext uri="{147F2762-F138-4A5C-976F-8EAC2B608ADB}">
              <a16:predDERef xmlns:a16="http://schemas.microsoft.com/office/drawing/2014/main" pred="{069139E4-DE86-CA19-4007-69203FE41480}"/>
            </a:ext>
          </a:extLst>
        </xdr:cNvPr>
        <xdr:cNvCxnSpPr>
          <a:cxnSpLocks/>
        </xdr:cNvCxnSpPr>
      </xdr:nvCxnSpPr>
      <xdr:spPr>
        <a:xfrm>
          <a:off x="849313" y="276606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141</xdr:row>
      <xdr:rowOff>133350</xdr:rowOff>
    </xdr:from>
    <xdr:to>
      <xdr:col>0</xdr:col>
      <xdr:colOff>1493044</xdr:colOff>
      <xdr:row>141</xdr:row>
      <xdr:rowOff>133350</xdr:rowOff>
    </xdr:to>
    <xdr:cxnSp macro="">
      <xdr:nvCxnSpPr>
        <xdr:cNvPr id="18" name="Straight Connector 17">
          <a:extLst>
            <a:ext uri="{FF2B5EF4-FFF2-40B4-BE49-F238E27FC236}">
              <a16:creationId xmlns:a16="http://schemas.microsoft.com/office/drawing/2014/main" id="{33163A39-997F-4291-988D-005B089AC2AA}"/>
            </a:ext>
          </a:extLst>
        </xdr:cNvPr>
        <xdr:cNvCxnSpPr>
          <a:cxnSpLocks/>
        </xdr:cNvCxnSpPr>
      </xdr:nvCxnSpPr>
      <xdr:spPr>
        <a:xfrm>
          <a:off x="867569" y="311372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142</xdr:row>
      <xdr:rowOff>126207</xdr:rowOff>
    </xdr:from>
    <xdr:to>
      <xdr:col>0</xdr:col>
      <xdr:colOff>1493044</xdr:colOff>
      <xdr:row>142</xdr:row>
      <xdr:rowOff>126207</xdr:rowOff>
    </xdr:to>
    <xdr:cxnSp macro="">
      <xdr:nvCxnSpPr>
        <xdr:cNvPr id="19" name="Straight Connector 18">
          <a:extLst>
            <a:ext uri="{FF2B5EF4-FFF2-40B4-BE49-F238E27FC236}">
              <a16:creationId xmlns:a16="http://schemas.microsoft.com/office/drawing/2014/main" id="{580739D0-8BA4-4641-8A71-6AC46677C467}"/>
            </a:ext>
            <a:ext uri="{147F2762-F138-4A5C-976F-8EAC2B608ADB}">
              <a16:predDERef xmlns:a16="http://schemas.microsoft.com/office/drawing/2014/main" pred="{069139E4-DE86-CA19-4007-69203FE41480}"/>
            </a:ext>
          </a:extLst>
        </xdr:cNvPr>
        <xdr:cNvCxnSpPr>
          <a:cxnSpLocks/>
        </xdr:cNvCxnSpPr>
      </xdr:nvCxnSpPr>
      <xdr:spPr>
        <a:xfrm>
          <a:off x="867569" y="3136503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175</xdr:row>
      <xdr:rowOff>133350</xdr:rowOff>
    </xdr:from>
    <xdr:to>
      <xdr:col>0</xdr:col>
      <xdr:colOff>1493044</xdr:colOff>
      <xdr:row>175</xdr:row>
      <xdr:rowOff>133350</xdr:rowOff>
    </xdr:to>
    <xdr:cxnSp macro="">
      <xdr:nvCxnSpPr>
        <xdr:cNvPr id="20" name="Straight Connector 19">
          <a:extLst>
            <a:ext uri="{FF2B5EF4-FFF2-40B4-BE49-F238E27FC236}">
              <a16:creationId xmlns:a16="http://schemas.microsoft.com/office/drawing/2014/main" id="{6F75CD6D-E62C-48D2-95DD-B89FFC483702}"/>
            </a:ext>
          </a:extLst>
        </xdr:cNvPr>
        <xdr:cNvCxnSpPr>
          <a:cxnSpLocks/>
        </xdr:cNvCxnSpPr>
      </xdr:nvCxnSpPr>
      <xdr:spPr>
        <a:xfrm>
          <a:off x="867569" y="384333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176</xdr:row>
      <xdr:rowOff>126207</xdr:rowOff>
    </xdr:from>
    <xdr:to>
      <xdr:col>0</xdr:col>
      <xdr:colOff>1493044</xdr:colOff>
      <xdr:row>176</xdr:row>
      <xdr:rowOff>126207</xdr:rowOff>
    </xdr:to>
    <xdr:cxnSp macro="">
      <xdr:nvCxnSpPr>
        <xdr:cNvPr id="21" name="Straight Connector 20">
          <a:extLst>
            <a:ext uri="{FF2B5EF4-FFF2-40B4-BE49-F238E27FC236}">
              <a16:creationId xmlns:a16="http://schemas.microsoft.com/office/drawing/2014/main" id="{FC5092A2-019B-40C3-9B12-C1A104F0618C}"/>
            </a:ext>
            <a:ext uri="{147F2762-F138-4A5C-976F-8EAC2B608ADB}">
              <a16:predDERef xmlns:a16="http://schemas.microsoft.com/office/drawing/2014/main" pred="{069139E4-DE86-CA19-4007-69203FE41480}"/>
            </a:ext>
          </a:extLst>
        </xdr:cNvPr>
        <xdr:cNvCxnSpPr>
          <a:cxnSpLocks/>
        </xdr:cNvCxnSpPr>
      </xdr:nvCxnSpPr>
      <xdr:spPr>
        <a:xfrm>
          <a:off x="867569" y="3866118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158</xdr:row>
      <xdr:rowOff>133350</xdr:rowOff>
    </xdr:from>
    <xdr:to>
      <xdr:col>0</xdr:col>
      <xdr:colOff>1528762</xdr:colOff>
      <xdr:row>158</xdr:row>
      <xdr:rowOff>133350</xdr:rowOff>
    </xdr:to>
    <xdr:cxnSp macro="">
      <xdr:nvCxnSpPr>
        <xdr:cNvPr id="22" name="Straight Connector 21">
          <a:extLst>
            <a:ext uri="{FF2B5EF4-FFF2-40B4-BE49-F238E27FC236}">
              <a16:creationId xmlns:a16="http://schemas.microsoft.com/office/drawing/2014/main" id="{AB4DDD2A-8B80-41B3-A669-828A990CE7DB}"/>
            </a:ext>
          </a:extLst>
        </xdr:cNvPr>
        <xdr:cNvCxnSpPr>
          <a:cxnSpLocks/>
        </xdr:cNvCxnSpPr>
      </xdr:nvCxnSpPr>
      <xdr:spPr>
        <a:xfrm>
          <a:off x="903287" y="348329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159</xdr:row>
      <xdr:rowOff>114300</xdr:rowOff>
    </xdr:from>
    <xdr:to>
      <xdr:col>0</xdr:col>
      <xdr:colOff>1516856</xdr:colOff>
      <xdr:row>159</xdr:row>
      <xdr:rowOff>114300</xdr:rowOff>
    </xdr:to>
    <xdr:cxnSp macro="">
      <xdr:nvCxnSpPr>
        <xdr:cNvPr id="23" name="Straight Connector 22">
          <a:extLst>
            <a:ext uri="{FF2B5EF4-FFF2-40B4-BE49-F238E27FC236}">
              <a16:creationId xmlns:a16="http://schemas.microsoft.com/office/drawing/2014/main" id="{7F70BCD5-586A-4372-AADD-78A04283AA71}"/>
            </a:ext>
            <a:ext uri="{147F2762-F138-4A5C-976F-8EAC2B608ADB}">
              <a16:predDERef xmlns:a16="http://schemas.microsoft.com/office/drawing/2014/main" pred="{069139E4-DE86-CA19-4007-69203FE41480}"/>
            </a:ext>
          </a:extLst>
        </xdr:cNvPr>
        <xdr:cNvCxnSpPr>
          <a:cxnSpLocks/>
        </xdr:cNvCxnSpPr>
      </xdr:nvCxnSpPr>
      <xdr:spPr>
        <a:xfrm>
          <a:off x="885031" y="350520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cesshub-my.sharepoint.com/Documents%20and%20Settings/peterj/My%20Documents/MUNI/Barron/380-ER-104%2012-22%20JB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quantaservices.sharepoint.com/Deals/Puerto%20Rico/Analysis/FEGP/Creditor%20Model/Extended%20Creditor%20Model/_Archive/16.02.03%20FEGP%20Extended%20Model%20vDraft1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ppriver3651007591.sharepoint.com/Users/jmendelsohn/AppData/Local/Microsoft/Windows/Temporary%20Internet%20Files/Content.Outlook/4SEOQH2Z/2016-01-19%20PREPA%20Recap%20Model%20v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ppriver3651007591.sharepoint.com/Deals/Puerto%20Rico/Analysis/Liquidity/HTA/Waterfall%20Analysis/July%202015/15.05.22%20HTA%20&amp;%20PRIFA%20Waterfall%20Analysis%20v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ppriver3651007591.sharepoint.com/TESD/MUNI_S/P_RICO/HIGHWAYS/Debt/HTA%20Debt%20Database.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ttps://accesshub.sharepoint.com/teams/Energy/PREPA/Shared%20Documents/3.%20Project%20Work/7%20Rate%20Case/07%20-%20FY2025%20Three%20Test%20Year%20Filing/01.%20References/LUMA%20-%20Rate%20Design.xlsx" TargetMode="External"/><Relationship Id="rId1" Type="http://schemas.openxmlformats.org/officeDocument/2006/relationships/externalLinkPath" Target="https://accesshub.sharepoint.com/teams/Energy/PREPA/Shared%20Documents/3.%20Project%20Work/7%20Rate%20Case/07%20-%20FY2025%20Three%20Test%20Year%20Filing/01.%20References/LUMA%20-%20Rate%20Desig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romesapr.sharepoint.com/Users/Sarah%20Fijnvandraat/Downloads/IT%20OT-GenCo%20Shared%20Services%20Budget%20Definition%20Nov%20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yus-my.sharepoint.com/personal/sheva_levy_ey_com/Documents/Documents/Pension%20Risks/Puerto%20Rico/PREPA/PREPA%20-%20LUMA%20Withdrawal%20Funding%20Scenario%20Model%20v23.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ccesshub.sharepoint.com/Hurricane%20Maria/Reports/KPI%20Dashboard/Raw%20Data/Outage%20Report/20180601%20Weekly%20Outage%20Report.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romesapr-my.sharepoint.com/WINDOWS/TEMP/GAMxFiles/8ai2rj2p88fy4cticimvfmcrzm8h53xnz549n4a3ckh4c2dnzw3n/May%2013%2013/c0c8931137bc4d6b80003374f1da7dc0/F03a%20WIP%20&amp;%20FG%20Valuation%20201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quantaservices.sharepoint.com/Users/rshannon/AppData/Local/Temp/Temp1_SWLP%20Electric%20COSS%20Models.zip/SWLP%20Electric%20COSS%20and%20Rates%20TY202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ppriver3651007591.sharepoint.com/I/BrianD/Warehouse%20Expense%20Report/Updated%20Network%20QTRLY%20Forecast%20Comparison%20FY%2020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romesapr-my.sharepoint.com/WINDOWS/TEMP/GAMxFiles/j7g9ecf7q58ngu3fcp7ij3g9c5g7yb4rzf5upcsup5mqsj5by3u2/Apr%208%2013/7fd9e218c14441aeb6a99827f5b76aa6/B05.7%20Cash%20Control%20WT.xlsx" TargetMode="External"/></Relationships>
</file>

<file path=xl/externalLinks/_rels/externalLink21.xml.rels><?xml version="1.0" encoding="UTF-8" standalone="yes"?>
<Relationships xmlns="http://schemas.openxmlformats.org/package/2006/relationships"><Relationship Id="rId3" Type="http://schemas.openxmlformats.org/officeDocument/2006/relationships/externalLinkPath" Target="https://quantaservices.sharepoint.com/sites/LUMA/REG/DepartmentWorkspace/FY%202026/1._Rate%20Review/3._Filing%20Schedules/PREPA%20Files%20June%2030/z%20Natives/PREPA_FY26-FY28%20Consol%20Bdgt%20w%20Sch%20A-1,%20A-2,%20B-1,%20C-2,%20D-1%20&amp;%20D-2%20(2025.06.30)_vF.xlsx" TargetMode="External"/><Relationship Id="rId2" Type="http://schemas.microsoft.com/office/2019/04/relationships/externalLinkLongPath" Target="https://quantaservices.sharepoint.com/sites/LUMA/REG/DepartmentWorkspace/FY%202026/1._Rate%20Review/3._Filing%20Schedules/PREPA%20Files%20June%2030/z%20Natives/PREPA_FY26-FY28%20Consol%20Bdgt%20w%20Sch%20A-1,%20A-2,%20B-1,%20C-2,%20D-1%20&amp;%20D-2%20(2025.06.30)_vF.xlsx?9900E5D6" TargetMode="External"/><Relationship Id="rId1" Type="http://schemas.openxmlformats.org/officeDocument/2006/relationships/externalLinkPath" Target="file:///\\9900E5D6\PREPA_FY26-FY28%20Consol%20Bdgt%20w%20Sch%20A-1,%20A-2,%20B-1,%20C-2,%20D-1%20&amp;%20D-2%20(2025.06.30)_v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wpr-my.sharepoint.com/bchydro.adroot.bchydro.bc.ca/misc$/CC&amp;C/EP/EP/Forecast/2009%20Forecast/August%202009%20RRA%20Forecast%20and%20Tracking/CompAugust2009Dec2008_gc%20_v3.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aeepr.sharepoint.com/sites/FY24LTIPBudget/Shared%20Documents/General/(Rate%20Case)%20FY26%20LTIP%20Budgeting%20process/Constrained%20FY26%20(RATE%20CASE)%20With%20additional%20Reductions/FY26%20LTIP%20for%20Budget%20Filing%20Constrained%20V2.xlsx" TargetMode="External"/><Relationship Id="rId1" Type="http://schemas.openxmlformats.org/officeDocument/2006/relationships/externalLinkPath" Target="https://aeepr.sharepoint.com/sites/FY24LTIPBudget/Shared%20Documents/General/(Rate%20Case)%20FY26%20LTIP%20Budgeting%20process/Constrained%20FY26%20(RATE%20CASE)%20With%20additional%20Reductions/FY26%20LTIP%20for%20Budget%20Filing%20Constrained%20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romesapr.sharepoint.com/Users/ag811pq/AppData/Local/Microsoft/Windows/INetCache/Content.Outlook/5TKSQ1DZ/PREPA%20-%20Projected%20FY%20DB%20Costs%20-%20v66.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ccesshub-my.sharepoint.com/personal/mfarrington_guidehouse_com/Documents/Documents/LUMA/2023%20Rate%20Case/SWLP%20Electric%20COSS%20Models/SWLP%20Electric%20COSS%20and%20Rates%20TY202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ccesshub-my.sharepoint.com/Users/zicht/AppData/Local/Temp/ColumbiaSoft/Viewed/4E4A99420867484EA49C8C60242B4723/Muni%20Electric%20Rate%20Workbook%20v40_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ngineering\ProForma\2010%20Archive\South%20Area%20ProFormas\Board%20Meeting%20JL10\Current\engineering\ProForma\2009%20Archive\Aug\2009%20Archive\Jan\2009JA21%20By-pass%20Analysis%20-%20Pecos%20Diamond%20Proforma%20DD%20Insert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U%20E%20P%20I%20-%20INFORMES%20MENSUALES\Informes\Informes%202017%20-%202018\7%20JULIO%202017\Enviar\2017-07-31%20%20%20Balances%200%20-%2030%20-%2060%20-%2090%20-%20120%20o%20m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put Data"/>
      <sheetName val="Staff Adj"/>
      <sheetName val="NIRB"/>
      <sheetName val="FINSTAT"/>
      <sheetName val="CUSANAL"/>
      <sheetName val="PCAC"/>
      <sheetName val="Purchase Power"/>
      <sheetName val="PP-TTS"/>
      <sheetName val="EMBED"/>
      <sheetName val="RGGSBILL"/>
      <sheetName val="CP123"/>
      <sheetName val="COSS Results"/>
      <sheetName val="COSS STUDY"/>
      <sheetName val="Allocators"/>
      <sheetName val="FUNCTIONALIZE"/>
      <sheetName val="Rate Summary"/>
      <sheetName val="Annual Averages"/>
      <sheetName val="Lights"/>
      <sheetName val="TY2002"/>
      <sheetName val="Fuel"/>
      <sheetName val="Purpow"/>
    </sheetNames>
    <sheetDataSet>
      <sheetData sheetId="0" refreshError="1"/>
      <sheetData sheetId="1"/>
      <sheetData sheetId="2" refreshError="1"/>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ti Outputs&gt;"/>
      <sheetName val="9LevelP&amp;I"/>
      <sheetName val="Prior Debt Serv."/>
      <sheetName val="Exchange Outputs&gt;"/>
      <sheetName val="CVR Based on Citi Run"/>
      <sheetName val="Ten Year Gaps"/>
      <sheetName val="Graphs"/>
      <sheetName val="CVR Payments"/>
      <sheetName val="FY16 DS Addback"/>
      <sheetName val="ABT"/>
      <sheetName val="FEGP Output Graph"/>
      <sheetName val="NewCo CFs"/>
      <sheetName val="Sheet1"/>
      <sheetName val="Cover"/>
      <sheetName val="Key Driver Assumptions"/>
      <sheetName val="Disclaimer"/>
      <sheetName val="Model Outputs&gt;"/>
      <sheetName val="Summary"/>
      <sheetName val="Footnotes"/>
      <sheetName val="Debt Service Summary"/>
      <sheetName val="Measures_Detail"/>
      <sheetName val="Revenues&gt;"/>
      <sheetName val="GF Revenue"/>
      <sheetName val="GDB Portfolio"/>
      <sheetName val="SUT VAT Build"/>
      <sheetName val="Federal Transfers"/>
      <sheetName val="Expenditures&gt;"/>
      <sheetName val="GF Budget"/>
      <sheetName val="Non-GF Gov't Funds"/>
      <sheetName val="Component Units"/>
      <sheetName val="CapEx"/>
      <sheetName val="Financing and Addt'l Expenses&gt;"/>
      <sheetName val="Identified Financing"/>
      <sheetName val="Additional Expenses"/>
      <sheetName val="Reform Measures&gt;"/>
      <sheetName val="Measures Reconciliation"/>
      <sheetName val="Measures"/>
      <sheetName val="GNP Growth"/>
      <sheetName val="Other Entities&gt;"/>
      <sheetName val="HTA CFs"/>
      <sheetName val="PBA CFs"/>
      <sheetName val="Petroleum Forecast&gt;"/>
      <sheetName val="PET BANs Schedule"/>
      <sheetName val="CY Revenues"/>
      <sheetName val="FY Revenues"/>
      <sheetName val="Cusip Debt Schedules&gt;"/>
      <sheetName val="COFINA"/>
      <sheetName val="GO"/>
      <sheetName val="GDB"/>
      <sheetName val="HTA"/>
      <sheetName val="PBA"/>
      <sheetName val="PRIFA"/>
      <sheetName val="UPR"/>
      <sheetName val="PFC"/>
      <sheetName val="PRCCDA"/>
      <sheetName val="PRIDCO"/>
      <sheetName val="ERS"/>
      <sheetName val="GSA"/>
      <sheetName val="COFINA Timing Support"/>
      <sheetName val="Original Sum&gt;"/>
      <sheetName val="Public Summary"/>
      <sheetName val="Accretion&gt;"/>
      <sheetName val="Accretion"/>
      <sheetName val="Accreted Par"/>
      <sheetName val="Appendix&gt;"/>
      <sheetName val="UPR 10 YR FAP REV ONLY"/>
      <sheetName val="Law 154"/>
      <sheetName val="PRCCDA CFs_Mgmt"/>
      <sheetName val="PRIDCO CFs_Mgmt"/>
      <sheetName val="HTA CFs_FTI"/>
      <sheetName val="Retirement"/>
      <sheetName val="Projection_ERS"/>
      <sheetName val="Projection_TRS"/>
      <sheetName val="Graveyard&gt;"/>
      <sheetName val="AUCs"/>
      <sheetName val="Jim"/>
      <sheetName val="Citi_Outputs&gt;"/>
      <sheetName val="Prior_Debt_Serv_"/>
      <sheetName val="Exchange_Outputs&gt;"/>
      <sheetName val="CVR_Based_on_Citi_Run"/>
      <sheetName val="Ten_Year_Gaps"/>
      <sheetName val="CVR_Payments"/>
      <sheetName val="FY16_DS_Addback"/>
      <sheetName val="FEGP_Output_Graph"/>
      <sheetName val="NewCo_CFs"/>
      <sheetName val="Key_Driver_Assumptions"/>
      <sheetName val="Model_Outputs&gt;"/>
      <sheetName val="Debt_Service_Summary"/>
      <sheetName val="GF_Revenue"/>
      <sheetName val="GDB_Portfolio"/>
      <sheetName val="SUT_VAT_Build"/>
      <sheetName val="Federal_Transfers"/>
      <sheetName val="GF_Budget"/>
      <sheetName val="Non-GF_Gov't_Funds"/>
      <sheetName val="Component_Units"/>
      <sheetName val="Financing_and_Addt'l_Expenses&gt;"/>
      <sheetName val="Identified_Financing"/>
      <sheetName val="Additional_Expenses"/>
      <sheetName val="Reform_Measures&gt;"/>
      <sheetName val="Measures_Reconciliation"/>
      <sheetName val="GNP_Growth"/>
      <sheetName val="Other_Entities&gt;"/>
      <sheetName val="HTA_CFs"/>
      <sheetName val="PBA_CFs"/>
      <sheetName val="Petroleum_Forecast&gt;"/>
      <sheetName val="PET_BANs_Schedule"/>
      <sheetName val="CY_Revenues"/>
      <sheetName val="FY_Revenues"/>
      <sheetName val="Cusip_Debt_Schedules&gt;"/>
      <sheetName val="COFINA_Timing_Support"/>
      <sheetName val="Original_Sum&gt;"/>
      <sheetName val="Public_Summary"/>
      <sheetName val="Accreted_Par"/>
      <sheetName val="UPR_10_YR_FAP_REV_ONLY"/>
      <sheetName val="Law_154"/>
      <sheetName val="PRCCDA_CFs_Mgmt"/>
      <sheetName val="PRIDCO_CFs_Mgmt"/>
      <sheetName val="HTA_CFs_FTI"/>
      <sheetName val="Citi_Outputs&gt;1"/>
      <sheetName val="Prior_Debt_Serv_1"/>
      <sheetName val="Exchange_Outputs&gt;1"/>
      <sheetName val="CVR_Based_on_Citi_Run1"/>
      <sheetName val="Ten_Year_Gaps1"/>
      <sheetName val="CVR_Payments1"/>
      <sheetName val="FY16_DS_Addback1"/>
      <sheetName val="FEGP_Output_Graph1"/>
      <sheetName val="NewCo_CFs1"/>
      <sheetName val="Key_Driver_Assumptions1"/>
      <sheetName val="Model_Outputs&gt;1"/>
      <sheetName val="Debt_Service_Summary1"/>
      <sheetName val="GF_Revenue1"/>
      <sheetName val="GDB_Portfolio1"/>
      <sheetName val="SUT_VAT_Build1"/>
      <sheetName val="Federal_Transfers1"/>
      <sheetName val="GF_Budget1"/>
      <sheetName val="Non-GF_Gov't_Funds1"/>
      <sheetName val="Component_Units1"/>
      <sheetName val="Financing_and_Addt'l_Expenses&gt;1"/>
      <sheetName val="Identified_Financing1"/>
      <sheetName val="Additional_Expenses1"/>
      <sheetName val="Reform_Measures&gt;1"/>
      <sheetName val="Measures_Reconciliation1"/>
      <sheetName val="GNP_Growth1"/>
      <sheetName val="Other_Entities&gt;1"/>
      <sheetName val="HTA_CFs1"/>
      <sheetName val="PBA_CFs1"/>
      <sheetName val="Petroleum_Forecast&gt;1"/>
      <sheetName val="PET_BANs_Schedule1"/>
      <sheetName val="CY_Revenues1"/>
      <sheetName val="FY_Revenues1"/>
      <sheetName val="Cusip_Debt_Schedules&gt;1"/>
      <sheetName val="COFINA_Timing_Support1"/>
      <sheetName val="Original_Sum&gt;1"/>
      <sheetName val="Public_Summary1"/>
      <sheetName val="Accreted_Par1"/>
      <sheetName val="UPR_10_YR_FAP_REV_ONLY1"/>
      <sheetName val="Law_1541"/>
      <sheetName val="PRCCDA_CFs_Mgmt1"/>
      <sheetName val="PRIDCO_CFs_Mgmt1"/>
      <sheetName val="HTA_CFs_FTI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odel=&gt;"/>
      <sheetName val="Input - Drivers"/>
      <sheetName val="Input - Securitization Balances"/>
      <sheetName val="Input - Surety"/>
      <sheetName val="Input - DSRF Refunding Calc."/>
      <sheetName val="Input - Tender Pricing"/>
      <sheetName val="Input - Fwd Refinancing"/>
      <sheetName val="Series 2015A Schedule"/>
      <sheetName val="Bank Holidays"/>
      <sheetName val="Model - Status Quo"/>
      <sheetName val="Model - Securitzation LIVE"/>
      <sheetName val="Output=&gt;"/>
      <sheetName val="Jan Jul"/>
      <sheetName val="Deal Debt Service (NG, GS)"/>
      <sheetName val="Deal Princ. Balance (NG, GS)"/>
      <sheetName val="FEGP Monthly Projs."/>
      <sheetName val="Issue Test (P+I)"/>
      <sheetName val="Issue Test"/>
      <sheetName val="Issue Test Output"/>
      <sheetName val="Monoline Debt Service"/>
      <sheetName val="Debt Service Summary "/>
      <sheetName val="Debt Serv. Chart"/>
      <sheetName val="Cost per kWh for Debt Service"/>
      <sheetName val="Rate Build - Securitzation"/>
      <sheetName val="A&amp;M Debt Service"/>
      <sheetName val="Syncora Analysis =&gt;"/>
      <sheetName val="Syncora Debt Service"/>
      <sheetName val="Syncora Deal Analysis"/>
      <sheetName val="To Review&gt;"/>
      <sheetName val="DS Status Quo by Group"/>
      <sheetName val="DS Pro Forma by Group"/>
      <sheetName val="DS Savings by Group"/>
      <sheetName val="Stale&gt;"/>
      <sheetName val="Securitization Detail"/>
      <sheetName val="Surety Benefit"/>
      <sheetName val="Jan Bond Interest Due"/>
      <sheetName val="Surety Summary"/>
      <sheetName val="Issuance Market Risk"/>
      <sheetName val="S&amp;P Term Sheet"/>
      <sheetName val="Jan Sources &amp; Uses"/>
      <sheetName val="Jan 1 Detail"/>
      <sheetName val="July Maturities Summary"/>
      <sheetName val="Assured Jan Breakout"/>
      <sheetName val="DSRF DSCR Summary"/>
      <sheetName val="DSRF Refunding"/>
      <sheetName val="Monoline Risk Reduction"/>
      <sheetName val="Insured Debt Refinancing"/>
      <sheetName val="Wtd Avg Life"/>
      <sheetName val="Pro Forma"/>
      <sheetName val="Market Risk"/>
      <sheetName val="Mono Debt Service &amp; Balances"/>
      <sheetName val="Potential Liquidity Needs"/>
      <sheetName val="5 Year Impact"/>
      <sheetName val="Rate Comparison"/>
      <sheetName val="Graveyard&gt;"/>
      <sheetName val="Mirror Bond Detail"/>
      <sheetName val="Mirror Bond Cusips"/>
      <sheetName val="Rate Build - Status Quo"/>
      <sheetName val="Cash Flow Output"/>
      <sheetName val="Exposure Output"/>
      <sheetName val="Sources and Uses"/>
      <sheetName val="NT Liquidity Impact"/>
      <sheetName val="Change in Exposure"/>
      <sheetName val="Proposal Debt Service by Mono."/>
      <sheetName val="Cash Flow Impact"/>
      <sheetName val="Summary of Debt Balances"/>
      <sheetName val="Surety Sensitivity"/>
      <sheetName val="Bonds Break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I Projections"/>
      <sheetName val="Annual - Detail"/>
      <sheetName val="Monthly - Detail"/>
      <sheetName val="Summary"/>
      <sheetName val="MillCo Flex"/>
      <sheetName val="Model"/>
      <sheetName val="Millstein Disclaimer"/>
      <sheetName val="HTA Drivers"/>
      <sheetName val="HTA Waterfall - Annual"/>
      <sheetName val="HTA Waterfall - Monthly"/>
      <sheetName val="Transferred PRIFA Funds"/>
      <sheetName val="PRIFA Waterfall"/>
      <sheetName val="Outputs"/>
      <sheetName val="PRIFA Waterfall_output"/>
      <sheetName val="Barrel Summary"/>
      <sheetName val="PRIFA Rev Build"/>
      <sheetName val="CY Revenues"/>
      <sheetName val="FY Revenu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ting Debt Service by Reso"/>
      <sheetName val="Existing Debt Service by Series"/>
      <sheetName val="Existing Debt Profile by Reso"/>
      <sheetName val="Existing Debt Profile by Series"/>
      <sheetName val="2011 P3"/>
      <sheetName val="OUTSTANDING"/>
      <sheetName val="Download Sheet"/>
      <sheetName val="Backup data"/>
      <sheetName val="Download"/>
      <sheetName val="Existing_Debt_Service_by_Reso"/>
      <sheetName val="Existing_Debt_Service_by_Series"/>
      <sheetName val="Existing_Debt_Profile_by_Reso"/>
      <sheetName val="Existing_Debt_Profile_by_Series"/>
      <sheetName val="2011_P3"/>
      <sheetName val="Download_Sheet"/>
      <sheetName val="Backup_data"/>
    </sheetNames>
    <sheetDataSet>
      <sheetData sheetId="0"/>
      <sheetData sheetId="1"/>
      <sheetData sheetId="2"/>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Billing Units"/>
      <sheetName val="Rate Inputs"/>
      <sheetName val="Unsubsidized Rate Inputs"/>
      <sheetName val="Rate Summary"/>
      <sheetName val="Revenue Requir (old)"/>
      <sheetName val="Rev&amp;Exp Det"/>
      <sheetName val="Consumer Analysis"/>
      <sheetName val="CA - Lighting"/>
      <sheetName val="CA - Riders"/>
      <sheetName val="Revenue Summary"/>
      <sheetName val="Revenue Summary w Riders"/>
      <sheetName val="Allocators"/>
      <sheetName val="Cost Allocation"/>
      <sheetName val="Income Statment"/>
      <sheetName val="Bill-ApdxE"/>
      <sheetName val="ARCHIVE &gt;"/>
      <sheetName val="GH - 2025 bill units"/>
      <sheetName val="Customer Count"/>
      <sheetName val="Rider Graph"/>
      <sheetName val="Table of factors"/>
      <sheetName val="Rates Inventory"/>
      <sheetName val="Rates Input"/>
      <sheetName val="Riders Table"/>
      <sheetName val="Rates Inventory (04.25.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OT-GenCo Shared Services Bud"/>
      <sheetName val="Instructions"/>
      <sheetName val="Input Sheet"/>
      <sheetName val="ITOT Labor Costs"/>
      <sheetName val="Example"/>
      <sheetName val="Lists"/>
      <sheetName val="Guiding Principles"/>
      <sheetName val="Shared Application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Go Estimates"/>
      <sheetName val="PayGo Estimates 2020"/>
      <sheetName val="Aon Comparisons"/>
      <sheetName val="Dashboard"/>
      <sheetName val="Liability Calculations"/>
      <sheetName val="MVA"/>
      <sheetName val="Electricity Demand Projections"/>
      <sheetName val="CurrentState2020"/>
      <sheetName val="Contibution Balances"/>
      <sheetName val="CurrentState"/>
      <sheetName val="FreezeOnly"/>
      <sheetName val="FreezeOnly2020 (21)"/>
      <sheetName val="FreezeOnly2020 (22)"/>
      <sheetName val="FreezeOnlyNoCOLA2020"/>
      <sheetName val="FreezeOnlyNoCOLA2020 (22)"/>
      <sheetName val="FlatCutFreeze"/>
      <sheetName val="FlatCutFreeze2020"/>
      <sheetName val="FlatCutFreeze2020,1500"/>
      <sheetName val="FlatCutFreeze2020,1500,15%"/>
      <sheetName val="FlatCutFreeze2020,1500 (8.5,22)"/>
      <sheetName val="FlatCutFreeze2020,1500 (15,22)"/>
      <sheetName val="FlatCutFreeze2020,1500 (8.5.21)"/>
      <sheetName val="FlatCutFreeze2020,1500 (15, 21)"/>
      <sheetName val="MarginalCutFreeze"/>
      <sheetName val="Funding Projections"/>
      <sheetName val="Funding Projections 2020"/>
      <sheetName val="Control Parameters"/>
      <sheetName val="Exhibit"/>
      <sheetName val="Funding Projections 2020 (2)"/>
      <sheetName val="Liability Calculations 2020 (2)"/>
      <sheetName val="Liability Calculations 2020"/>
      <sheetName val="Liability Breakdown"/>
      <sheetName val="Results (2018) for 11-20"/>
      <sheetName val="Results (2020) for 3-2021"/>
      <sheetName val="ADC Results for 4-2021"/>
      <sheetName val="Results for 5-2021"/>
      <sheetName val="Update Walk 12-2020 to 5-2021"/>
      <sheetName val="ProVal-MarginalCut&amp;Freeze 4.5%"/>
      <sheetName val="MarginalCut&amp;Freeze 4.5% - split"/>
      <sheetName val="ProVal-MarginalCut&amp;Freeze1200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age Summary"/>
      <sheetName val="Sheet3"/>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03a WIP &amp; FG Valuation Memo"/>
      <sheetName val="F03b FG&amp;WIP $MSF"/>
      <sheetName val="Hyperion GL"/>
      <sheetName val="F03c FG &amp; WIP Inv - INPUT"/>
      <sheetName val="Str 1"/>
      <sheetName val="Compass Sheets Jun &amp; Jul 2011"/>
      <sheetName val="Cincinnati"/>
      <sheetName val="External Adj."/>
    </sheetNames>
    <sheetDataSet>
      <sheetData sheetId="0"/>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heetName val="Classify"/>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ility Qtrs"/>
      <sheetName val="Qtrs"/>
      <sheetName val="Month 8"/>
      <sheetName val="Month 9"/>
      <sheetName val="Month 10"/>
      <sheetName val="Month 11"/>
      <sheetName val="Month 1"/>
    </sheetNames>
    <sheetDataSet>
      <sheetData sheetId="0"/>
      <sheetData sheetId="1"/>
      <sheetData sheetId="2"/>
      <sheetData sheetId="3"/>
      <sheetData sheetId="4"/>
      <sheetData sheetId="5"/>
      <sheetData sheetId="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Walkthrough"/>
      <sheetName val="Sheet1"/>
    </sheetNames>
    <sheetDataSet>
      <sheetData sheetId="0" refreshError="1"/>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Filing Schedules &gt;&gt;"/>
      <sheetName val="A-1 &amp; A-2"/>
      <sheetName val="B-1"/>
      <sheetName val="C-2"/>
      <sheetName val="D-1 &amp; D-2_NME"/>
      <sheetName val="D-1 &amp; D-2_Federal Funding"/>
      <sheetName val="PREPA Budget Support &gt;&gt;"/>
      <sheetName val="FY26-FY28_PREPA Consolidated"/>
      <sheetName val="FY26-FY28_HoldCo Budget Proj"/>
      <sheetName val="FY26-FY28_Retiro Budget Proj"/>
      <sheetName val="FY26-FY28_HydroCo Budget Proj"/>
      <sheetName val="FY26-FY28_Riego Budget Proj"/>
      <sheetName val="F27 and FY28 Support &gt;&gt;"/>
      <sheetName val="FY27-FY28_External Audit"/>
      <sheetName val="FY27-FY28_Legal"/>
      <sheetName val="FY27-FY28_Retiree Med"/>
      <sheetName val="FY27-FY28_Security"/>
      <sheetName val="FY27-FY28_Reg &amp; Enviro"/>
      <sheetName val="FY27-FY28_Utilities"/>
      <sheetName val="FY27-FY28_IT Maint Corp"/>
      <sheetName val="FY27-FY28_Shared Services"/>
      <sheetName val="FY27-FY28_Shared Services Separ"/>
      <sheetName val="FY27-FY28_NME"/>
      <sheetName val="FY27-FY28_Federal Funding"/>
      <sheetName val="FY26 Support &gt;&gt;"/>
      <sheetName val="FY26_Labor Operating Expenses"/>
      <sheetName val="FY26_Corporate Responsibilities"/>
      <sheetName val="FY26_NME"/>
      <sheetName val="FY26_Federal Funding"/>
      <sheetName val="FY26_Shared Services"/>
      <sheetName val="FY26_Shared Services Separation"/>
      <sheetName val="FY26_KOE 200"/>
      <sheetName val="FY26_KOE 260 - Vehicles List"/>
      <sheetName val="FY26_KOE 300"/>
      <sheetName val="FY26_KOE 550"/>
      <sheetName val="FY26_KOE 510, 530, 555"/>
      <sheetName val="FY26_KOE 555s - Vehicles List"/>
      <sheetName val="HoldCo &gt;&gt;"/>
      <sheetName val="HoldCo_1"/>
      <sheetName val="HoldCo_2"/>
      <sheetName val="HoldCo_3"/>
      <sheetName val="HoldCo_4"/>
      <sheetName val="HoldCo_12"/>
      <sheetName val="HoldCo_14"/>
      <sheetName val="HoldCo_15"/>
      <sheetName val="HoldCo_22"/>
      <sheetName val="HoldCo_50"/>
      <sheetName val="HoldCo_67"/>
      <sheetName val="HoldCo_118"/>
      <sheetName val="HoldCo_172"/>
      <sheetName val="HoldCo_176"/>
      <sheetName val="HoldCo_183"/>
      <sheetName val="HoldCo_195"/>
      <sheetName val="HoldCo_218"/>
      <sheetName val="HoldCo_241"/>
      <sheetName val="HoldCo_272"/>
      <sheetName val="HoldCo_651"/>
      <sheetName val="HoldCo_666"/>
      <sheetName val="Retirement System &gt;&gt;"/>
      <sheetName val="Retiro_16"/>
      <sheetName val="HydroCo &gt;&gt;"/>
      <sheetName val="HydroCo_169"/>
      <sheetName val="HydroCo_287"/>
      <sheetName val="HydroCo_289"/>
      <sheetName val="HydroCo_306"/>
      <sheetName val="HydroCo_308"/>
      <sheetName val="HydroCo_310"/>
      <sheetName val="HydroCo_315"/>
      <sheetName val="Riego &gt;&gt;"/>
      <sheetName val="Riego_211"/>
      <sheetName val="Riego_212"/>
      <sheetName val="Riego_213"/>
      <sheetName val="Riego_214"/>
      <sheetName val="Riego_215"/>
      <sheetName val="Riego_217"/>
      <sheetName val="Internal Reference Only &gt;&gt;"/>
      <sheetName val="Consolid_FY26 Budget Requests"/>
      <sheetName val="LookUp_INTERNAL REFERENCE ONLY"/>
    </sheetNames>
    <sheetDataSet>
      <sheetData sheetId="0"/>
      <sheetData sheetId="1"/>
      <sheetData sheetId="2"/>
      <sheetData sheetId="3"/>
      <sheetData sheetId="4"/>
      <sheetData sheetId="5"/>
      <sheetData sheetId="6"/>
      <sheetData sheetId="7"/>
      <sheetData sheetId="8">
        <row r="14">
          <cell r="AD14">
            <v>105</v>
          </cell>
          <cell r="AF14">
            <v>105</v>
          </cell>
        </row>
        <row r="20">
          <cell r="AD20">
            <v>9537.4305144866194</v>
          </cell>
          <cell r="AF20">
            <v>9698.699653091131</v>
          </cell>
        </row>
        <row r="22">
          <cell r="P22">
            <v>364.57122999999996</v>
          </cell>
        </row>
        <row r="23">
          <cell r="P23">
            <v>600.38580000000002</v>
          </cell>
        </row>
        <row r="24">
          <cell r="P24">
            <v>1601.7429999999999</v>
          </cell>
        </row>
        <row r="25">
          <cell r="P25">
            <v>72</v>
          </cell>
        </row>
        <row r="26">
          <cell r="P26">
            <v>7267</v>
          </cell>
        </row>
        <row r="28">
          <cell r="P28">
            <v>6918.34</v>
          </cell>
        </row>
        <row r="29">
          <cell r="P29">
            <v>2477.5</v>
          </cell>
        </row>
        <row r="30">
          <cell r="P30">
            <v>2314.75</v>
          </cell>
        </row>
        <row r="31">
          <cell r="P31">
            <v>5486.2749999999996</v>
          </cell>
        </row>
        <row r="32">
          <cell r="P32">
            <v>1715.7292999999997</v>
          </cell>
        </row>
        <row r="33">
          <cell r="P33">
            <v>28818.294329999997</v>
          </cell>
          <cell r="AD33">
            <v>33047.421958797619</v>
          </cell>
          <cell r="AF33">
            <v>30417.451974943528</v>
          </cell>
        </row>
        <row r="34">
          <cell r="AD34">
            <v>770</v>
          </cell>
          <cell r="AF34">
            <v>270</v>
          </cell>
        </row>
        <row r="35">
          <cell r="P35">
            <v>4208.0724</v>
          </cell>
          <cell r="Z35"/>
          <cell r="AD35">
            <v>3457.5288972179396</v>
          </cell>
          <cell r="AF35">
            <v>3515.992516544718</v>
          </cell>
        </row>
        <row r="37">
          <cell r="P37">
            <v>44475.804638509988</v>
          </cell>
          <cell r="AD37">
            <v>46812.381370502175</v>
          </cell>
          <cell r="AF37">
            <v>43902.144144579375</v>
          </cell>
        </row>
        <row r="44">
          <cell r="P44">
            <v>10500</v>
          </cell>
        </row>
        <row r="47">
          <cell r="P47">
            <v>18700</v>
          </cell>
          <cell r="AF47">
            <v>7050</v>
          </cell>
        </row>
        <row r="48">
          <cell r="AF48">
            <v>0</v>
          </cell>
        </row>
        <row r="49">
          <cell r="P49">
            <v>28968.273000000001</v>
          </cell>
          <cell r="AF49">
            <v>5000</v>
          </cell>
        </row>
        <row r="50">
          <cell r="P50">
            <v>47668.273000000001</v>
          </cell>
          <cell r="AD50">
            <v>30750</v>
          </cell>
        </row>
        <row r="53">
          <cell r="P53">
            <v>6727.934895999997</v>
          </cell>
          <cell r="AD53">
            <v>0</v>
          </cell>
        </row>
        <row r="54">
          <cell r="P54">
            <v>6727.934895999997</v>
          </cell>
          <cell r="AF54">
            <v>0</v>
          </cell>
        </row>
        <row r="56">
          <cell r="P56">
            <v>64896.207896</v>
          </cell>
          <cell r="AD56">
            <v>30750</v>
          </cell>
          <cell r="AF56">
            <v>12050</v>
          </cell>
        </row>
        <row r="59">
          <cell r="P59">
            <v>109372.01253451</v>
          </cell>
          <cell r="AD59">
            <v>77562.381370502175</v>
          </cell>
          <cell r="AF59">
            <v>55952.144144579375</v>
          </cell>
        </row>
        <row r="64">
          <cell r="P64">
            <v>1000</v>
          </cell>
          <cell r="AD64">
            <v>0</v>
          </cell>
          <cell r="AF64">
            <v>0</v>
          </cell>
        </row>
        <row r="65">
          <cell r="P65">
            <v>3000</v>
          </cell>
          <cell r="AD65">
            <v>0</v>
          </cell>
          <cell r="AF65">
            <v>0</v>
          </cell>
        </row>
        <row r="66">
          <cell r="AD66">
            <v>0</v>
          </cell>
          <cell r="AF66">
            <v>0</v>
          </cell>
        </row>
      </sheetData>
      <sheetData sheetId="9">
        <row r="14">
          <cell r="AD14">
            <v>25</v>
          </cell>
          <cell r="AF14">
            <v>25</v>
          </cell>
        </row>
        <row r="20">
          <cell r="AD20">
            <v>1481.0348081425693</v>
          </cell>
          <cell r="AF20">
            <v>1506.0777384569408</v>
          </cell>
        </row>
        <row r="22">
          <cell r="P22">
            <v>33.6</v>
          </cell>
        </row>
        <row r="23">
          <cell r="P23">
            <v>50.45</v>
          </cell>
        </row>
        <row r="24">
          <cell r="P24">
            <v>7950</v>
          </cell>
        </row>
        <row r="25">
          <cell r="P25">
            <v>2368.7015000000001</v>
          </cell>
        </row>
        <row r="26">
          <cell r="P26">
            <v>40</v>
          </cell>
        </row>
        <row r="27">
          <cell r="P27">
            <v>10442.7515</v>
          </cell>
          <cell r="AD27">
            <v>10880.939254801107</v>
          </cell>
          <cell r="AF27">
            <v>11341.152372018114</v>
          </cell>
        </row>
        <row r="28">
          <cell r="P28">
            <v>11900.000468</v>
          </cell>
          <cell r="AD28">
            <v>12361.974062943676</v>
          </cell>
          <cell r="AF28">
            <v>12847.230110475055</v>
          </cell>
        </row>
        <row r="31">
          <cell r="P31">
            <v>11900.000468</v>
          </cell>
          <cell r="AD31">
            <v>12361.974062943676</v>
          </cell>
          <cell r="AF31">
            <v>12847.230110475055</v>
          </cell>
        </row>
        <row r="36">
          <cell r="P36">
            <v>307475.42200000002</v>
          </cell>
          <cell r="AD36">
            <v>298658.58064</v>
          </cell>
          <cell r="AF36">
            <v>298438.60800000001</v>
          </cell>
        </row>
        <row r="37">
          <cell r="P37">
            <v>307475.42200000002</v>
          </cell>
          <cell r="AF37">
            <v>298438.60800000001</v>
          </cell>
        </row>
      </sheetData>
      <sheetData sheetId="10">
        <row r="14">
          <cell r="AD14">
            <v>117</v>
          </cell>
          <cell r="AF14">
            <v>117</v>
          </cell>
        </row>
        <row r="20">
          <cell r="AD20">
            <v>7334.5943012131402</v>
          </cell>
          <cell r="AF20">
            <v>7458.6155145969278</v>
          </cell>
        </row>
        <row r="22">
          <cell r="P22">
            <v>1426.60385</v>
          </cell>
        </row>
        <row r="23">
          <cell r="P23">
            <v>480.37945000000002</v>
          </cell>
        </row>
        <row r="24">
          <cell r="P24">
            <v>2104.6460000000002</v>
          </cell>
        </row>
        <row r="25">
          <cell r="P25">
            <v>80</v>
          </cell>
        </row>
        <row r="26">
          <cell r="P26">
            <v>1246</v>
          </cell>
        </row>
        <row r="27">
          <cell r="P27">
            <v>0</v>
          </cell>
        </row>
        <row r="28">
          <cell r="P28">
            <v>838</v>
          </cell>
        </row>
        <row r="29">
          <cell r="P29">
            <v>414.98965000000004</v>
          </cell>
        </row>
        <row r="30">
          <cell r="P30">
            <v>6590.618950000001</v>
          </cell>
          <cell r="AD30">
            <v>6574.2236886058026</v>
          </cell>
          <cell r="AF30">
            <v>6689.8719092422043</v>
          </cell>
        </row>
        <row r="31">
          <cell r="P31">
            <v>8382.1502600000003</v>
          </cell>
          <cell r="AD31">
            <v>5969.16</v>
          </cell>
          <cell r="AF31">
            <v>5767.16</v>
          </cell>
        </row>
        <row r="32">
          <cell r="P32">
            <v>2805.3816000000006</v>
          </cell>
          <cell r="AD32">
            <v>2305.0192648119601</v>
          </cell>
          <cell r="AF32">
            <v>2343.9950110298118</v>
          </cell>
        </row>
        <row r="33">
          <cell r="P33">
            <v>24994.949441185607</v>
          </cell>
          <cell r="AD33">
            <v>22182.997254630904</v>
          </cell>
          <cell r="AF33">
            <v>22259.642434868943</v>
          </cell>
        </row>
        <row r="38">
          <cell r="P38">
            <v>2382.3296383785714</v>
          </cell>
          <cell r="AD38">
            <v>812.60902499999997</v>
          </cell>
        </row>
        <row r="39">
          <cell r="P39">
            <v>2382.3296383785714</v>
          </cell>
          <cell r="AF39">
            <v>0</v>
          </cell>
        </row>
        <row r="41">
          <cell r="P41">
            <v>2382.3296383785714</v>
          </cell>
          <cell r="AD41">
            <v>812.60902499999997</v>
          </cell>
          <cell r="AF41">
            <v>0</v>
          </cell>
        </row>
        <row r="44">
          <cell r="P44">
            <v>27377.279079564178</v>
          </cell>
          <cell r="AD44">
            <v>22995.606279630905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3">
          <cell r="G13">
            <v>2</v>
          </cell>
          <cell r="I13">
            <v>7</v>
          </cell>
          <cell r="K13">
            <v>2</v>
          </cell>
          <cell r="M13">
            <v>2</v>
          </cell>
          <cell r="O13">
            <v>1</v>
          </cell>
          <cell r="Q13">
            <v>1</v>
          </cell>
          <cell r="S13">
            <v>3</v>
          </cell>
          <cell r="U13">
            <v>10</v>
          </cell>
          <cell r="W13">
            <v>4</v>
          </cell>
          <cell r="Y13">
            <v>4</v>
          </cell>
          <cell r="AA13">
            <v>9</v>
          </cell>
          <cell r="AC13">
            <v>1</v>
          </cell>
          <cell r="AE13">
            <v>3</v>
          </cell>
          <cell r="AG13">
            <v>5</v>
          </cell>
          <cell r="AI13">
            <v>1</v>
          </cell>
          <cell r="AK13">
            <v>3</v>
          </cell>
          <cell r="AM13">
            <v>10</v>
          </cell>
          <cell r="AO13">
            <v>1</v>
          </cell>
          <cell r="AQ13">
            <v>2</v>
          </cell>
          <cell r="AS13">
            <v>4</v>
          </cell>
          <cell r="AY13">
            <v>30</v>
          </cell>
          <cell r="BA13">
            <v>105</v>
          </cell>
        </row>
        <row r="15">
          <cell r="G15">
            <v>212764.5</v>
          </cell>
          <cell r="I15">
            <v>632804.44499999995</v>
          </cell>
          <cell r="K15">
            <v>154810.5</v>
          </cell>
          <cell r="M15">
            <v>228150</v>
          </cell>
          <cell r="O15">
            <v>64934.999999999993</v>
          </cell>
          <cell r="Q15">
            <v>124800</v>
          </cell>
          <cell r="S15">
            <v>235501.5</v>
          </cell>
          <cell r="U15">
            <v>609706.5</v>
          </cell>
          <cell r="W15">
            <v>329199</v>
          </cell>
          <cell r="Y15">
            <v>245251.5</v>
          </cell>
          <cell r="AA15">
            <v>647419.5</v>
          </cell>
          <cell r="AC15">
            <v>73066.5</v>
          </cell>
          <cell r="AE15">
            <v>204750</v>
          </cell>
          <cell r="AG15">
            <v>337779</v>
          </cell>
          <cell r="AI15">
            <v>78000</v>
          </cell>
          <cell r="AK15">
            <v>120880.5</v>
          </cell>
          <cell r="AM15">
            <v>667543.5</v>
          </cell>
          <cell r="AO15">
            <v>87750</v>
          </cell>
          <cell r="AQ15">
            <v>131254.5</v>
          </cell>
          <cell r="AS15">
            <v>256893</v>
          </cell>
          <cell r="AW15">
            <v>94549.75</v>
          </cell>
          <cell r="AY15">
            <v>1869880.5</v>
          </cell>
          <cell r="BA15">
            <v>7407689.6950000003</v>
          </cell>
        </row>
        <row r="16">
          <cell r="G16">
            <v>53191.125</v>
          </cell>
          <cell r="I16">
            <v>158201.11124999999</v>
          </cell>
          <cell r="K16">
            <v>38702.625</v>
          </cell>
          <cell r="M16">
            <v>57037.5</v>
          </cell>
          <cell r="O16">
            <v>16233.749999999998</v>
          </cell>
          <cell r="Q16">
            <v>31200</v>
          </cell>
          <cell r="S16">
            <v>58875.375</v>
          </cell>
          <cell r="U16">
            <v>152426.625</v>
          </cell>
          <cell r="W16">
            <v>82299.75</v>
          </cell>
          <cell r="Y16">
            <v>61312.875</v>
          </cell>
          <cell r="AA16">
            <v>161854.875</v>
          </cell>
          <cell r="AC16">
            <v>18266.625</v>
          </cell>
          <cell r="AE16">
            <v>51187.5</v>
          </cell>
          <cell r="AG16">
            <v>84444.75</v>
          </cell>
          <cell r="AI16">
            <v>19500</v>
          </cell>
          <cell r="AK16">
            <v>30220.125</v>
          </cell>
          <cell r="AM16">
            <v>166885.875</v>
          </cell>
          <cell r="AO16">
            <v>21937.5</v>
          </cell>
          <cell r="AQ16">
            <v>32813.625</v>
          </cell>
          <cell r="AS16">
            <v>64223.25</v>
          </cell>
          <cell r="AW16">
            <v>23637.4375</v>
          </cell>
          <cell r="AY16">
            <v>467470.125</v>
          </cell>
          <cell r="BA16">
            <v>1851922.4237500001</v>
          </cell>
        </row>
        <row r="17">
          <cell r="G17">
            <v>0</v>
          </cell>
          <cell r="I17">
            <v>0</v>
          </cell>
          <cell r="K17">
            <v>0</v>
          </cell>
          <cell r="M17">
            <v>0</v>
          </cell>
          <cell r="O17">
            <v>0</v>
          </cell>
          <cell r="Q17">
            <v>0</v>
          </cell>
          <cell r="S17">
            <v>0</v>
          </cell>
          <cell r="U17">
            <v>19868.550000000003</v>
          </cell>
          <cell r="W17">
            <v>0</v>
          </cell>
          <cell r="Y17">
            <v>0</v>
          </cell>
          <cell r="AA17">
            <v>0</v>
          </cell>
          <cell r="AC17">
            <v>0</v>
          </cell>
          <cell r="AE17">
            <v>0</v>
          </cell>
          <cell r="AG17">
            <v>0</v>
          </cell>
          <cell r="AI17">
            <v>0</v>
          </cell>
          <cell r="AK17">
            <v>8412.3000000000011</v>
          </cell>
          <cell r="AM17">
            <v>0</v>
          </cell>
          <cell r="AO17">
            <v>0</v>
          </cell>
          <cell r="AQ17">
            <v>0</v>
          </cell>
          <cell r="AS17">
            <v>16716.699999999997</v>
          </cell>
          <cell r="AW17">
            <v>0</v>
          </cell>
          <cell r="AY17">
            <v>67315.698000000004</v>
          </cell>
          <cell r="BA17">
            <v>112313.24800000001</v>
          </cell>
        </row>
        <row r="18">
          <cell r="G18">
            <v>0</v>
          </cell>
          <cell r="I18">
            <v>0</v>
          </cell>
          <cell r="K18">
            <v>0</v>
          </cell>
          <cell r="M18">
            <v>0</v>
          </cell>
          <cell r="O18">
            <v>0</v>
          </cell>
          <cell r="Q18">
            <v>0</v>
          </cell>
          <cell r="S18">
            <v>0</v>
          </cell>
          <cell r="U18">
            <v>2384.2260000000001</v>
          </cell>
          <cell r="W18">
            <v>0</v>
          </cell>
          <cell r="Y18">
            <v>0</v>
          </cell>
          <cell r="AA18">
            <v>0</v>
          </cell>
          <cell r="AC18">
            <v>0</v>
          </cell>
          <cell r="AE18">
            <v>0</v>
          </cell>
          <cell r="AG18">
            <v>0</v>
          </cell>
          <cell r="AI18">
            <v>0</v>
          </cell>
          <cell r="AK18">
            <v>1009.476</v>
          </cell>
          <cell r="AM18">
            <v>0</v>
          </cell>
          <cell r="AO18">
            <v>0</v>
          </cell>
          <cell r="AQ18">
            <v>0</v>
          </cell>
          <cell r="AS18">
            <v>859.71600000000001</v>
          </cell>
          <cell r="AW18">
            <v>0</v>
          </cell>
          <cell r="AY18">
            <v>8077.8837600000006</v>
          </cell>
          <cell r="BA18">
            <v>12331.301760000002</v>
          </cell>
        </row>
        <row r="19">
          <cell r="BA19">
            <v>9384256.6685099993</v>
          </cell>
        </row>
        <row r="36">
          <cell r="I36">
            <v>22</v>
          </cell>
          <cell r="K36">
            <v>3</v>
          </cell>
          <cell r="M36">
            <v>25</v>
          </cell>
        </row>
        <row r="38">
          <cell r="M38">
            <v>1096788</v>
          </cell>
        </row>
        <row r="39">
          <cell r="M39">
            <v>274197</v>
          </cell>
        </row>
        <row r="40">
          <cell r="M40">
            <v>77021.400000000009</v>
          </cell>
        </row>
        <row r="41">
          <cell r="M41">
            <v>9242.5680000000011</v>
          </cell>
        </row>
        <row r="42">
          <cell r="M42">
            <v>1457248.9679999999</v>
          </cell>
        </row>
        <row r="59">
          <cell r="G59">
            <v>1</v>
          </cell>
          <cell r="I59">
            <v>7</v>
          </cell>
          <cell r="K59">
            <v>1</v>
          </cell>
          <cell r="M59">
            <v>14</v>
          </cell>
          <cell r="O59">
            <v>6</v>
          </cell>
          <cell r="Q59">
            <v>14</v>
          </cell>
          <cell r="S59">
            <v>7</v>
          </cell>
          <cell r="Y59">
            <v>67</v>
          </cell>
          <cell r="AA59">
            <v>117</v>
          </cell>
        </row>
        <row r="61">
          <cell r="AA61">
            <v>5153366.604166666</v>
          </cell>
        </row>
        <row r="62">
          <cell r="AA62">
            <v>1288341.6510416665</v>
          </cell>
        </row>
        <row r="63">
          <cell r="AA63">
            <v>692044.97855113633</v>
          </cell>
        </row>
        <row r="64">
          <cell r="AA64">
            <v>83045.397426136362</v>
          </cell>
        </row>
        <row r="65">
          <cell r="AA65">
            <v>7216798.6311856061</v>
          </cell>
        </row>
      </sheetData>
      <sheetData sheetId="26">
        <row r="17">
          <cell r="G17">
            <v>5486275</v>
          </cell>
        </row>
        <row r="36">
          <cell r="G36">
            <v>7267000</v>
          </cell>
        </row>
        <row r="38">
          <cell r="G38">
            <v>4000000</v>
          </cell>
        </row>
        <row r="39">
          <cell r="G39">
            <v>6500000</v>
          </cell>
        </row>
        <row r="56">
          <cell r="G56">
            <v>1601743</v>
          </cell>
        </row>
        <row r="75">
          <cell r="G75">
            <v>2314750</v>
          </cell>
        </row>
        <row r="81">
          <cell r="G81">
            <v>72000</v>
          </cell>
        </row>
        <row r="100">
          <cell r="G100">
            <v>2477500</v>
          </cell>
        </row>
      </sheetData>
      <sheetData sheetId="27">
        <row r="7">
          <cell r="F7" t="str">
            <v>Resp.</v>
          </cell>
          <cell r="J7" t="str">
            <v>(as of: 06/30/2025)</v>
          </cell>
        </row>
        <row r="8">
          <cell r="F8">
            <v>630</v>
          </cell>
          <cell r="J8">
            <v>215000</v>
          </cell>
        </row>
        <row r="9">
          <cell r="F9"/>
          <cell r="J9"/>
        </row>
        <row r="10">
          <cell r="F10">
            <v>195</v>
          </cell>
          <cell r="J10">
            <v>1500000</v>
          </cell>
        </row>
        <row r="11">
          <cell r="F11"/>
          <cell r="J11">
            <v>1000000</v>
          </cell>
        </row>
        <row r="12">
          <cell r="F12"/>
          <cell r="J12">
            <v>500000</v>
          </cell>
        </row>
        <row r="13">
          <cell r="F13"/>
          <cell r="J13"/>
        </row>
        <row r="14">
          <cell r="F14">
            <v>666</v>
          </cell>
          <cell r="J14">
            <v>230181.24</v>
          </cell>
        </row>
        <row r="15">
          <cell r="F15"/>
          <cell r="J15"/>
        </row>
        <row r="16">
          <cell r="F16" t="str">
            <v>TBD</v>
          </cell>
          <cell r="J16">
            <v>20000</v>
          </cell>
        </row>
        <row r="17">
          <cell r="F17"/>
          <cell r="J17"/>
        </row>
        <row r="18">
          <cell r="F18" t="str">
            <v>015</v>
          </cell>
          <cell r="J18">
            <v>100000</v>
          </cell>
        </row>
        <row r="19">
          <cell r="F19"/>
          <cell r="J19"/>
        </row>
        <row r="20">
          <cell r="F20"/>
          <cell r="J20">
            <v>2065181.24</v>
          </cell>
        </row>
        <row r="25">
          <cell r="J25">
            <v>3544000</v>
          </cell>
        </row>
        <row r="41">
          <cell r="J41">
            <v>311000</v>
          </cell>
        </row>
        <row r="43">
          <cell r="J43">
            <v>1030000</v>
          </cell>
        </row>
        <row r="53">
          <cell r="J53">
            <v>667150.26</v>
          </cell>
        </row>
        <row r="55">
          <cell r="J55">
            <v>2830000</v>
          </cell>
        </row>
      </sheetData>
      <sheetData sheetId="28"/>
      <sheetData sheetId="29"/>
      <sheetData sheetId="30">
        <row r="13">
          <cell r="F13">
            <v>4000000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1">
          <cell r="D1"/>
          <cell r="K1"/>
          <cell r="P1" t="str">
            <v>Totals</v>
          </cell>
        </row>
        <row r="2">
          <cell r="D2"/>
          <cell r="K2"/>
          <cell r="P2"/>
        </row>
        <row r="3">
          <cell r="D3"/>
          <cell r="K3"/>
          <cell r="P3"/>
        </row>
        <row r="4">
          <cell r="D4"/>
          <cell r="K4"/>
        </row>
        <row r="5">
          <cell r="D5"/>
          <cell r="K5"/>
        </row>
        <row r="6">
          <cell r="D6"/>
          <cell r="K6"/>
          <cell r="P6"/>
        </row>
        <row r="7">
          <cell r="D7"/>
          <cell r="K7"/>
          <cell r="P7"/>
        </row>
        <row r="8">
          <cell r="D8" t="str">
            <v>Tab</v>
          </cell>
          <cell r="K8" t="str">
            <v>FY26 Line Name</v>
          </cell>
          <cell r="P8" t="str">
            <v>FY2026</v>
          </cell>
        </row>
        <row r="9">
          <cell r="D9"/>
          <cell r="K9"/>
          <cell r="P9" t="str">
            <v>Request</v>
          </cell>
        </row>
        <row r="10">
          <cell r="D10">
            <v>1</v>
          </cell>
          <cell r="K10"/>
          <cell r="P10"/>
        </row>
        <row r="11">
          <cell r="D11"/>
          <cell r="K11"/>
          <cell r="P11"/>
        </row>
        <row r="12">
          <cell r="D12">
            <v>1</v>
          </cell>
          <cell r="K12" t="str">
            <v>Headcount</v>
          </cell>
          <cell r="P12">
            <v>0</v>
          </cell>
        </row>
        <row r="13">
          <cell r="D13">
            <v>1</v>
          </cell>
          <cell r="K13" t="str">
            <v>Headcount - Temp</v>
          </cell>
          <cell r="P13">
            <v>0</v>
          </cell>
        </row>
        <row r="14">
          <cell r="D14"/>
          <cell r="K14"/>
          <cell r="P14"/>
        </row>
        <row r="15">
          <cell r="D15">
            <v>1</v>
          </cell>
          <cell r="K15"/>
          <cell r="P15"/>
        </row>
        <row r="16">
          <cell r="D16">
            <v>1</v>
          </cell>
          <cell r="K16" t="str">
            <v>Salaries &amp; Wages</v>
          </cell>
          <cell r="P16">
            <v>0</v>
          </cell>
        </row>
        <row r="17">
          <cell r="D17">
            <v>1</v>
          </cell>
          <cell r="K17" t="str">
            <v>Pension &amp; Benefits</v>
          </cell>
          <cell r="P17">
            <v>0</v>
          </cell>
        </row>
        <row r="18">
          <cell r="D18">
            <v>1</v>
          </cell>
          <cell r="K18" t="str">
            <v>Overtime Salary</v>
          </cell>
          <cell r="P18">
            <v>0</v>
          </cell>
        </row>
        <row r="19">
          <cell r="D19">
            <v>1</v>
          </cell>
          <cell r="K19" t="str">
            <v>Overtime Benefits</v>
          </cell>
          <cell r="P19">
            <v>0</v>
          </cell>
        </row>
        <row r="20">
          <cell r="D20">
            <v>1</v>
          </cell>
          <cell r="K20"/>
          <cell r="P20">
            <v>0</v>
          </cell>
        </row>
        <row r="21">
          <cell r="D21"/>
          <cell r="K21"/>
          <cell r="P21"/>
        </row>
        <row r="22">
          <cell r="D22">
            <v>1</v>
          </cell>
          <cell r="K22"/>
          <cell r="P22"/>
        </row>
        <row r="23">
          <cell r="D23">
            <v>1</v>
          </cell>
          <cell r="K23" t="str">
            <v>Salaries &amp; Wages</v>
          </cell>
          <cell r="P23">
            <v>0</v>
          </cell>
        </row>
        <row r="24">
          <cell r="D24">
            <v>1</v>
          </cell>
          <cell r="K24" t="str">
            <v>Pension &amp; Benefits</v>
          </cell>
          <cell r="P24">
            <v>0</v>
          </cell>
        </row>
        <row r="25">
          <cell r="D25">
            <v>1</v>
          </cell>
          <cell r="K25" t="str">
            <v>Overtime Salary</v>
          </cell>
          <cell r="P25">
            <v>0</v>
          </cell>
        </row>
        <row r="26">
          <cell r="D26">
            <v>1</v>
          </cell>
          <cell r="K26" t="str">
            <v>Overtime Benefits</v>
          </cell>
          <cell r="P26">
            <v>0</v>
          </cell>
        </row>
        <row r="27">
          <cell r="D27">
            <v>1</v>
          </cell>
          <cell r="K27"/>
          <cell r="P27">
            <v>0</v>
          </cell>
        </row>
        <row r="28">
          <cell r="D28"/>
          <cell r="K28"/>
          <cell r="P28"/>
        </row>
        <row r="29">
          <cell r="D29">
            <v>1</v>
          </cell>
          <cell r="K29"/>
          <cell r="P29"/>
        </row>
        <row r="30">
          <cell r="D30">
            <v>1</v>
          </cell>
          <cell r="K30" t="str">
            <v>Materials &amp; Supplies</v>
          </cell>
          <cell r="P30">
            <v>8180.64</v>
          </cell>
        </row>
        <row r="31">
          <cell r="D31">
            <v>1</v>
          </cell>
          <cell r="K31" t="str">
            <v>Transportation, Per Diem, and Mileage</v>
          </cell>
          <cell r="P31">
            <v>5593</v>
          </cell>
        </row>
        <row r="32">
          <cell r="D32">
            <v>1</v>
          </cell>
          <cell r="K32" t="str">
            <v>Transportation, Per Diem, and Mileage</v>
          </cell>
          <cell r="P32">
            <v>615</v>
          </cell>
        </row>
        <row r="33">
          <cell r="D33">
            <v>1</v>
          </cell>
          <cell r="K33" t="str">
            <v>Transportation, Per Diem, and Mileage</v>
          </cell>
          <cell r="P33">
            <v>1575</v>
          </cell>
        </row>
        <row r="34">
          <cell r="D34">
            <v>1</v>
          </cell>
          <cell r="K34" t="str">
            <v>Transportation, Per Diem, and Mileage</v>
          </cell>
          <cell r="P34">
            <v>5000</v>
          </cell>
        </row>
        <row r="35">
          <cell r="D35">
            <v>1</v>
          </cell>
          <cell r="K35" t="str">
            <v>Transportation, Per Diem, and Mileage</v>
          </cell>
          <cell r="P35">
            <v>500</v>
          </cell>
        </row>
        <row r="36">
          <cell r="D36">
            <v>1</v>
          </cell>
          <cell r="K36" t="str">
            <v>Transportation, Per Diem, and Mileage</v>
          </cell>
          <cell r="P36">
            <v>1500</v>
          </cell>
        </row>
        <row r="37">
          <cell r="D37">
            <v>1</v>
          </cell>
          <cell r="K37" t="str">
            <v>Equipment, Inspections, Repairs &amp; Other O&amp;M</v>
          </cell>
          <cell r="P37">
            <v>0</v>
          </cell>
        </row>
        <row r="38">
          <cell r="D38">
            <v>1</v>
          </cell>
          <cell r="K38" t="str">
            <v>Equipment, Inspections, Repairs &amp; Other O&amp;M</v>
          </cell>
          <cell r="P38">
            <v>0</v>
          </cell>
        </row>
        <row r="39">
          <cell r="D39">
            <v>1</v>
          </cell>
          <cell r="K39" t="str">
            <v>Professional &amp; Technical Outsourced Services</v>
          </cell>
          <cell r="P39">
            <v>1310000</v>
          </cell>
        </row>
        <row r="40">
          <cell r="D40">
            <v>1</v>
          </cell>
          <cell r="K40" t="str">
            <v>Equipment, Inspections, Repairs &amp; Other O&amp;M</v>
          </cell>
          <cell r="P40">
            <v>250000</v>
          </cell>
        </row>
        <row r="41">
          <cell r="D41">
            <v>1</v>
          </cell>
          <cell r="K41"/>
          <cell r="P41">
            <v>1582963.64</v>
          </cell>
        </row>
        <row r="42">
          <cell r="D42"/>
          <cell r="K42"/>
          <cell r="P42"/>
        </row>
        <row r="43">
          <cell r="D43">
            <v>1</v>
          </cell>
          <cell r="K43"/>
          <cell r="P43">
            <v>1582963.64</v>
          </cell>
        </row>
        <row r="44">
          <cell r="D44"/>
          <cell r="K44"/>
        </row>
        <row r="45">
          <cell r="D45">
            <v>2</v>
          </cell>
          <cell r="K45"/>
          <cell r="P45"/>
        </row>
        <row r="46">
          <cell r="D46"/>
          <cell r="K46"/>
          <cell r="P46"/>
        </row>
        <row r="47">
          <cell r="D47">
            <v>2</v>
          </cell>
          <cell r="K47" t="str">
            <v>Headcount</v>
          </cell>
          <cell r="P47">
            <v>0</v>
          </cell>
        </row>
        <row r="48">
          <cell r="D48">
            <v>2</v>
          </cell>
          <cell r="K48" t="str">
            <v>Headcount - Temp</v>
          </cell>
          <cell r="P48">
            <v>0</v>
          </cell>
        </row>
        <row r="50">
          <cell r="D50">
            <v>2</v>
          </cell>
          <cell r="K50"/>
          <cell r="P50"/>
        </row>
        <row r="51">
          <cell r="D51">
            <v>2</v>
          </cell>
          <cell r="K51" t="str">
            <v>Salaries &amp; Wages</v>
          </cell>
          <cell r="P51">
            <v>0</v>
          </cell>
        </row>
        <row r="52">
          <cell r="D52">
            <v>2</v>
          </cell>
          <cell r="K52" t="str">
            <v>Pension &amp; Benefits</v>
          </cell>
          <cell r="P52">
            <v>0</v>
          </cell>
        </row>
        <row r="53">
          <cell r="D53">
            <v>2</v>
          </cell>
          <cell r="K53" t="str">
            <v>Overtime Salary</v>
          </cell>
          <cell r="P53">
            <v>0</v>
          </cell>
        </row>
        <row r="54">
          <cell r="D54">
            <v>2</v>
          </cell>
          <cell r="K54" t="str">
            <v>Overtime Benefits</v>
          </cell>
          <cell r="P54">
            <v>0</v>
          </cell>
        </row>
        <row r="55">
          <cell r="D55">
            <v>2</v>
          </cell>
          <cell r="K55"/>
          <cell r="P55">
            <v>0</v>
          </cell>
        </row>
        <row r="56">
          <cell r="D56"/>
          <cell r="K56"/>
          <cell r="P56"/>
        </row>
        <row r="57">
          <cell r="D57">
            <v>2</v>
          </cell>
          <cell r="K57"/>
          <cell r="P57"/>
        </row>
        <row r="58">
          <cell r="D58">
            <v>2</v>
          </cell>
          <cell r="K58" t="str">
            <v>Salaries &amp; Wages</v>
          </cell>
          <cell r="P58">
            <v>0</v>
          </cell>
        </row>
        <row r="59">
          <cell r="D59">
            <v>2</v>
          </cell>
          <cell r="K59" t="str">
            <v>Pension &amp; Benefits</v>
          </cell>
          <cell r="P59">
            <v>0</v>
          </cell>
        </row>
        <row r="60">
          <cell r="D60">
            <v>2</v>
          </cell>
          <cell r="K60" t="str">
            <v>Overtime Salary</v>
          </cell>
          <cell r="P60">
            <v>0</v>
          </cell>
        </row>
        <row r="61">
          <cell r="D61">
            <v>2</v>
          </cell>
          <cell r="K61" t="str">
            <v>Overtime Benefits</v>
          </cell>
          <cell r="P61">
            <v>0</v>
          </cell>
        </row>
        <row r="62">
          <cell r="D62">
            <v>2</v>
          </cell>
          <cell r="K62"/>
          <cell r="P62">
            <v>0</v>
          </cell>
        </row>
        <row r="63">
          <cell r="D63"/>
          <cell r="K63"/>
          <cell r="P63"/>
        </row>
        <row r="64">
          <cell r="D64">
            <v>2</v>
          </cell>
          <cell r="K64"/>
          <cell r="P64"/>
        </row>
        <row r="65">
          <cell r="D65">
            <v>2</v>
          </cell>
          <cell r="K65" t="str">
            <v>Materials &amp; Supplies</v>
          </cell>
          <cell r="P65">
            <v>28335.629999999997</v>
          </cell>
        </row>
        <row r="66">
          <cell r="D66">
            <v>2</v>
          </cell>
          <cell r="K66" t="str">
            <v>Transportation, Per Diem, and Mileage</v>
          </cell>
          <cell r="P66">
            <v>22387.200000000001</v>
          </cell>
        </row>
        <row r="67">
          <cell r="D67">
            <v>2</v>
          </cell>
          <cell r="K67" t="str">
            <v>Transportation, Per Diem, and Mileage</v>
          </cell>
          <cell r="P67">
            <v>14465</v>
          </cell>
        </row>
        <row r="68">
          <cell r="D68">
            <v>2</v>
          </cell>
          <cell r="K68" t="str">
            <v>Transportation, Per Diem, and Mileage</v>
          </cell>
          <cell r="P68">
            <v>1500</v>
          </cell>
        </row>
        <row r="69">
          <cell r="D69">
            <v>2</v>
          </cell>
          <cell r="K69" t="str">
            <v>Transportation, Per Diem, and Mileage</v>
          </cell>
          <cell r="P69">
            <v>8000</v>
          </cell>
        </row>
        <row r="70">
          <cell r="D70">
            <v>2</v>
          </cell>
          <cell r="K70" t="str">
            <v>Transportation, Per Diem, and Mileage</v>
          </cell>
          <cell r="P70">
            <v>1000</v>
          </cell>
        </row>
        <row r="71">
          <cell r="D71">
            <v>2</v>
          </cell>
          <cell r="K71" t="str">
            <v>Transportation, Per Diem, and Mileage</v>
          </cell>
          <cell r="P71">
            <v>3000</v>
          </cell>
        </row>
        <row r="72">
          <cell r="D72">
            <v>2</v>
          </cell>
          <cell r="K72" t="str">
            <v>Equipment, Inspections, Repairs &amp; Other O&amp;M</v>
          </cell>
          <cell r="P72">
            <v>0</v>
          </cell>
        </row>
        <row r="73">
          <cell r="D73">
            <v>2</v>
          </cell>
          <cell r="K73" t="str">
            <v>Equipment, Inspections, Repairs &amp; Other O&amp;M</v>
          </cell>
          <cell r="P73">
            <v>300</v>
          </cell>
        </row>
        <row r="74">
          <cell r="D74">
            <v>2</v>
          </cell>
          <cell r="K74" t="str">
            <v>Professional &amp; Technical Outsourced Services</v>
          </cell>
          <cell r="P74">
            <v>2010000</v>
          </cell>
        </row>
        <row r="75">
          <cell r="D75">
            <v>2</v>
          </cell>
          <cell r="K75" t="str">
            <v>Equipment, Inspections, Repairs &amp; Other O&amp;M</v>
          </cell>
          <cell r="P75">
            <v>4000</v>
          </cell>
        </row>
        <row r="76">
          <cell r="D76">
            <v>2</v>
          </cell>
          <cell r="K76"/>
          <cell r="P76">
            <v>2092987.83</v>
          </cell>
        </row>
        <row r="77">
          <cell r="D77"/>
          <cell r="K77"/>
          <cell r="P77"/>
        </row>
        <row r="78">
          <cell r="D78">
            <v>2</v>
          </cell>
          <cell r="K78"/>
          <cell r="P78">
            <v>2092987.83</v>
          </cell>
        </row>
        <row r="79">
          <cell r="D79"/>
          <cell r="K79"/>
        </row>
        <row r="80">
          <cell r="D80">
            <v>3</v>
          </cell>
          <cell r="K80"/>
          <cell r="P80"/>
        </row>
        <row r="82">
          <cell r="D82">
            <v>3</v>
          </cell>
          <cell r="K82" t="str">
            <v>Headcount</v>
          </cell>
          <cell r="P82">
            <v>0</v>
          </cell>
        </row>
        <row r="83">
          <cell r="D83">
            <v>3</v>
          </cell>
          <cell r="K83" t="str">
            <v>Headcount - Temp</v>
          </cell>
          <cell r="P83">
            <v>0</v>
          </cell>
        </row>
        <row r="84">
          <cell r="D84"/>
          <cell r="K84"/>
          <cell r="P84"/>
        </row>
        <row r="85">
          <cell r="D85">
            <v>3</v>
          </cell>
          <cell r="K85"/>
          <cell r="P85"/>
        </row>
        <row r="86">
          <cell r="D86">
            <v>3</v>
          </cell>
          <cell r="K86" t="str">
            <v>Salaries &amp; Wages</v>
          </cell>
          <cell r="P86">
            <v>0</v>
          </cell>
        </row>
        <row r="87">
          <cell r="D87">
            <v>3</v>
          </cell>
          <cell r="K87" t="str">
            <v>Pension &amp; Benefits</v>
          </cell>
          <cell r="P87">
            <v>0</v>
          </cell>
        </row>
        <row r="88">
          <cell r="D88">
            <v>3</v>
          </cell>
          <cell r="K88" t="str">
            <v>Overtime Salary</v>
          </cell>
          <cell r="P88">
            <v>0</v>
          </cell>
        </row>
        <row r="89">
          <cell r="D89">
            <v>3</v>
          </cell>
          <cell r="K89" t="str">
            <v>Overtime Benefits</v>
          </cell>
          <cell r="P89">
            <v>0</v>
          </cell>
        </row>
        <row r="90">
          <cell r="D90">
            <v>3</v>
          </cell>
          <cell r="K90"/>
          <cell r="P90">
            <v>0</v>
          </cell>
        </row>
        <row r="91">
          <cell r="D91"/>
          <cell r="K91"/>
          <cell r="P91"/>
        </row>
        <row r="92">
          <cell r="D92">
            <v>3</v>
          </cell>
          <cell r="K92"/>
          <cell r="P92"/>
        </row>
        <row r="93">
          <cell r="D93">
            <v>3</v>
          </cell>
          <cell r="K93" t="str">
            <v>Salaries &amp; Wages</v>
          </cell>
          <cell r="P93">
            <v>0</v>
          </cell>
        </row>
        <row r="94">
          <cell r="D94">
            <v>3</v>
          </cell>
          <cell r="K94" t="str">
            <v>Pension &amp; Benefits</v>
          </cell>
          <cell r="P94">
            <v>0</v>
          </cell>
        </row>
        <row r="95">
          <cell r="D95">
            <v>3</v>
          </cell>
          <cell r="K95" t="str">
            <v>Overtime Salary</v>
          </cell>
          <cell r="P95">
            <v>0</v>
          </cell>
        </row>
        <row r="96">
          <cell r="D96">
            <v>3</v>
          </cell>
          <cell r="K96" t="str">
            <v>Overtime Benefits</v>
          </cell>
          <cell r="P96">
            <v>0</v>
          </cell>
        </row>
        <row r="97">
          <cell r="D97">
            <v>3</v>
          </cell>
          <cell r="K97"/>
          <cell r="P97">
            <v>0</v>
          </cell>
        </row>
        <row r="98">
          <cell r="D98"/>
          <cell r="K98"/>
          <cell r="P98"/>
        </row>
        <row r="99">
          <cell r="D99"/>
          <cell r="K99"/>
          <cell r="P99"/>
        </row>
        <row r="100">
          <cell r="D100">
            <v>3</v>
          </cell>
          <cell r="K100" t="str">
            <v>Materials &amp; Supplies</v>
          </cell>
          <cell r="P100">
            <v>7459.13</v>
          </cell>
        </row>
        <row r="101">
          <cell r="D101">
            <v>3</v>
          </cell>
          <cell r="K101" t="str">
            <v>Transportation, Per Diem, and Mileage</v>
          </cell>
          <cell r="P101">
            <v>0</v>
          </cell>
        </row>
        <row r="102">
          <cell r="D102">
            <v>3</v>
          </cell>
          <cell r="K102" t="str">
            <v>Transportation, Per Diem, and Mileage</v>
          </cell>
          <cell r="P102">
            <v>2225</v>
          </cell>
        </row>
        <row r="103">
          <cell r="D103">
            <v>3</v>
          </cell>
          <cell r="K103" t="str">
            <v>Transportation, Per Diem, and Mileage</v>
          </cell>
          <cell r="P103">
            <v>750</v>
          </cell>
        </row>
        <row r="104">
          <cell r="D104">
            <v>3</v>
          </cell>
          <cell r="K104" t="str">
            <v>Transportation, Per Diem, and Mileage</v>
          </cell>
          <cell r="P104">
            <v>0</v>
          </cell>
        </row>
        <row r="105">
          <cell r="D105">
            <v>3</v>
          </cell>
          <cell r="K105" t="str">
            <v>Transportation, Per Diem, and Mileage</v>
          </cell>
          <cell r="P105">
            <v>0</v>
          </cell>
        </row>
        <row r="106">
          <cell r="D106">
            <v>3</v>
          </cell>
          <cell r="K106" t="str">
            <v>Transportation, Per Diem, and Mileage</v>
          </cell>
          <cell r="P106">
            <v>0</v>
          </cell>
        </row>
        <row r="107">
          <cell r="D107">
            <v>3</v>
          </cell>
          <cell r="K107" t="str">
            <v>Equipment, Inspections, Repairs &amp; Other O&amp;M</v>
          </cell>
          <cell r="P107">
            <v>0</v>
          </cell>
        </row>
        <row r="108">
          <cell r="D108">
            <v>3</v>
          </cell>
          <cell r="K108" t="str">
            <v>Equipment, Inspections, Repairs &amp; Other O&amp;M</v>
          </cell>
          <cell r="P108">
            <v>0</v>
          </cell>
        </row>
        <row r="109">
          <cell r="D109">
            <v>3</v>
          </cell>
          <cell r="K109" t="str">
            <v>Professional &amp; Technical Outsourced Services</v>
          </cell>
          <cell r="P109">
            <v>0</v>
          </cell>
        </row>
        <row r="110">
          <cell r="D110">
            <v>3</v>
          </cell>
          <cell r="K110" t="str">
            <v>Equipment, Inspections, Repairs &amp; Other O&amp;M</v>
          </cell>
          <cell r="P110">
            <v>1000</v>
          </cell>
        </row>
        <row r="111">
          <cell r="D111">
            <v>3</v>
          </cell>
          <cell r="K111"/>
          <cell r="P111">
            <v>11434.130000000001</v>
          </cell>
        </row>
        <row r="113">
          <cell r="D113">
            <v>3</v>
          </cell>
          <cell r="K113"/>
          <cell r="P113">
            <v>11434.130000000001</v>
          </cell>
        </row>
        <row r="114">
          <cell r="D114"/>
          <cell r="K114"/>
        </row>
        <row r="115">
          <cell r="D115">
            <v>4</v>
          </cell>
          <cell r="K115"/>
          <cell r="P115"/>
        </row>
        <row r="116">
          <cell r="D116"/>
          <cell r="K116"/>
          <cell r="P116"/>
        </row>
        <row r="117">
          <cell r="D117">
            <v>4</v>
          </cell>
          <cell r="K117" t="str">
            <v>Headcount</v>
          </cell>
          <cell r="P117">
            <v>0</v>
          </cell>
        </row>
        <row r="118">
          <cell r="D118">
            <v>4</v>
          </cell>
          <cell r="K118" t="str">
            <v>Headcount - Temp</v>
          </cell>
          <cell r="P118">
            <v>0</v>
          </cell>
        </row>
        <row r="119">
          <cell r="D119"/>
          <cell r="K119"/>
          <cell r="P119"/>
        </row>
        <row r="120">
          <cell r="D120">
            <v>4</v>
          </cell>
          <cell r="K120"/>
          <cell r="P120"/>
        </row>
        <row r="121">
          <cell r="D121">
            <v>4</v>
          </cell>
          <cell r="K121" t="str">
            <v>Salaries &amp; Wages</v>
          </cell>
          <cell r="P121">
            <v>0</v>
          </cell>
        </row>
        <row r="122">
          <cell r="D122">
            <v>4</v>
          </cell>
          <cell r="K122" t="str">
            <v>Pension &amp; Benefits</v>
          </cell>
          <cell r="P122">
            <v>0</v>
          </cell>
        </row>
        <row r="123">
          <cell r="D123">
            <v>4</v>
          </cell>
          <cell r="K123" t="str">
            <v>Overtime Salary</v>
          </cell>
          <cell r="P123">
            <v>0</v>
          </cell>
        </row>
        <row r="124">
          <cell r="D124">
            <v>4</v>
          </cell>
          <cell r="K124" t="str">
            <v>Overtime Benefits</v>
          </cell>
          <cell r="P124">
            <v>0</v>
          </cell>
        </row>
        <row r="125">
          <cell r="D125">
            <v>4</v>
          </cell>
          <cell r="K125"/>
          <cell r="P125">
            <v>0</v>
          </cell>
        </row>
        <row r="126">
          <cell r="D126"/>
          <cell r="K126"/>
          <cell r="P126"/>
        </row>
        <row r="127">
          <cell r="D127">
            <v>4</v>
          </cell>
          <cell r="K127"/>
          <cell r="P127"/>
        </row>
        <row r="128">
          <cell r="D128">
            <v>4</v>
          </cell>
          <cell r="K128" t="str">
            <v>Salaries &amp; Wages</v>
          </cell>
          <cell r="P128">
            <v>0</v>
          </cell>
        </row>
        <row r="129">
          <cell r="D129">
            <v>4</v>
          </cell>
          <cell r="K129" t="str">
            <v>Pension &amp; Benefits</v>
          </cell>
          <cell r="P129">
            <v>0</v>
          </cell>
        </row>
        <row r="130">
          <cell r="D130">
            <v>4</v>
          </cell>
          <cell r="K130" t="str">
            <v>Overtime Salary</v>
          </cell>
          <cell r="P130">
            <v>0</v>
          </cell>
        </row>
        <row r="131">
          <cell r="D131">
            <v>4</v>
          </cell>
          <cell r="K131" t="str">
            <v>Overtime Benefits</v>
          </cell>
          <cell r="P131">
            <v>0</v>
          </cell>
        </row>
        <row r="132">
          <cell r="D132">
            <v>4</v>
          </cell>
          <cell r="K132"/>
          <cell r="P132">
            <v>0</v>
          </cell>
        </row>
        <row r="133">
          <cell r="D133"/>
          <cell r="K133"/>
          <cell r="P133"/>
        </row>
        <row r="134">
          <cell r="D134">
            <v>4</v>
          </cell>
          <cell r="K134"/>
          <cell r="P134"/>
        </row>
        <row r="135">
          <cell r="D135">
            <v>4</v>
          </cell>
          <cell r="K135" t="str">
            <v>Materials &amp; Supplies</v>
          </cell>
          <cell r="P135">
            <v>7230.38</v>
          </cell>
        </row>
        <row r="136">
          <cell r="D136">
            <v>4</v>
          </cell>
          <cell r="K136" t="str">
            <v>Transportation, Per Diem, and Mileage</v>
          </cell>
          <cell r="P136">
            <v>0</v>
          </cell>
        </row>
        <row r="137">
          <cell r="D137">
            <v>4</v>
          </cell>
          <cell r="K137" t="str">
            <v>Transportation, Per Diem, and Mileage</v>
          </cell>
          <cell r="P137">
            <v>1825</v>
          </cell>
        </row>
        <row r="138">
          <cell r="D138">
            <v>4</v>
          </cell>
          <cell r="K138" t="str">
            <v>Transportation, Per Diem, and Mileage</v>
          </cell>
          <cell r="P138">
            <v>800</v>
          </cell>
        </row>
        <row r="139">
          <cell r="D139">
            <v>4</v>
          </cell>
          <cell r="K139" t="str">
            <v>Transportation, Per Diem, and Mileage</v>
          </cell>
          <cell r="P139">
            <v>0</v>
          </cell>
        </row>
        <row r="140">
          <cell r="D140">
            <v>4</v>
          </cell>
          <cell r="K140" t="str">
            <v>Transportation, Per Diem, and Mileage</v>
          </cell>
          <cell r="P140">
            <v>0</v>
          </cell>
        </row>
        <row r="141">
          <cell r="D141">
            <v>4</v>
          </cell>
          <cell r="K141" t="str">
            <v>Transportation, Per Diem, and Mileage</v>
          </cell>
          <cell r="P141">
            <v>0</v>
          </cell>
        </row>
        <row r="142">
          <cell r="D142">
            <v>4</v>
          </cell>
          <cell r="K142" t="str">
            <v>Equipment, Inspections, Repairs &amp; Other O&amp;M</v>
          </cell>
          <cell r="P142">
            <v>0</v>
          </cell>
        </row>
        <row r="143">
          <cell r="D143">
            <v>4</v>
          </cell>
          <cell r="K143" t="str">
            <v>Equipment, Inspections, Repairs &amp; Other O&amp;M</v>
          </cell>
          <cell r="P143">
            <v>0</v>
          </cell>
        </row>
        <row r="144">
          <cell r="D144">
            <v>4</v>
          </cell>
          <cell r="K144" t="str">
            <v>Professional &amp; Technical Outsourced Services</v>
          </cell>
          <cell r="P144">
            <v>0</v>
          </cell>
        </row>
        <row r="145">
          <cell r="D145">
            <v>4</v>
          </cell>
          <cell r="K145" t="str">
            <v>Equipment, Inspections, Repairs &amp; Other O&amp;M</v>
          </cell>
          <cell r="P145">
            <v>0</v>
          </cell>
        </row>
        <row r="146">
          <cell r="D146">
            <v>4</v>
          </cell>
          <cell r="K146"/>
          <cell r="P146">
            <v>9855.380000000001</v>
          </cell>
        </row>
        <row r="147">
          <cell r="D147"/>
          <cell r="K147"/>
          <cell r="P147"/>
        </row>
        <row r="148">
          <cell r="D148">
            <v>4</v>
          </cell>
          <cell r="K148"/>
          <cell r="P148">
            <v>9855.380000000001</v>
          </cell>
        </row>
        <row r="149">
          <cell r="D149"/>
          <cell r="K149"/>
        </row>
        <row r="150">
          <cell r="D150">
            <v>12</v>
          </cell>
          <cell r="K150"/>
          <cell r="P150"/>
        </row>
        <row r="151">
          <cell r="D151"/>
          <cell r="K151"/>
          <cell r="P151"/>
        </row>
        <row r="152">
          <cell r="D152">
            <v>12</v>
          </cell>
          <cell r="K152" t="str">
            <v>Headcount</v>
          </cell>
          <cell r="P152">
            <v>0</v>
          </cell>
        </row>
        <row r="153">
          <cell r="D153">
            <v>12</v>
          </cell>
          <cell r="K153" t="str">
            <v>Headcount - Temp</v>
          </cell>
          <cell r="P153">
            <v>0</v>
          </cell>
        </row>
        <row r="154">
          <cell r="D154"/>
          <cell r="K154"/>
          <cell r="P154"/>
        </row>
        <row r="155">
          <cell r="D155">
            <v>12</v>
          </cell>
          <cell r="K155"/>
          <cell r="P155"/>
        </row>
        <row r="156">
          <cell r="D156">
            <v>12</v>
          </cell>
          <cell r="K156" t="str">
            <v>Salaries &amp; Wages</v>
          </cell>
          <cell r="P156">
            <v>0</v>
          </cell>
        </row>
        <row r="157">
          <cell r="D157">
            <v>12</v>
          </cell>
          <cell r="K157" t="str">
            <v>Pension &amp; Benefits</v>
          </cell>
          <cell r="P157">
            <v>0</v>
          </cell>
        </row>
        <row r="158">
          <cell r="D158">
            <v>12</v>
          </cell>
          <cell r="K158" t="str">
            <v>Overtime Salary</v>
          </cell>
          <cell r="P158">
            <v>0</v>
          </cell>
        </row>
        <row r="159">
          <cell r="D159">
            <v>12</v>
          </cell>
          <cell r="K159" t="str">
            <v>Overtime Benefits</v>
          </cell>
          <cell r="P159">
            <v>0</v>
          </cell>
        </row>
        <row r="160">
          <cell r="D160">
            <v>12</v>
          </cell>
          <cell r="K160"/>
          <cell r="P160">
            <v>0</v>
          </cell>
        </row>
        <row r="161">
          <cell r="P161"/>
        </row>
        <row r="162">
          <cell r="D162">
            <v>12</v>
          </cell>
          <cell r="K162"/>
          <cell r="P162"/>
        </row>
        <row r="163">
          <cell r="D163">
            <v>12</v>
          </cell>
          <cell r="K163" t="str">
            <v>Salaries &amp; Wages</v>
          </cell>
          <cell r="P163">
            <v>0</v>
          </cell>
        </row>
        <row r="164">
          <cell r="D164">
            <v>12</v>
          </cell>
          <cell r="K164" t="str">
            <v>Pension &amp; Benefits</v>
          </cell>
          <cell r="P164">
            <v>0</v>
          </cell>
        </row>
        <row r="165">
          <cell r="D165">
            <v>12</v>
          </cell>
          <cell r="K165" t="str">
            <v>Overtime Salary</v>
          </cell>
          <cell r="P165">
            <v>0</v>
          </cell>
        </row>
        <row r="166">
          <cell r="D166">
            <v>12</v>
          </cell>
          <cell r="K166" t="str">
            <v>Overtime Benefits</v>
          </cell>
          <cell r="P166">
            <v>0</v>
          </cell>
        </row>
        <row r="167">
          <cell r="D167">
            <v>12</v>
          </cell>
          <cell r="K167"/>
          <cell r="P167">
            <v>0</v>
          </cell>
        </row>
        <row r="168">
          <cell r="D168"/>
          <cell r="K168"/>
          <cell r="P168"/>
        </row>
        <row r="169">
          <cell r="D169">
            <v>12</v>
          </cell>
          <cell r="K169"/>
          <cell r="P169"/>
        </row>
        <row r="170">
          <cell r="D170">
            <v>12</v>
          </cell>
          <cell r="K170" t="str">
            <v>Materials &amp; Supplies</v>
          </cell>
          <cell r="P170">
            <v>7960.9000000000005</v>
          </cell>
        </row>
        <row r="171">
          <cell r="D171">
            <v>12</v>
          </cell>
          <cell r="K171" t="str">
            <v>Transportation, Per Diem, and Mileage</v>
          </cell>
          <cell r="P171">
            <v>5596.8</v>
          </cell>
        </row>
        <row r="172">
          <cell r="D172">
            <v>12</v>
          </cell>
          <cell r="K172" t="str">
            <v>Transportation, Per Diem, and Mileage</v>
          </cell>
          <cell r="P172">
            <v>8180</v>
          </cell>
        </row>
        <row r="173">
          <cell r="D173">
            <v>12</v>
          </cell>
          <cell r="K173" t="str">
            <v>Transportation, Per Diem, and Mileage</v>
          </cell>
          <cell r="P173">
            <v>5500</v>
          </cell>
        </row>
        <row r="174">
          <cell r="D174">
            <v>12</v>
          </cell>
          <cell r="K174" t="str">
            <v>Transportation, Per Diem, and Mileage</v>
          </cell>
          <cell r="P174">
            <v>2000</v>
          </cell>
        </row>
        <row r="175">
          <cell r="D175">
            <v>12</v>
          </cell>
          <cell r="K175" t="str">
            <v>Transportation, Per Diem, and Mileage</v>
          </cell>
          <cell r="P175">
            <v>500</v>
          </cell>
        </row>
        <row r="176">
          <cell r="D176">
            <v>12</v>
          </cell>
          <cell r="K176" t="str">
            <v>Transportation, Per Diem, and Mileage</v>
          </cell>
          <cell r="P176">
            <v>1500</v>
          </cell>
        </row>
        <row r="177">
          <cell r="D177">
            <v>12</v>
          </cell>
          <cell r="K177" t="str">
            <v>Equipment, Inspections, Repairs &amp; Other O&amp;M</v>
          </cell>
          <cell r="P177">
            <v>0</v>
          </cell>
        </row>
        <row r="178">
          <cell r="D178">
            <v>12</v>
          </cell>
          <cell r="K178" t="str">
            <v>Equipment, Inspections, Repairs &amp; Other O&amp;M</v>
          </cell>
          <cell r="P178">
            <v>0</v>
          </cell>
        </row>
        <row r="179">
          <cell r="D179">
            <v>12</v>
          </cell>
          <cell r="K179" t="str">
            <v>Professional &amp; Technical Outsourced Services</v>
          </cell>
          <cell r="P179">
            <v>50000</v>
          </cell>
        </row>
        <row r="180">
          <cell r="D180">
            <v>12</v>
          </cell>
          <cell r="K180" t="str">
            <v>Equipment, Inspections, Repairs &amp; Other O&amp;M</v>
          </cell>
          <cell r="P180">
            <v>7675</v>
          </cell>
        </row>
        <row r="181">
          <cell r="D181">
            <v>12</v>
          </cell>
          <cell r="K181"/>
          <cell r="P181">
            <v>88912.7</v>
          </cell>
        </row>
        <row r="182">
          <cell r="D182">
            <v>12</v>
          </cell>
          <cell r="K182"/>
          <cell r="P182"/>
        </row>
        <row r="183">
          <cell r="D183">
            <v>12</v>
          </cell>
          <cell r="K183"/>
          <cell r="P183">
            <v>88912.7</v>
          </cell>
        </row>
        <row r="184">
          <cell r="D184"/>
          <cell r="K184"/>
        </row>
        <row r="185">
          <cell r="D185"/>
          <cell r="K185"/>
        </row>
        <row r="186">
          <cell r="D186">
            <v>14</v>
          </cell>
          <cell r="K186"/>
          <cell r="P186"/>
        </row>
        <row r="187">
          <cell r="D187"/>
          <cell r="K187"/>
          <cell r="P187"/>
        </row>
        <row r="188">
          <cell r="D188">
            <v>14</v>
          </cell>
          <cell r="K188" t="str">
            <v>Headcount</v>
          </cell>
          <cell r="P188">
            <v>0</v>
          </cell>
        </row>
        <row r="189">
          <cell r="D189">
            <v>14</v>
          </cell>
          <cell r="K189" t="str">
            <v>Headcount - Temp</v>
          </cell>
          <cell r="P189">
            <v>0</v>
          </cell>
        </row>
        <row r="190">
          <cell r="D190"/>
          <cell r="K190"/>
          <cell r="P190"/>
        </row>
        <row r="191">
          <cell r="D191">
            <v>14</v>
          </cell>
          <cell r="K191"/>
          <cell r="P191"/>
        </row>
        <row r="192">
          <cell r="D192">
            <v>14</v>
          </cell>
          <cell r="K192" t="str">
            <v>Salaries &amp; Wages</v>
          </cell>
          <cell r="P192">
            <v>0</v>
          </cell>
        </row>
        <row r="193">
          <cell r="D193">
            <v>14</v>
          </cell>
          <cell r="K193" t="str">
            <v>Pension &amp; Benefits</v>
          </cell>
          <cell r="P193">
            <v>0</v>
          </cell>
        </row>
        <row r="194">
          <cell r="D194">
            <v>14</v>
          </cell>
          <cell r="K194" t="str">
            <v>Overtime Salary</v>
          </cell>
          <cell r="P194">
            <v>0</v>
          </cell>
        </row>
        <row r="195">
          <cell r="D195">
            <v>14</v>
          </cell>
          <cell r="K195" t="str">
            <v>Overtime Benefits</v>
          </cell>
          <cell r="P195">
            <v>0</v>
          </cell>
        </row>
        <row r="196">
          <cell r="D196">
            <v>14</v>
          </cell>
          <cell r="K196"/>
          <cell r="P196">
            <v>0</v>
          </cell>
        </row>
        <row r="197">
          <cell r="D197"/>
          <cell r="K197"/>
          <cell r="P197"/>
        </row>
        <row r="198">
          <cell r="D198">
            <v>14</v>
          </cell>
          <cell r="K198"/>
          <cell r="P198"/>
        </row>
        <row r="199">
          <cell r="D199">
            <v>14</v>
          </cell>
          <cell r="K199" t="str">
            <v>Salaries &amp; Wages</v>
          </cell>
          <cell r="P199">
            <v>0</v>
          </cell>
        </row>
        <row r="200">
          <cell r="D200">
            <v>14</v>
          </cell>
          <cell r="K200" t="str">
            <v>Pension &amp; Benefits</v>
          </cell>
          <cell r="P200">
            <v>0</v>
          </cell>
        </row>
        <row r="201">
          <cell r="D201">
            <v>14</v>
          </cell>
          <cell r="K201" t="str">
            <v>Overtime Salary</v>
          </cell>
          <cell r="P201">
            <v>0</v>
          </cell>
        </row>
        <row r="202">
          <cell r="D202">
            <v>14</v>
          </cell>
          <cell r="K202" t="str">
            <v>Overtime Benefits</v>
          </cell>
          <cell r="P202">
            <v>0</v>
          </cell>
        </row>
        <row r="203">
          <cell r="D203">
            <v>14</v>
          </cell>
          <cell r="K203"/>
          <cell r="P203">
            <v>0</v>
          </cell>
        </row>
        <row r="204">
          <cell r="D204"/>
          <cell r="K204"/>
          <cell r="P204"/>
        </row>
        <row r="205">
          <cell r="D205">
            <v>14</v>
          </cell>
          <cell r="K205"/>
          <cell r="P205"/>
        </row>
        <row r="206">
          <cell r="D206">
            <v>14</v>
          </cell>
          <cell r="K206" t="str">
            <v>Materials &amp; Supplies</v>
          </cell>
          <cell r="P206">
            <v>16601</v>
          </cell>
        </row>
        <row r="207">
          <cell r="D207">
            <v>14</v>
          </cell>
          <cell r="K207" t="str">
            <v>Transportation, Per Diem, and Mileage</v>
          </cell>
          <cell r="P207">
            <v>5596.8</v>
          </cell>
        </row>
        <row r="208">
          <cell r="D208">
            <v>14</v>
          </cell>
          <cell r="K208" t="str">
            <v>Transportation, Per Diem, and Mileage</v>
          </cell>
          <cell r="P208">
            <v>7618</v>
          </cell>
        </row>
        <row r="209">
          <cell r="D209">
            <v>14</v>
          </cell>
          <cell r="K209" t="str">
            <v>Transportation, Per Diem, and Mileage</v>
          </cell>
          <cell r="P209">
            <v>1000</v>
          </cell>
        </row>
        <row r="210">
          <cell r="D210">
            <v>14</v>
          </cell>
          <cell r="K210" t="str">
            <v>Transportation, Per Diem, and Mileage</v>
          </cell>
          <cell r="P210">
            <v>5000</v>
          </cell>
        </row>
        <row r="211">
          <cell r="D211">
            <v>14</v>
          </cell>
          <cell r="K211" t="str">
            <v>Transportation, Per Diem, and Mileage</v>
          </cell>
          <cell r="P211">
            <v>750</v>
          </cell>
        </row>
        <row r="212">
          <cell r="D212">
            <v>14</v>
          </cell>
          <cell r="K212" t="str">
            <v>Transportation, Per Diem, and Mileage</v>
          </cell>
          <cell r="P212">
            <v>2250</v>
          </cell>
        </row>
        <row r="213">
          <cell r="D213">
            <v>14</v>
          </cell>
          <cell r="K213" t="str">
            <v>Equipment, Inspections, Repairs &amp; Other O&amp;M</v>
          </cell>
          <cell r="P213">
            <v>1000</v>
          </cell>
        </row>
        <row r="214">
          <cell r="D214">
            <v>14</v>
          </cell>
          <cell r="K214" t="str">
            <v>Equipment, Inspections, Repairs &amp; Other O&amp;M</v>
          </cell>
          <cell r="P214">
            <v>500</v>
          </cell>
        </row>
        <row r="215">
          <cell r="D215">
            <v>14</v>
          </cell>
          <cell r="K215" t="str">
            <v>Professional &amp; Technical Outsourced Services</v>
          </cell>
          <cell r="P215">
            <v>1500000</v>
          </cell>
        </row>
        <row r="216">
          <cell r="D216">
            <v>14</v>
          </cell>
          <cell r="K216" t="str">
            <v>Equipment, Inspections, Repairs &amp; Other O&amp;M</v>
          </cell>
          <cell r="P216">
            <v>5000</v>
          </cell>
        </row>
        <row r="217">
          <cell r="D217">
            <v>14</v>
          </cell>
          <cell r="K217"/>
          <cell r="P217">
            <v>1545315.8</v>
          </cell>
        </row>
        <row r="218">
          <cell r="D218">
            <v>14</v>
          </cell>
          <cell r="K218"/>
          <cell r="P218"/>
        </row>
        <row r="219">
          <cell r="D219">
            <v>14</v>
          </cell>
          <cell r="K219"/>
          <cell r="P219">
            <v>1545315.8</v>
          </cell>
        </row>
        <row r="220">
          <cell r="D220"/>
          <cell r="K220"/>
        </row>
        <row r="221">
          <cell r="D221">
            <v>15</v>
          </cell>
          <cell r="K221"/>
          <cell r="P221"/>
        </row>
        <row r="222">
          <cell r="D222"/>
          <cell r="K222"/>
          <cell r="P222"/>
        </row>
        <row r="223">
          <cell r="D223">
            <v>15</v>
          </cell>
          <cell r="K223" t="str">
            <v>Headcount</v>
          </cell>
          <cell r="P223">
            <v>0</v>
          </cell>
        </row>
        <row r="224">
          <cell r="D224">
            <v>15</v>
          </cell>
          <cell r="K224" t="str">
            <v>Headcount - Temp</v>
          </cell>
          <cell r="P224">
            <v>0</v>
          </cell>
        </row>
        <row r="226">
          <cell r="D226">
            <v>15</v>
          </cell>
          <cell r="K226"/>
          <cell r="P226"/>
        </row>
        <row r="227">
          <cell r="D227">
            <v>15</v>
          </cell>
          <cell r="K227" t="str">
            <v>Salaries &amp; Wages</v>
          </cell>
          <cell r="P227">
            <v>0</v>
          </cell>
        </row>
        <row r="228">
          <cell r="D228">
            <v>15</v>
          </cell>
          <cell r="K228" t="str">
            <v>Pension &amp; Benefits</v>
          </cell>
          <cell r="P228">
            <v>0</v>
          </cell>
        </row>
        <row r="229">
          <cell r="D229">
            <v>15</v>
          </cell>
          <cell r="K229" t="str">
            <v>Overtime Salary</v>
          </cell>
          <cell r="P229">
            <v>0</v>
          </cell>
        </row>
        <row r="230">
          <cell r="D230">
            <v>15</v>
          </cell>
          <cell r="K230" t="str">
            <v>Overtime Benefits</v>
          </cell>
          <cell r="P230">
            <v>0</v>
          </cell>
        </row>
        <row r="231">
          <cell r="D231">
            <v>15</v>
          </cell>
          <cell r="K231"/>
          <cell r="P231">
            <v>0</v>
          </cell>
        </row>
        <row r="232">
          <cell r="D232"/>
          <cell r="K232"/>
          <cell r="P232"/>
        </row>
        <row r="233">
          <cell r="D233">
            <v>15</v>
          </cell>
          <cell r="K233"/>
          <cell r="P233"/>
        </row>
        <row r="234">
          <cell r="D234">
            <v>15</v>
          </cell>
          <cell r="K234" t="str">
            <v>Salaries &amp; Wages</v>
          </cell>
          <cell r="P234">
            <v>0</v>
          </cell>
        </row>
        <row r="235">
          <cell r="D235">
            <v>15</v>
          </cell>
          <cell r="K235" t="str">
            <v>Pension &amp; Benefits</v>
          </cell>
          <cell r="P235">
            <v>0</v>
          </cell>
        </row>
        <row r="236">
          <cell r="D236">
            <v>15</v>
          </cell>
          <cell r="K236" t="str">
            <v>Overtime Salary</v>
          </cell>
          <cell r="P236">
            <v>0</v>
          </cell>
        </row>
        <row r="237">
          <cell r="D237">
            <v>15</v>
          </cell>
          <cell r="K237" t="str">
            <v>Overtime Benefits</v>
          </cell>
          <cell r="P237">
            <v>0</v>
          </cell>
        </row>
        <row r="238">
          <cell r="D238">
            <v>15</v>
          </cell>
          <cell r="K238"/>
          <cell r="P238">
            <v>0</v>
          </cell>
        </row>
        <row r="239">
          <cell r="D239"/>
          <cell r="K239"/>
          <cell r="P239"/>
        </row>
        <row r="240">
          <cell r="D240">
            <v>15</v>
          </cell>
          <cell r="K240"/>
          <cell r="P240"/>
        </row>
        <row r="241">
          <cell r="D241">
            <v>15</v>
          </cell>
          <cell r="K241" t="str">
            <v>Materials &amp; Supplies</v>
          </cell>
          <cell r="P241">
            <v>9505.67</v>
          </cell>
        </row>
        <row r="242">
          <cell r="D242">
            <v>15</v>
          </cell>
          <cell r="K242" t="str">
            <v>Transportation, Per Diem, and Mileage</v>
          </cell>
          <cell r="P242">
            <v>0</v>
          </cell>
        </row>
        <row r="243">
          <cell r="D243">
            <v>15</v>
          </cell>
          <cell r="K243" t="str">
            <v>Transportation, Per Diem, and Mileage</v>
          </cell>
          <cell r="P243">
            <v>3066</v>
          </cell>
        </row>
        <row r="244">
          <cell r="D244">
            <v>15</v>
          </cell>
          <cell r="K244" t="str">
            <v>Transportation, Per Diem, and Mileage</v>
          </cell>
          <cell r="P244">
            <v>3120</v>
          </cell>
        </row>
        <row r="245">
          <cell r="D245">
            <v>15</v>
          </cell>
          <cell r="K245" t="str">
            <v>Transportation, Per Diem, and Mileage</v>
          </cell>
          <cell r="P245">
            <v>1000</v>
          </cell>
        </row>
        <row r="246">
          <cell r="D246">
            <v>15</v>
          </cell>
          <cell r="K246" t="str">
            <v>Transportation, Per Diem, and Mileage</v>
          </cell>
          <cell r="P246">
            <v>250</v>
          </cell>
        </row>
        <row r="247">
          <cell r="D247">
            <v>15</v>
          </cell>
          <cell r="K247" t="str">
            <v>Transportation, Per Diem, and Mileage</v>
          </cell>
          <cell r="P247">
            <v>750</v>
          </cell>
        </row>
        <row r="248">
          <cell r="D248">
            <v>15</v>
          </cell>
          <cell r="K248" t="str">
            <v>Equipment, Inspections, Repairs &amp; Other O&amp;M</v>
          </cell>
          <cell r="P248">
            <v>0</v>
          </cell>
        </row>
        <row r="249">
          <cell r="D249">
            <v>15</v>
          </cell>
          <cell r="K249" t="str">
            <v>Equipment, Inspections, Repairs &amp; Other O&amp;M</v>
          </cell>
          <cell r="P249">
            <v>0</v>
          </cell>
        </row>
        <row r="250">
          <cell r="D250">
            <v>15</v>
          </cell>
          <cell r="K250" t="str">
            <v>Professional &amp; Technical Outsourced Services</v>
          </cell>
          <cell r="P250">
            <v>0</v>
          </cell>
        </row>
        <row r="251">
          <cell r="D251">
            <v>15</v>
          </cell>
          <cell r="K251" t="str">
            <v>Equipment, Inspections, Repairs &amp; Other O&amp;M</v>
          </cell>
          <cell r="P251">
            <v>2500</v>
          </cell>
        </row>
        <row r="252">
          <cell r="D252">
            <v>15</v>
          </cell>
          <cell r="K252"/>
          <cell r="P252">
            <v>20191.669999999998</v>
          </cell>
        </row>
        <row r="253">
          <cell r="D253"/>
          <cell r="K253"/>
          <cell r="P253"/>
        </row>
        <row r="254">
          <cell r="D254">
            <v>15</v>
          </cell>
          <cell r="K254"/>
          <cell r="P254">
            <v>20191.669999999998</v>
          </cell>
        </row>
        <row r="255">
          <cell r="D255"/>
          <cell r="K255"/>
        </row>
        <row r="256">
          <cell r="D256">
            <v>16</v>
          </cell>
          <cell r="K256"/>
          <cell r="P256"/>
        </row>
        <row r="258">
          <cell r="D258">
            <v>16</v>
          </cell>
          <cell r="K258" t="str">
            <v>Headcount</v>
          </cell>
          <cell r="P258">
            <v>0</v>
          </cell>
        </row>
        <row r="259">
          <cell r="D259">
            <v>16</v>
          </cell>
          <cell r="K259" t="str">
            <v>Headcount - Temp</v>
          </cell>
          <cell r="P259">
            <v>0</v>
          </cell>
        </row>
        <row r="260">
          <cell r="D260"/>
          <cell r="K260"/>
          <cell r="P260"/>
        </row>
        <row r="261">
          <cell r="D261">
            <v>16</v>
          </cell>
          <cell r="K261"/>
          <cell r="P261"/>
        </row>
        <row r="262">
          <cell r="D262">
            <v>16</v>
          </cell>
          <cell r="K262" t="str">
            <v>Salaries &amp; Wages</v>
          </cell>
          <cell r="P262">
            <v>0</v>
          </cell>
        </row>
        <row r="263">
          <cell r="D263">
            <v>16</v>
          </cell>
          <cell r="K263" t="str">
            <v>Pension &amp; Benefits</v>
          </cell>
          <cell r="P263">
            <v>0</v>
          </cell>
        </row>
        <row r="264">
          <cell r="D264">
            <v>16</v>
          </cell>
          <cell r="K264" t="str">
            <v>Overtime Salary</v>
          </cell>
          <cell r="P264">
            <v>0</v>
          </cell>
        </row>
        <row r="265">
          <cell r="D265">
            <v>16</v>
          </cell>
          <cell r="K265" t="str">
            <v>Overtime Benefits</v>
          </cell>
          <cell r="P265">
            <v>0</v>
          </cell>
        </row>
        <row r="266">
          <cell r="D266">
            <v>16</v>
          </cell>
          <cell r="K266"/>
          <cell r="P266">
            <v>0</v>
          </cell>
        </row>
        <row r="267">
          <cell r="D267"/>
          <cell r="K267"/>
          <cell r="P267"/>
        </row>
        <row r="268">
          <cell r="D268">
            <v>16</v>
          </cell>
          <cell r="K268"/>
          <cell r="P268"/>
        </row>
        <row r="269">
          <cell r="D269">
            <v>16</v>
          </cell>
          <cell r="K269" t="str">
            <v>Salaries &amp; Wages</v>
          </cell>
          <cell r="P269">
            <v>0</v>
          </cell>
        </row>
        <row r="270">
          <cell r="D270">
            <v>16</v>
          </cell>
          <cell r="K270" t="str">
            <v>Pension &amp; Benefits</v>
          </cell>
          <cell r="P270">
            <v>0</v>
          </cell>
        </row>
        <row r="271">
          <cell r="D271">
            <v>16</v>
          </cell>
          <cell r="K271" t="str">
            <v>Overtime Salary</v>
          </cell>
          <cell r="P271">
            <v>0</v>
          </cell>
        </row>
        <row r="272">
          <cell r="D272">
            <v>16</v>
          </cell>
          <cell r="K272" t="str">
            <v>Overtime Benefits</v>
          </cell>
          <cell r="P272">
            <v>0</v>
          </cell>
        </row>
        <row r="273">
          <cell r="D273">
            <v>16</v>
          </cell>
          <cell r="K273"/>
          <cell r="P273">
            <v>0</v>
          </cell>
        </row>
        <row r="275">
          <cell r="D275">
            <v>16</v>
          </cell>
          <cell r="K275"/>
          <cell r="P275"/>
        </row>
        <row r="276">
          <cell r="D276">
            <v>16</v>
          </cell>
          <cell r="K276" t="str">
            <v>Materials &amp; Supplies</v>
          </cell>
          <cell r="P276">
            <v>33600</v>
          </cell>
        </row>
        <row r="277">
          <cell r="D277">
            <v>16</v>
          </cell>
          <cell r="K277" t="str">
            <v>Transportation, Per Diem, and Mileage</v>
          </cell>
          <cell r="P277">
            <v>0</v>
          </cell>
        </row>
        <row r="278">
          <cell r="D278">
            <v>16</v>
          </cell>
          <cell r="K278" t="str">
            <v>Transportation, Per Diem, and Mileage</v>
          </cell>
          <cell r="P278">
            <v>48800</v>
          </cell>
        </row>
        <row r="279">
          <cell r="D279">
            <v>16</v>
          </cell>
          <cell r="K279" t="str">
            <v>Transportation, Per Diem, and Mileage</v>
          </cell>
          <cell r="P279">
            <v>1650</v>
          </cell>
        </row>
        <row r="280">
          <cell r="D280">
            <v>16</v>
          </cell>
          <cell r="K280" t="str">
            <v>Transportation, Per Diem, and Mileage</v>
          </cell>
          <cell r="P280">
            <v>0</v>
          </cell>
        </row>
        <row r="281">
          <cell r="D281">
            <v>16</v>
          </cell>
          <cell r="K281" t="str">
            <v>Transportation, Per Diem, and Mileage</v>
          </cell>
          <cell r="P281">
            <v>0</v>
          </cell>
        </row>
        <row r="282">
          <cell r="D282">
            <v>16</v>
          </cell>
          <cell r="K282" t="str">
            <v>Transportation, Per Diem, and Mileage</v>
          </cell>
          <cell r="P282">
            <v>0</v>
          </cell>
        </row>
        <row r="283">
          <cell r="D283">
            <v>16</v>
          </cell>
          <cell r="K283" t="str">
            <v>Equipment, Inspections, Repairs &amp; Other O&amp;M</v>
          </cell>
          <cell r="P283">
            <v>0</v>
          </cell>
        </row>
        <row r="284">
          <cell r="D284">
            <v>16</v>
          </cell>
          <cell r="K284" t="str">
            <v>Equipment, Inspections, Repairs &amp; Other O&amp;M</v>
          </cell>
          <cell r="P284">
            <v>5000</v>
          </cell>
        </row>
        <row r="285">
          <cell r="D285">
            <v>16</v>
          </cell>
          <cell r="K285" t="str">
            <v>Professional &amp; Technical Outsourced Services</v>
          </cell>
          <cell r="P285">
            <v>2368701.5</v>
          </cell>
        </row>
        <row r="286">
          <cell r="D286">
            <v>16</v>
          </cell>
          <cell r="K286" t="str">
            <v>Equipment, Inspections, Repairs &amp; Other O&amp;M</v>
          </cell>
          <cell r="P286">
            <v>35000</v>
          </cell>
        </row>
        <row r="287">
          <cell r="D287">
            <v>16</v>
          </cell>
          <cell r="K287"/>
          <cell r="P287">
            <v>2492751.5</v>
          </cell>
        </row>
        <row r="288">
          <cell r="D288"/>
          <cell r="K288"/>
          <cell r="P288"/>
        </row>
        <row r="289">
          <cell r="D289">
            <v>16</v>
          </cell>
          <cell r="K289"/>
          <cell r="P289">
            <v>2492751.5</v>
          </cell>
        </row>
        <row r="291">
          <cell r="D291">
            <v>22</v>
          </cell>
          <cell r="K291"/>
          <cell r="P291"/>
        </row>
        <row r="292">
          <cell r="D292"/>
          <cell r="K292"/>
          <cell r="P292"/>
        </row>
        <row r="293">
          <cell r="D293">
            <v>22</v>
          </cell>
          <cell r="K293" t="str">
            <v>Headcount</v>
          </cell>
          <cell r="P293">
            <v>0</v>
          </cell>
        </row>
        <row r="294">
          <cell r="D294">
            <v>22</v>
          </cell>
          <cell r="K294" t="str">
            <v>Headcount - Temp</v>
          </cell>
          <cell r="P294">
            <v>0</v>
          </cell>
        </row>
        <row r="295">
          <cell r="D295"/>
          <cell r="K295"/>
          <cell r="P295"/>
        </row>
        <row r="296">
          <cell r="D296">
            <v>22</v>
          </cell>
          <cell r="K296"/>
          <cell r="P296"/>
        </row>
        <row r="297">
          <cell r="D297">
            <v>22</v>
          </cell>
          <cell r="K297" t="str">
            <v>Salaries &amp; Wages</v>
          </cell>
          <cell r="P297">
            <v>0</v>
          </cell>
        </row>
        <row r="298">
          <cell r="D298">
            <v>22</v>
          </cell>
          <cell r="K298" t="str">
            <v>Pension &amp; Benefits</v>
          </cell>
          <cell r="P298">
            <v>0</v>
          </cell>
        </row>
        <row r="299">
          <cell r="D299">
            <v>22</v>
          </cell>
          <cell r="K299" t="str">
            <v>Overtime Salary</v>
          </cell>
          <cell r="P299">
            <v>0</v>
          </cell>
        </row>
        <row r="300">
          <cell r="D300">
            <v>22</v>
          </cell>
          <cell r="K300" t="str">
            <v>Overtime Benefits</v>
          </cell>
          <cell r="P300">
            <v>0</v>
          </cell>
        </row>
        <row r="301">
          <cell r="D301">
            <v>22</v>
          </cell>
          <cell r="K301"/>
          <cell r="P301">
            <v>0</v>
          </cell>
        </row>
        <row r="302">
          <cell r="D302"/>
          <cell r="K302"/>
          <cell r="P302"/>
        </row>
        <row r="303">
          <cell r="D303">
            <v>22</v>
          </cell>
          <cell r="K303"/>
          <cell r="P303"/>
        </row>
        <row r="304">
          <cell r="D304">
            <v>22</v>
          </cell>
          <cell r="K304" t="str">
            <v>Salaries &amp; Wages</v>
          </cell>
          <cell r="P304">
            <v>0</v>
          </cell>
        </row>
        <row r="305">
          <cell r="D305">
            <v>22</v>
          </cell>
          <cell r="K305" t="str">
            <v>Pension &amp; Benefits</v>
          </cell>
          <cell r="P305">
            <v>0</v>
          </cell>
        </row>
        <row r="306">
          <cell r="D306">
            <v>22</v>
          </cell>
          <cell r="K306" t="str">
            <v>Overtime Salary</v>
          </cell>
          <cell r="P306">
            <v>0</v>
          </cell>
        </row>
        <row r="307">
          <cell r="D307">
            <v>22</v>
          </cell>
          <cell r="K307" t="str">
            <v>Overtime Benefits</v>
          </cell>
          <cell r="P307">
            <v>0</v>
          </cell>
        </row>
        <row r="308">
          <cell r="D308">
            <v>22</v>
          </cell>
          <cell r="K308"/>
          <cell r="P308">
            <v>0</v>
          </cell>
        </row>
        <row r="309">
          <cell r="D309"/>
          <cell r="K309"/>
          <cell r="P309"/>
        </row>
        <row r="310">
          <cell r="D310">
            <v>22</v>
          </cell>
          <cell r="K310"/>
          <cell r="P310"/>
        </row>
        <row r="311">
          <cell r="D311">
            <v>22</v>
          </cell>
          <cell r="K311" t="str">
            <v>Materials &amp; Supplies</v>
          </cell>
          <cell r="P311">
            <v>37752.47</v>
          </cell>
        </row>
        <row r="312">
          <cell r="D312">
            <v>22</v>
          </cell>
          <cell r="K312" t="str">
            <v>Transportation, Per Diem, and Mileage</v>
          </cell>
          <cell r="P312">
            <v>121872.00000000006</v>
          </cell>
        </row>
        <row r="313">
          <cell r="D313">
            <v>22</v>
          </cell>
          <cell r="K313" t="str">
            <v>Transportation, Per Diem, and Mileage</v>
          </cell>
          <cell r="P313">
            <v>8050</v>
          </cell>
        </row>
        <row r="314">
          <cell r="D314">
            <v>22</v>
          </cell>
          <cell r="K314" t="str">
            <v>Transportation, Per Diem, and Mileage</v>
          </cell>
          <cell r="P314">
            <v>10000</v>
          </cell>
        </row>
        <row r="315">
          <cell r="D315">
            <v>22</v>
          </cell>
          <cell r="K315" t="str">
            <v>Transportation, Per Diem, and Mileage</v>
          </cell>
          <cell r="P315">
            <v>0</v>
          </cell>
        </row>
        <row r="316">
          <cell r="D316">
            <v>22</v>
          </cell>
          <cell r="K316" t="str">
            <v>Transportation, Per Diem, and Mileage</v>
          </cell>
          <cell r="P316">
            <v>0</v>
          </cell>
        </row>
        <row r="317">
          <cell r="D317">
            <v>22</v>
          </cell>
          <cell r="K317" t="str">
            <v>Transportation, Per Diem, and Mileage</v>
          </cell>
          <cell r="P317">
            <v>0</v>
          </cell>
        </row>
        <row r="318">
          <cell r="D318">
            <v>22</v>
          </cell>
          <cell r="K318" t="str">
            <v>Equipment, Inspections, Repairs &amp; Other O&amp;M</v>
          </cell>
          <cell r="P318">
            <v>190000</v>
          </cell>
        </row>
        <row r="319">
          <cell r="D319">
            <v>22</v>
          </cell>
          <cell r="K319" t="str">
            <v>Equipment, Inspections, Repairs &amp; Other O&amp;M</v>
          </cell>
          <cell r="P319">
            <v>0</v>
          </cell>
        </row>
        <row r="320">
          <cell r="D320">
            <v>22</v>
          </cell>
          <cell r="K320" t="str">
            <v>Professional &amp; Technical Outsourced Services</v>
          </cell>
          <cell r="P320">
            <v>82340</v>
          </cell>
        </row>
        <row r="321">
          <cell r="D321">
            <v>22</v>
          </cell>
          <cell r="K321" t="str">
            <v>Equipment, Inspections, Repairs &amp; Other O&amp;M</v>
          </cell>
          <cell r="P321">
            <v>18097.7</v>
          </cell>
        </row>
        <row r="322">
          <cell r="D322">
            <v>22</v>
          </cell>
          <cell r="K322"/>
          <cell r="P322">
            <v>468112.1700000001</v>
          </cell>
        </row>
        <row r="323">
          <cell r="D323"/>
          <cell r="K323"/>
          <cell r="P323"/>
        </row>
        <row r="324">
          <cell r="D324">
            <v>22</v>
          </cell>
          <cell r="K324"/>
          <cell r="P324">
            <v>468112.1700000001</v>
          </cell>
        </row>
        <row r="325">
          <cell r="D325"/>
          <cell r="K325"/>
        </row>
        <row r="326">
          <cell r="D326">
            <v>50</v>
          </cell>
          <cell r="K326"/>
          <cell r="P326"/>
        </row>
        <row r="327">
          <cell r="D327"/>
          <cell r="K327"/>
          <cell r="P327"/>
        </row>
        <row r="328">
          <cell r="D328">
            <v>50</v>
          </cell>
          <cell r="K328" t="str">
            <v>Headcount</v>
          </cell>
          <cell r="P328">
            <v>0</v>
          </cell>
        </row>
        <row r="329">
          <cell r="D329">
            <v>50</v>
          </cell>
          <cell r="K329" t="str">
            <v>Headcount - Temp</v>
          </cell>
          <cell r="P329">
            <v>0</v>
          </cell>
        </row>
        <row r="330">
          <cell r="D330"/>
          <cell r="K330"/>
          <cell r="P330"/>
        </row>
        <row r="331">
          <cell r="D331">
            <v>50</v>
          </cell>
          <cell r="K331"/>
          <cell r="P331"/>
        </row>
        <row r="332">
          <cell r="D332">
            <v>50</v>
          </cell>
          <cell r="K332" t="str">
            <v>Salaries &amp; Wages</v>
          </cell>
          <cell r="P332">
            <v>0</v>
          </cell>
        </row>
        <row r="333">
          <cell r="D333">
            <v>50</v>
          </cell>
          <cell r="K333" t="str">
            <v>Pension &amp; Benefits</v>
          </cell>
          <cell r="P333">
            <v>0</v>
          </cell>
        </row>
        <row r="334">
          <cell r="D334">
            <v>50</v>
          </cell>
          <cell r="K334" t="str">
            <v>Overtime Salary</v>
          </cell>
          <cell r="P334">
            <v>0</v>
          </cell>
        </row>
        <row r="335">
          <cell r="D335">
            <v>50</v>
          </cell>
          <cell r="K335" t="str">
            <v>Overtime Benefits</v>
          </cell>
          <cell r="P335">
            <v>0</v>
          </cell>
        </row>
        <row r="336">
          <cell r="D336">
            <v>50</v>
          </cell>
          <cell r="K336"/>
          <cell r="P336">
            <v>0</v>
          </cell>
        </row>
        <row r="338">
          <cell r="D338">
            <v>50</v>
          </cell>
          <cell r="K338"/>
          <cell r="P338"/>
        </row>
        <row r="339">
          <cell r="D339">
            <v>50</v>
          </cell>
          <cell r="K339" t="str">
            <v>Salaries &amp; Wages</v>
          </cell>
          <cell r="P339">
            <v>0</v>
          </cell>
        </row>
        <row r="340">
          <cell r="D340">
            <v>50</v>
          </cell>
          <cell r="K340" t="str">
            <v>Pension &amp; Benefits</v>
          </cell>
          <cell r="P340">
            <v>0</v>
          </cell>
        </row>
        <row r="341">
          <cell r="D341">
            <v>50</v>
          </cell>
          <cell r="K341" t="str">
            <v>Overtime Salary</v>
          </cell>
          <cell r="P341">
            <v>0</v>
          </cell>
        </row>
        <row r="342">
          <cell r="D342">
            <v>50</v>
          </cell>
          <cell r="K342" t="str">
            <v>Overtime Benefits</v>
          </cell>
          <cell r="P342">
            <v>0</v>
          </cell>
        </row>
        <row r="343">
          <cell r="D343">
            <v>50</v>
          </cell>
          <cell r="K343"/>
          <cell r="P343">
            <v>0</v>
          </cell>
        </row>
        <row r="344">
          <cell r="D344"/>
          <cell r="K344"/>
          <cell r="P344"/>
        </row>
        <row r="345">
          <cell r="D345">
            <v>50</v>
          </cell>
          <cell r="K345"/>
          <cell r="P345"/>
        </row>
        <row r="346">
          <cell r="D346">
            <v>50</v>
          </cell>
          <cell r="K346" t="str">
            <v>Materials &amp; Supplies</v>
          </cell>
          <cell r="P346">
            <v>12100</v>
          </cell>
        </row>
        <row r="347">
          <cell r="D347">
            <v>50</v>
          </cell>
          <cell r="K347" t="str">
            <v>Transportation, Per Diem, and Mileage</v>
          </cell>
          <cell r="P347">
            <v>0</v>
          </cell>
        </row>
        <row r="348">
          <cell r="D348">
            <v>50</v>
          </cell>
          <cell r="K348" t="str">
            <v>Transportation, Per Diem, and Mileage</v>
          </cell>
          <cell r="P348">
            <v>941.5</v>
          </cell>
        </row>
        <row r="349">
          <cell r="D349">
            <v>50</v>
          </cell>
          <cell r="K349" t="str">
            <v>Transportation, Per Diem, and Mileage</v>
          </cell>
          <cell r="P349">
            <v>2000</v>
          </cell>
        </row>
        <row r="350">
          <cell r="D350">
            <v>50</v>
          </cell>
          <cell r="K350" t="str">
            <v>Transportation, Per Diem, and Mileage</v>
          </cell>
          <cell r="P350">
            <v>5000</v>
          </cell>
        </row>
        <row r="351">
          <cell r="D351">
            <v>50</v>
          </cell>
          <cell r="K351" t="str">
            <v>Transportation, Per Diem, and Mileage</v>
          </cell>
          <cell r="P351">
            <v>750</v>
          </cell>
        </row>
        <row r="352">
          <cell r="D352">
            <v>50</v>
          </cell>
          <cell r="K352" t="str">
            <v>Transportation, Per Diem, and Mileage</v>
          </cell>
          <cell r="P352">
            <v>2250</v>
          </cell>
        </row>
        <row r="353">
          <cell r="D353">
            <v>50</v>
          </cell>
          <cell r="K353" t="str">
            <v>Equipment, Inspections, Repairs &amp; Other O&amp;M</v>
          </cell>
          <cell r="P353">
            <v>0</v>
          </cell>
        </row>
        <row r="354">
          <cell r="D354">
            <v>50</v>
          </cell>
          <cell r="K354" t="str">
            <v>Equipment, Inspections, Repairs &amp; Other O&amp;M</v>
          </cell>
          <cell r="P354">
            <v>2000</v>
          </cell>
        </row>
        <row r="355">
          <cell r="D355">
            <v>50</v>
          </cell>
          <cell r="K355" t="str">
            <v>Professional &amp; Technical Outsourced Services</v>
          </cell>
          <cell r="P355">
            <v>83000</v>
          </cell>
        </row>
        <row r="356">
          <cell r="D356">
            <v>50</v>
          </cell>
          <cell r="K356" t="str">
            <v>Equipment, Inspections, Repairs &amp; Other O&amp;M</v>
          </cell>
          <cell r="P356">
            <v>12000</v>
          </cell>
        </row>
        <row r="357">
          <cell r="D357">
            <v>50</v>
          </cell>
          <cell r="K357"/>
          <cell r="P357">
            <v>120041.5</v>
          </cell>
        </row>
        <row r="358">
          <cell r="D358"/>
          <cell r="K358"/>
          <cell r="P358"/>
        </row>
        <row r="359">
          <cell r="D359">
            <v>50</v>
          </cell>
          <cell r="K359"/>
          <cell r="P359">
            <v>120041.5</v>
          </cell>
        </row>
        <row r="360">
          <cell r="D360"/>
          <cell r="K360"/>
        </row>
        <row r="361">
          <cell r="D361">
            <v>67</v>
          </cell>
          <cell r="K361"/>
          <cell r="P361"/>
        </row>
        <row r="362">
          <cell r="D362"/>
          <cell r="K362"/>
          <cell r="P362"/>
        </row>
        <row r="363">
          <cell r="D363">
            <v>67</v>
          </cell>
          <cell r="K363" t="str">
            <v>Headcount</v>
          </cell>
          <cell r="P363">
            <v>0</v>
          </cell>
        </row>
        <row r="364">
          <cell r="D364">
            <v>67</v>
          </cell>
          <cell r="K364" t="str">
            <v>Headcount - Temp</v>
          </cell>
          <cell r="P364">
            <v>0</v>
          </cell>
        </row>
        <row r="365">
          <cell r="D365"/>
          <cell r="K365"/>
          <cell r="P365"/>
        </row>
        <row r="366">
          <cell r="D366">
            <v>67</v>
          </cell>
          <cell r="K366"/>
          <cell r="P366"/>
        </row>
        <row r="367">
          <cell r="D367">
            <v>67</v>
          </cell>
          <cell r="K367" t="str">
            <v>Salaries &amp; Wages</v>
          </cell>
          <cell r="P367">
            <v>0</v>
          </cell>
        </row>
        <row r="368">
          <cell r="D368">
            <v>67</v>
          </cell>
          <cell r="K368" t="str">
            <v>Pension &amp; Benefits</v>
          </cell>
          <cell r="P368">
            <v>0</v>
          </cell>
        </row>
        <row r="369">
          <cell r="D369">
            <v>67</v>
          </cell>
          <cell r="K369" t="str">
            <v>Overtime Salary</v>
          </cell>
          <cell r="P369">
            <v>0</v>
          </cell>
        </row>
        <row r="370">
          <cell r="D370">
            <v>67</v>
          </cell>
          <cell r="K370" t="str">
            <v>Overtime Benefits</v>
          </cell>
          <cell r="P370">
            <v>0</v>
          </cell>
        </row>
        <row r="371">
          <cell r="D371">
            <v>67</v>
          </cell>
          <cell r="K371"/>
          <cell r="P371">
            <v>0</v>
          </cell>
        </row>
        <row r="372">
          <cell r="D372"/>
          <cell r="K372"/>
          <cell r="P372"/>
        </row>
        <row r="373">
          <cell r="D373">
            <v>67</v>
          </cell>
          <cell r="K373"/>
          <cell r="P373"/>
        </row>
        <row r="374">
          <cell r="D374">
            <v>67</v>
          </cell>
          <cell r="K374" t="str">
            <v>Salaries &amp; Wages</v>
          </cell>
          <cell r="P374">
            <v>0</v>
          </cell>
        </row>
        <row r="375">
          <cell r="D375">
            <v>67</v>
          </cell>
          <cell r="K375" t="str">
            <v>Pension &amp; Benefits</v>
          </cell>
          <cell r="P375">
            <v>0</v>
          </cell>
        </row>
        <row r="376">
          <cell r="D376">
            <v>67</v>
          </cell>
          <cell r="K376" t="str">
            <v>Overtime Salary</v>
          </cell>
          <cell r="P376">
            <v>0</v>
          </cell>
        </row>
        <row r="377">
          <cell r="D377">
            <v>67</v>
          </cell>
          <cell r="K377" t="str">
            <v>Overtime Benefits</v>
          </cell>
          <cell r="P377">
            <v>0</v>
          </cell>
        </row>
        <row r="378">
          <cell r="D378">
            <v>67</v>
          </cell>
          <cell r="K378"/>
          <cell r="P378">
            <v>0</v>
          </cell>
        </row>
        <row r="379">
          <cell r="D379"/>
          <cell r="K379"/>
          <cell r="P379"/>
        </row>
        <row r="380">
          <cell r="D380">
            <v>67</v>
          </cell>
          <cell r="K380"/>
          <cell r="P380"/>
        </row>
        <row r="381">
          <cell r="D381">
            <v>67</v>
          </cell>
          <cell r="K381" t="str">
            <v>Materials &amp; Supplies</v>
          </cell>
          <cell r="P381">
            <v>32513.599999999995</v>
          </cell>
        </row>
        <row r="382">
          <cell r="D382">
            <v>67</v>
          </cell>
          <cell r="K382" t="str">
            <v>Transportation, Per Diem, and Mileage</v>
          </cell>
          <cell r="P382">
            <v>12758.400000000001</v>
          </cell>
        </row>
        <row r="383">
          <cell r="D383">
            <v>67</v>
          </cell>
          <cell r="K383" t="str">
            <v>Transportation, Per Diem, and Mileage</v>
          </cell>
          <cell r="P383">
            <v>5136</v>
          </cell>
        </row>
        <row r="384">
          <cell r="D384">
            <v>67</v>
          </cell>
          <cell r="K384" t="str">
            <v>Transportation, Per Diem, and Mileage</v>
          </cell>
          <cell r="P384">
            <v>18820</v>
          </cell>
        </row>
        <row r="385">
          <cell r="D385">
            <v>67</v>
          </cell>
          <cell r="K385" t="str">
            <v>Transportation, Per Diem, and Mileage</v>
          </cell>
          <cell r="P385">
            <v>1000</v>
          </cell>
        </row>
        <row r="386">
          <cell r="D386">
            <v>67</v>
          </cell>
          <cell r="K386" t="str">
            <v>Transportation, Per Diem, and Mileage</v>
          </cell>
          <cell r="P386">
            <v>200</v>
          </cell>
        </row>
        <row r="387">
          <cell r="D387">
            <v>67</v>
          </cell>
          <cell r="K387" t="str">
            <v>Transportation, Per Diem, and Mileage</v>
          </cell>
          <cell r="P387">
            <v>600</v>
          </cell>
        </row>
        <row r="388">
          <cell r="D388">
            <v>67</v>
          </cell>
          <cell r="K388" t="str">
            <v>Equipment, Inspections, Repairs &amp; Other O&amp;M</v>
          </cell>
          <cell r="P388">
            <v>0</v>
          </cell>
        </row>
        <row r="389">
          <cell r="D389">
            <v>67</v>
          </cell>
          <cell r="K389" t="str">
            <v>Equipment, Inspections, Repairs &amp; Other O&amp;M</v>
          </cell>
          <cell r="P389">
            <v>300</v>
          </cell>
        </row>
        <row r="390">
          <cell r="D390">
            <v>67</v>
          </cell>
          <cell r="K390" t="str">
            <v>Professional &amp; Technical Outsourced Services</v>
          </cell>
          <cell r="P390">
            <v>0</v>
          </cell>
        </row>
        <row r="391">
          <cell r="D391">
            <v>67</v>
          </cell>
          <cell r="K391" t="str">
            <v>Equipment, Inspections, Repairs &amp; Other O&amp;M</v>
          </cell>
          <cell r="P391">
            <v>113200</v>
          </cell>
        </row>
        <row r="392">
          <cell r="D392">
            <v>67</v>
          </cell>
          <cell r="K392"/>
          <cell r="P392">
            <v>184528</v>
          </cell>
        </row>
        <row r="393">
          <cell r="D393"/>
          <cell r="K393"/>
          <cell r="P393"/>
        </row>
        <row r="394">
          <cell r="D394">
            <v>67</v>
          </cell>
          <cell r="K394"/>
          <cell r="P394">
            <v>184528</v>
          </cell>
        </row>
        <row r="395">
          <cell r="D395"/>
          <cell r="K395"/>
        </row>
        <row r="396">
          <cell r="D396">
            <v>118</v>
          </cell>
          <cell r="K396"/>
          <cell r="P396"/>
        </row>
        <row r="397">
          <cell r="D397"/>
          <cell r="K397"/>
          <cell r="P397"/>
        </row>
        <row r="398">
          <cell r="D398">
            <v>118</v>
          </cell>
          <cell r="K398" t="str">
            <v>Headcount</v>
          </cell>
          <cell r="P398">
            <v>0</v>
          </cell>
        </row>
        <row r="399">
          <cell r="D399">
            <v>118</v>
          </cell>
          <cell r="K399" t="str">
            <v>Headcount - Temp</v>
          </cell>
          <cell r="P399">
            <v>0</v>
          </cell>
        </row>
        <row r="400">
          <cell r="D400"/>
          <cell r="K400"/>
          <cell r="P400"/>
        </row>
        <row r="401">
          <cell r="D401">
            <v>118</v>
          </cell>
          <cell r="K401"/>
          <cell r="P401"/>
        </row>
        <row r="402">
          <cell r="D402">
            <v>118</v>
          </cell>
          <cell r="K402" t="str">
            <v>Salaries &amp; Wages</v>
          </cell>
          <cell r="P402">
            <v>0</v>
          </cell>
        </row>
        <row r="403">
          <cell r="D403">
            <v>118</v>
          </cell>
          <cell r="K403" t="str">
            <v>Pension &amp; Benefits</v>
          </cell>
          <cell r="P403">
            <v>0</v>
          </cell>
        </row>
        <row r="404">
          <cell r="D404">
            <v>118</v>
          </cell>
          <cell r="K404" t="str">
            <v>Overtime Salary</v>
          </cell>
          <cell r="P404">
            <v>0</v>
          </cell>
        </row>
        <row r="405">
          <cell r="D405">
            <v>118</v>
          </cell>
          <cell r="K405" t="str">
            <v>Overtime Benefits</v>
          </cell>
          <cell r="P405">
            <v>0</v>
          </cell>
        </row>
        <row r="406">
          <cell r="D406">
            <v>118</v>
          </cell>
          <cell r="K406"/>
          <cell r="P406">
            <v>0</v>
          </cell>
        </row>
        <row r="407">
          <cell r="D407"/>
          <cell r="K407"/>
          <cell r="P407"/>
        </row>
        <row r="408">
          <cell r="D408">
            <v>118</v>
          </cell>
          <cell r="K408"/>
          <cell r="P408"/>
        </row>
        <row r="409">
          <cell r="D409">
            <v>118</v>
          </cell>
          <cell r="K409" t="str">
            <v>Salaries &amp; Wages</v>
          </cell>
          <cell r="P409">
            <v>0</v>
          </cell>
        </row>
        <row r="410">
          <cell r="D410">
            <v>118</v>
          </cell>
          <cell r="K410" t="str">
            <v>Pension &amp; Benefits</v>
          </cell>
          <cell r="P410">
            <v>0</v>
          </cell>
        </row>
        <row r="411">
          <cell r="D411">
            <v>118</v>
          </cell>
          <cell r="K411" t="str">
            <v>Overtime Salary</v>
          </cell>
          <cell r="P411">
            <v>0</v>
          </cell>
        </row>
        <row r="412">
          <cell r="D412">
            <v>118</v>
          </cell>
          <cell r="K412" t="str">
            <v>Overtime Benefits</v>
          </cell>
          <cell r="P412">
            <v>0</v>
          </cell>
        </row>
        <row r="413">
          <cell r="D413">
            <v>118</v>
          </cell>
          <cell r="K413"/>
          <cell r="P413">
            <v>0</v>
          </cell>
        </row>
        <row r="414">
          <cell r="D414"/>
          <cell r="K414"/>
          <cell r="P414"/>
        </row>
        <row r="415">
          <cell r="D415">
            <v>118</v>
          </cell>
          <cell r="K415"/>
          <cell r="P415"/>
        </row>
        <row r="416">
          <cell r="D416">
            <v>118</v>
          </cell>
          <cell r="K416" t="str">
            <v>Materials &amp; Supplies</v>
          </cell>
          <cell r="P416">
            <v>8700</v>
          </cell>
        </row>
        <row r="417">
          <cell r="D417">
            <v>118</v>
          </cell>
          <cell r="K417" t="str">
            <v>Transportation, Per Diem, and Mileage</v>
          </cell>
          <cell r="P417">
            <v>0</v>
          </cell>
        </row>
        <row r="418">
          <cell r="D418">
            <v>118</v>
          </cell>
          <cell r="K418" t="str">
            <v>Transportation, Per Diem, and Mileage</v>
          </cell>
          <cell r="P418">
            <v>792</v>
          </cell>
        </row>
        <row r="419">
          <cell r="D419">
            <v>118</v>
          </cell>
          <cell r="K419" t="str">
            <v>Transportation, Per Diem, and Mileage</v>
          </cell>
          <cell r="P419">
            <v>200</v>
          </cell>
        </row>
        <row r="420">
          <cell r="D420">
            <v>118</v>
          </cell>
          <cell r="K420" t="str">
            <v>Transportation, Per Diem, and Mileage</v>
          </cell>
          <cell r="P420">
            <v>3000</v>
          </cell>
        </row>
        <row r="421">
          <cell r="D421">
            <v>118</v>
          </cell>
          <cell r="K421" t="str">
            <v>Transportation, Per Diem, and Mileage</v>
          </cell>
          <cell r="P421">
            <v>500</v>
          </cell>
        </row>
        <row r="422">
          <cell r="D422">
            <v>118</v>
          </cell>
          <cell r="K422" t="str">
            <v>Transportation, Per Diem, and Mileage</v>
          </cell>
          <cell r="P422">
            <v>1500</v>
          </cell>
        </row>
        <row r="423">
          <cell r="D423">
            <v>118</v>
          </cell>
          <cell r="K423" t="str">
            <v>Equipment, Inspections, Repairs &amp; Other O&amp;M</v>
          </cell>
          <cell r="P423">
            <v>0</v>
          </cell>
        </row>
        <row r="424">
          <cell r="D424">
            <v>118</v>
          </cell>
          <cell r="K424" t="str">
            <v>Equipment, Inspections, Repairs &amp; Other O&amp;M</v>
          </cell>
          <cell r="P424">
            <v>0</v>
          </cell>
        </row>
        <row r="425">
          <cell r="D425">
            <v>118</v>
          </cell>
          <cell r="K425" t="str">
            <v>Professional &amp; Technical Outsourced Services</v>
          </cell>
          <cell r="P425">
            <v>75000</v>
          </cell>
        </row>
        <row r="426">
          <cell r="D426">
            <v>118</v>
          </cell>
          <cell r="K426" t="str">
            <v>Equipment, Inspections, Repairs &amp; Other O&amp;M</v>
          </cell>
          <cell r="P426">
            <v>0</v>
          </cell>
        </row>
        <row r="427">
          <cell r="D427">
            <v>118</v>
          </cell>
          <cell r="K427"/>
          <cell r="P427">
            <v>89692</v>
          </cell>
        </row>
        <row r="428">
          <cell r="D428"/>
          <cell r="K428"/>
          <cell r="P428"/>
        </row>
        <row r="429">
          <cell r="D429">
            <v>118</v>
          </cell>
          <cell r="K429"/>
          <cell r="P429">
            <v>89692</v>
          </cell>
        </row>
        <row r="430">
          <cell r="D430"/>
          <cell r="K430"/>
        </row>
        <row r="431">
          <cell r="D431">
            <v>176</v>
          </cell>
          <cell r="K431"/>
          <cell r="P431"/>
        </row>
        <row r="432">
          <cell r="D432"/>
          <cell r="K432"/>
          <cell r="P432"/>
        </row>
        <row r="433">
          <cell r="D433">
            <v>176</v>
          </cell>
          <cell r="K433" t="str">
            <v>Headcount</v>
          </cell>
          <cell r="P433">
            <v>0</v>
          </cell>
        </row>
        <row r="434">
          <cell r="D434">
            <v>176</v>
          </cell>
          <cell r="K434" t="str">
            <v>Headcount - Temp</v>
          </cell>
          <cell r="P434">
            <v>0</v>
          </cell>
        </row>
        <row r="435">
          <cell r="D435"/>
          <cell r="K435"/>
          <cell r="P435"/>
        </row>
        <row r="436">
          <cell r="D436">
            <v>176</v>
          </cell>
          <cell r="K436"/>
          <cell r="P436"/>
        </row>
        <row r="437">
          <cell r="D437">
            <v>176</v>
          </cell>
          <cell r="K437" t="str">
            <v>Salaries &amp; Wages</v>
          </cell>
          <cell r="P437">
            <v>0</v>
          </cell>
        </row>
        <row r="438">
          <cell r="D438">
            <v>176</v>
          </cell>
          <cell r="K438" t="str">
            <v>Pension &amp; Benefits</v>
          </cell>
          <cell r="P438">
            <v>0</v>
          </cell>
        </row>
        <row r="439">
          <cell r="D439">
            <v>176</v>
          </cell>
          <cell r="K439" t="str">
            <v>Overtime Salary</v>
          </cell>
          <cell r="P439">
            <v>0</v>
          </cell>
        </row>
        <row r="440">
          <cell r="D440">
            <v>176</v>
          </cell>
          <cell r="K440" t="str">
            <v>Overtime Benefits</v>
          </cell>
          <cell r="P440">
            <v>0</v>
          </cell>
        </row>
        <row r="441">
          <cell r="D441">
            <v>176</v>
          </cell>
          <cell r="K441"/>
          <cell r="P441">
            <v>0</v>
          </cell>
        </row>
        <row r="442">
          <cell r="D442"/>
          <cell r="K442"/>
          <cell r="P442"/>
        </row>
        <row r="443">
          <cell r="D443">
            <v>176</v>
          </cell>
          <cell r="K443"/>
          <cell r="P443"/>
        </row>
        <row r="444">
          <cell r="D444">
            <v>176</v>
          </cell>
          <cell r="K444" t="str">
            <v>Salaries &amp; Wages</v>
          </cell>
          <cell r="P444">
            <v>0</v>
          </cell>
        </row>
        <row r="445">
          <cell r="D445">
            <v>176</v>
          </cell>
          <cell r="K445" t="str">
            <v>Pension &amp; Benefits</v>
          </cell>
          <cell r="P445">
            <v>0</v>
          </cell>
        </row>
        <row r="446">
          <cell r="D446">
            <v>176</v>
          </cell>
          <cell r="K446" t="str">
            <v>Overtime Salary</v>
          </cell>
          <cell r="P446">
            <v>0</v>
          </cell>
        </row>
        <row r="447">
          <cell r="D447">
            <v>176</v>
          </cell>
          <cell r="K447" t="str">
            <v>Overtime Benefits</v>
          </cell>
          <cell r="P447">
            <v>0</v>
          </cell>
        </row>
        <row r="448">
          <cell r="D448">
            <v>176</v>
          </cell>
          <cell r="K448"/>
          <cell r="P448">
            <v>0</v>
          </cell>
        </row>
        <row r="450">
          <cell r="D450">
            <v>176</v>
          </cell>
          <cell r="K450"/>
          <cell r="P450"/>
        </row>
        <row r="451">
          <cell r="D451">
            <v>176</v>
          </cell>
          <cell r="K451" t="str">
            <v>Materials &amp; Supplies</v>
          </cell>
          <cell r="P451">
            <v>7151.7</v>
          </cell>
        </row>
        <row r="452">
          <cell r="D452">
            <v>176</v>
          </cell>
          <cell r="K452" t="str">
            <v>Transportation, Per Diem, and Mileage</v>
          </cell>
          <cell r="P452">
            <v>0</v>
          </cell>
        </row>
        <row r="453">
          <cell r="D453">
            <v>176</v>
          </cell>
          <cell r="K453" t="str">
            <v>Transportation, Per Diem, and Mileage</v>
          </cell>
          <cell r="P453">
            <v>6150</v>
          </cell>
        </row>
        <row r="454">
          <cell r="D454">
            <v>176</v>
          </cell>
          <cell r="K454" t="str">
            <v>Transportation, Per Diem, and Mileage</v>
          </cell>
          <cell r="P454">
            <v>5000</v>
          </cell>
        </row>
        <row r="455">
          <cell r="D455">
            <v>176</v>
          </cell>
          <cell r="K455" t="str">
            <v>Transportation, Per Diem, and Mileage</v>
          </cell>
          <cell r="P455">
            <v>0</v>
          </cell>
        </row>
        <row r="456">
          <cell r="D456">
            <v>176</v>
          </cell>
          <cell r="K456" t="str">
            <v>Transportation, Per Diem, and Mileage</v>
          </cell>
          <cell r="P456">
            <v>0</v>
          </cell>
        </row>
        <row r="457">
          <cell r="D457">
            <v>176</v>
          </cell>
          <cell r="K457" t="str">
            <v>Transportation, Per Diem, and Mileage</v>
          </cell>
          <cell r="P457">
            <v>0</v>
          </cell>
        </row>
        <row r="458">
          <cell r="D458">
            <v>176</v>
          </cell>
          <cell r="K458" t="str">
            <v>Equipment, Inspections, Repairs &amp; Other O&amp;M</v>
          </cell>
          <cell r="P458">
            <v>0</v>
          </cell>
        </row>
        <row r="459">
          <cell r="D459">
            <v>176</v>
          </cell>
          <cell r="K459" t="str">
            <v>Equipment, Inspections, Repairs &amp; Other O&amp;M</v>
          </cell>
          <cell r="P459">
            <v>0</v>
          </cell>
        </row>
        <row r="460">
          <cell r="D460">
            <v>176</v>
          </cell>
          <cell r="K460" t="str">
            <v>Professional &amp; Technical Outsourced Services</v>
          </cell>
          <cell r="P460">
            <v>0</v>
          </cell>
        </row>
        <row r="461">
          <cell r="D461">
            <v>176</v>
          </cell>
          <cell r="K461" t="str">
            <v>Equipment, Inspections, Repairs &amp; Other O&amp;M</v>
          </cell>
          <cell r="P461">
            <v>0</v>
          </cell>
        </row>
        <row r="462">
          <cell r="D462">
            <v>176</v>
          </cell>
          <cell r="K462"/>
          <cell r="P462">
            <v>18301.7</v>
          </cell>
        </row>
        <row r="463">
          <cell r="D463"/>
          <cell r="K463"/>
          <cell r="P463"/>
        </row>
        <row r="464">
          <cell r="D464">
            <v>176</v>
          </cell>
          <cell r="K464"/>
          <cell r="P464">
            <v>18301.7</v>
          </cell>
        </row>
        <row r="466">
          <cell r="D466">
            <v>195</v>
          </cell>
          <cell r="K466"/>
          <cell r="P466"/>
        </row>
        <row r="467">
          <cell r="D467"/>
          <cell r="K467"/>
          <cell r="P467"/>
        </row>
        <row r="468">
          <cell r="D468">
            <v>195</v>
          </cell>
          <cell r="K468" t="str">
            <v>Headcount</v>
          </cell>
          <cell r="P468">
            <v>0</v>
          </cell>
        </row>
        <row r="469">
          <cell r="D469">
            <v>195</v>
          </cell>
          <cell r="K469" t="str">
            <v>Headcount - Temp</v>
          </cell>
          <cell r="P469">
            <v>0</v>
          </cell>
        </row>
        <row r="470">
          <cell r="D470"/>
          <cell r="K470"/>
          <cell r="P470"/>
        </row>
        <row r="471">
          <cell r="D471">
            <v>195</v>
          </cell>
          <cell r="K471"/>
          <cell r="P471"/>
        </row>
        <row r="472">
          <cell r="D472">
            <v>195</v>
          </cell>
          <cell r="K472" t="str">
            <v>Salaries &amp; Wages</v>
          </cell>
          <cell r="P472">
            <v>0</v>
          </cell>
        </row>
        <row r="473">
          <cell r="D473">
            <v>195</v>
          </cell>
          <cell r="K473" t="str">
            <v>Pension &amp; Benefits</v>
          </cell>
          <cell r="P473">
            <v>0</v>
          </cell>
        </row>
        <row r="474">
          <cell r="D474">
            <v>195</v>
          </cell>
          <cell r="K474" t="str">
            <v>Overtime Salary</v>
          </cell>
          <cell r="P474">
            <v>0</v>
          </cell>
        </row>
        <row r="475">
          <cell r="D475">
            <v>195</v>
          </cell>
          <cell r="K475" t="str">
            <v>Overtime Benefits</v>
          </cell>
          <cell r="P475">
            <v>0</v>
          </cell>
        </row>
        <row r="476">
          <cell r="D476">
            <v>195</v>
          </cell>
          <cell r="K476"/>
          <cell r="P476">
            <v>0</v>
          </cell>
        </row>
        <row r="477">
          <cell r="D477"/>
          <cell r="K477"/>
          <cell r="P477"/>
        </row>
        <row r="478">
          <cell r="D478">
            <v>195</v>
          </cell>
          <cell r="K478"/>
          <cell r="P478"/>
        </row>
        <row r="479">
          <cell r="D479">
            <v>195</v>
          </cell>
          <cell r="K479" t="str">
            <v>Salaries &amp; Wages</v>
          </cell>
          <cell r="P479">
            <v>0</v>
          </cell>
        </row>
        <row r="480">
          <cell r="D480">
            <v>195</v>
          </cell>
          <cell r="K480" t="str">
            <v>Pension &amp; Benefits</v>
          </cell>
          <cell r="P480">
            <v>0</v>
          </cell>
        </row>
        <row r="481">
          <cell r="D481">
            <v>195</v>
          </cell>
          <cell r="K481" t="str">
            <v>Overtime Salary</v>
          </cell>
          <cell r="P481">
            <v>0</v>
          </cell>
        </row>
        <row r="482">
          <cell r="D482">
            <v>195</v>
          </cell>
          <cell r="K482" t="str">
            <v>Overtime Benefits</v>
          </cell>
          <cell r="P482">
            <v>0</v>
          </cell>
        </row>
        <row r="483">
          <cell r="D483">
            <v>195</v>
          </cell>
          <cell r="K483"/>
          <cell r="P483">
            <v>0</v>
          </cell>
        </row>
        <row r="484">
          <cell r="D484"/>
          <cell r="K484"/>
          <cell r="P484"/>
        </row>
        <row r="485">
          <cell r="D485">
            <v>195</v>
          </cell>
          <cell r="K485"/>
          <cell r="P485"/>
        </row>
        <row r="486">
          <cell r="D486">
            <v>195</v>
          </cell>
          <cell r="K486" t="str">
            <v>Materials &amp; Supplies</v>
          </cell>
          <cell r="P486">
            <v>42347.210000000006</v>
          </cell>
        </row>
        <row r="487">
          <cell r="D487">
            <v>195</v>
          </cell>
          <cell r="K487" t="str">
            <v>Transportation, Per Diem, and Mileage</v>
          </cell>
          <cell r="P487">
            <v>0</v>
          </cell>
        </row>
        <row r="488">
          <cell r="D488">
            <v>195</v>
          </cell>
          <cell r="K488" t="str">
            <v>Transportation, Per Diem, and Mileage</v>
          </cell>
          <cell r="P488">
            <v>712.5</v>
          </cell>
        </row>
        <row r="489">
          <cell r="D489">
            <v>195</v>
          </cell>
          <cell r="K489" t="str">
            <v>Transportation, Per Diem, and Mileage</v>
          </cell>
          <cell r="P489">
            <v>500</v>
          </cell>
        </row>
        <row r="490">
          <cell r="D490">
            <v>195</v>
          </cell>
          <cell r="K490" t="str">
            <v>Transportation, Per Diem, and Mileage</v>
          </cell>
          <cell r="P490">
            <v>0</v>
          </cell>
        </row>
        <row r="491">
          <cell r="D491">
            <v>195</v>
          </cell>
          <cell r="K491" t="str">
            <v>Transportation, Per Diem, and Mileage</v>
          </cell>
          <cell r="P491">
            <v>0</v>
          </cell>
        </row>
        <row r="492">
          <cell r="D492">
            <v>195</v>
          </cell>
          <cell r="K492" t="str">
            <v>Transportation, Per Diem, and Mileage</v>
          </cell>
          <cell r="P492">
            <v>0</v>
          </cell>
        </row>
        <row r="493">
          <cell r="D493">
            <v>195</v>
          </cell>
          <cell r="K493" t="str">
            <v>Equipment, Inspections, Repairs &amp; Other O&amp;M</v>
          </cell>
          <cell r="P493">
            <v>0</v>
          </cell>
        </row>
        <row r="494">
          <cell r="D494">
            <v>195</v>
          </cell>
          <cell r="K494" t="str">
            <v>Equipment, Inspections, Repairs &amp; Other O&amp;M</v>
          </cell>
          <cell r="P494">
            <v>500</v>
          </cell>
        </row>
        <row r="495">
          <cell r="D495">
            <v>195</v>
          </cell>
          <cell r="K495" t="str">
            <v>Professional &amp; Technical Outsourced Services</v>
          </cell>
          <cell r="P495">
            <v>500000</v>
          </cell>
        </row>
        <row r="496">
          <cell r="D496">
            <v>195</v>
          </cell>
          <cell r="K496" t="str">
            <v>Equipment, Inspections, Repairs &amp; Other O&amp;M</v>
          </cell>
          <cell r="P496">
            <v>164000</v>
          </cell>
        </row>
        <row r="497">
          <cell r="D497">
            <v>195</v>
          </cell>
          <cell r="K497"/>
          <cell r="P497">
            <v>708059.71</v>
          </cell>
        </row>
        <row r="499">
          <cell r="D499">
            <v>195</v>
          </cell>
          <cell r="K499"/>
          <cell r="P499">
            <v>708059.71</v>
          </cell>
        </row>
        <row r="500">
          <cell r="D500"/>
          <cell r="K500"/>
        </row>
        <row r="501">
          <cell r="D501">
            <v>241</v>
          </cell>
          <cell r="K501"/>
          <cell r="P501"/>
        </row>
        <row r="502">
          <cell r="D502"/>
          <cell r="K502"/>
          <cell r="P502"/>
        </row>
        <row r="503">
          <cell r="D503">
            <v>241</v>
          </cell>
          <cell r="K503" t="str">
            <v>Headcount</v>
          </cell>
          <cell r="P503">
            <v>0</v>
          </cell>
        </row>
        <row r="504">
          <cell r="D504">
            <v>241</v>
          </cell>
          <cell r="K504" t="str">
            <v>Headcount - Temp</v>
          </cell>
          <cell r="P504">
            <v>0</v>
          </cell>
        </row>
        <row r="505">
          <cell r="D505"/>
          <cell r="K505"/>
          <cell r="P505"/>
        </row>
        <row r="506">
          <cell r="D506">
            <v>241</v>
          </cell>
          <cell r="K506"/>
          <cell r="P506"/>
        </row>
        <row r="507">
          <cell r="D507">
            <v>241</v>
          </cell>
          <cell r="K507" t="str">
            <v>Salaries &amp; Wages</v>
          </cell>
          <cell r="P507">
            <v>0</v>
          </cell>
        </row>
        <row r="508">
          <cell r="D508">
            <v>241</v>
          </cell>
          <cell r="K508" t="str">
            <v>Pension &amp; Benefits</v>
          </cell>
          <cell r="P508">
            <v>0</v>
          </cell>
        </row>
        <row r="509">
          <cell r="D509">
            <v>241</v>
          </cell>
          <cell r="K509" t="str">
            <v>Overtime Salary</v>
          </cell>
          <cell r="P509">
            <v>0</v>
          </cell>
        </row>
        <row r="510">
          <cell r="D510">
            <v>241</v>
          </cell>
          <cell r="K510" t="str">
            <v>Overtime Benefits</v>
          </cell>
          <cell r="P510">
            <v>0</v>
          </cell>
        </row>
        <row r="511">
          <cell r="D511">
            <v>241</v>
          </cell>
          <cell r="K511"/>
          <cell r="P511">
            <v>0</v>
          </cell>
        </row>
        <row r="512">
          <cell r="D512"/>
          <cell r="K512"/>
          <cell r="P512"/>
        </row>
        <row r="513">
          <cell r="D513">
            <v>241</v>
          </cell>
          <cell r="K513"/>
          <cell r="P513"/>
        </row>
        <row r="514">
          <cell r="D514">
            <v>241</v>
          </cell>
          <cell r="K514" t="str">
            <v>Salaries &amp; Wages</v>
          </cell>
          <cell r="P514">
            <v>0</v>
          </cell>
        </row>
        <row r="515">
          <cell r="D515">
            <v>241</v>
          </cell>
          <cell r="K515" t="str">
            <v>Pension &amp; Benefits</v>
          </cell>
          <cell r="P515">
            <v>0</v>
          </cell>
        </row>
        <row r="516">
          <cell r="D516">
            <v>241</v>
          </cell>
          <cell r="K516" t="str">
            <v>Overtime Salary</v>
          </cell>
          <cell r="P516">
            <v>0</v>
          </cell>
        </row>
        <row r="517">
          <cell r="D517">
            <v>241</v>
          </cell>
          <cell r="K517" t="str">
            <v>Overtime Benefits</v>
          </cell>
          <cell r="P517">
            <v>0</v>
          </cell>
        </row>
        <row r="518">
          <cell r="D518">
            <v>241</v>
          </cell>
          <cell r="K518"/>
          <cell r="P518">
            <v>0</v>
          </cell>
        </row>
        <row r="519">
          <cell r="D519"/>
          <cell r="K519"/>
          <cell r="P519"/>
        </row>
        <row r="520">
          <cell r="D520">
            <v>241</v>
          </cell>
          <cell r="K520"/>
          <cell r="P520"/>
        </row>
        <row r="521">
          <cell r="D521">
            <v>241</v>
          </cell>
          <cell r="K521" t="str">
            <v>Materials &amp; Supplies</v>
          </cell>
          <cell r="P521">
            <v>4300</v>
          </cell>
        </row>
        <row r="522">
          <cell r="D522">
            <v>241</v>
          </cell>
          <cell r="K522" t="str">
            <v>Transportation, Per Diem, and Mileage</v>
          </cell>
          <cell r="P522">
            <v>0</v>
          </cell>
        </row>
        <row r="523">
          <cell r="D523">
            <v>241</v>
          </cell>
          <cell r="K523" t="str">
            <v>Transportation, Per Diem, and Mileage</v>
          </cell>
          <cell r="P523">
            <v>800</v>
          </cell>
        </row>
        <row r="524">
          <cell r="D524">
            <v>241</v>
          </cell>
          <cell r="K524" t="str">
            <v>Transportation, Per Diem, and Mileage</v>
          </cell>
          <cell r="P524">
            <v>375</v>
          </cell>
        </row>
        <row r="525">
          <cell r="D525">
            <v>241</v>
          </cell>
          <cell r="K525" t="str">
            <v>Transportation, Per Diem, and Mileage</v>
          </cell>
          <cell r="P525">
            <v>1000</v>
          </cell>
        </row>
        <row r="526">
          <cell r="D526">
            <v>241</v>
          </cell>
          <cell r="K526" t="str">
            <v>Transportation, Per Diem, and Mileage</v>
          </cell>
          <cell r="P526">
            <v>250</v>
          </cell>
        </row>
        <row r="527">
          <cell r="D527">
            <v>241</v>
          </cell>
          <cell r="K527" t="str">
            <v>Transportation, Per Diem, and Mileage</v>
          </cell>
          <cell r="P527">
            <v>750</v>
          </cell>
        </row>
        <row r="528">
          <cell r="D528">
            <v>241</v>
          </cell>
          <cell r="K528" t="str">
            <v>Equipment, Inspections, Repairs &amp; Other O&amp;M</v>
          </cell>
          <cell r="P528">
            <v>0</v>
          </cell>
        </row>
        <row r="529">
          <cell r="D529">
            <v>241</v>
          </cell>
          <cell r="K529" t="str">
            <v>Equipment, Inspections, Repairs &amp; Other O&amp;M</v>
          </cell>
          <cell r="P529">
            <v>500</v>
          </cell>
        </row>
        <row r="530">
          <cell r="D530">
            <v>241</v>
          </cell>
          <cell r="K530" t="str">
            <v>Professional &amp; Technical Outsourced Services</v>
          </cell>
          <cell r="P530">
            <v>225000</v>
          </cell>
        </row>
        <row r="531">
          <cell r="D531">
            <v>241</v>
          </cell>
          <cell r="K531" t="str">
            <v>Equipment, Inspections, Repairs &amp; Other O&amp;M</v>
          </cell>
          <cell r="P531">
            <v>246540</v>
          </cell>
        </row>
        <row r="532">
          <cell r="D532">
            <v>241</v>
          </cell>
          <cell r="K532"/>
          <cell r="P532">
            <v>479515</v>
          </cell>
        </row>
        <row r="533">
          <cell r="D533"/>
          <cell r="K533"/>
          <cell r="P533"/>
        </row>
        <row r="534">
          <cell r="D534">
            <v>241</v>
          </cell>
          <cell r="K534"/>
          <cell r="P534">
            <v>479515</v>
          </cell>
        </row>
        <row r="535">
          <cell r="D535"/>
          <cell r="K535"/>
        </row>
        <row r="536">
          <cell r="D536">
            <v>651</v>
          </cell>
          <cell r="K536"/>
          <cell r="P536"/>
        </row>
        <row r="537">
          <cell r="D537"/>
          <cell r="K537"/>
          <cell r="P537"/>
        </row>
        <row r="538">
          <cell r="D538">
            <v>651</v>
          </cell>
          <cell r="K538" t="str">
            <v>Headcount</v>
          </cell>
          <cell r="P538">
            <v>0</v>
          </cell>
        </row>
        <row r="539">
          <cell r="D539">
            <v>651</v>
          </cell>
          <cell r="K539" t="str">
            <v>Headcount - Temp</v>
          </cell>
          <cell r="P539">
            <v>0</v>
          </cell>
        </row>
        <row r="540">
          <cell r="D540"/>
          <cell r="K540"/>
          <cell r="P540"/>
        </row>
        <row r="541">
          <cell r="D541">
            <v>651</v>
          </cell>
          <cell r="K541"/>
          <cell r="P541"/>
        </row>
        <row r="542">
          <cell r="D542">
            <v>651</v>
          </cell>
          <cell r="K542" t="str">
            <v>Salaries &amp; Wages</v>
          </cell>
          <cell r="P542">
            <v>0</v>
          </cell>
        </row>
        <row r="543">
          <cell r="D543">
            <v>651</v>
          </cell>
          <cell r="K543" t="str">
            <v>Pension &amp; Benefits</v>
          </cell>
          <cell r="P543">
            <v>0</v>
          </cell>
        </row>
        <row r="544">
          <cell r="D544">
            <v>651</v>
          </cell>
          <cell r="K544" t="str">
            <v>Overtime Salary</v>
          </cell>
          <cell r="P544">
            <v>0</v>
          </cell>
        </row>
        <row r="545">
          <cell r="D545">
            <v>651</v>
          </cell>
          <cell r="K545" t="str">
            <v>Overtime Benefits</v>
          </cell>
          <cell r="P545">
            <v>0</v>
          </cell>
        </row>
        <row r="546">
          <cell r="D546">
            <v>651</v>
          </cell>
          <cell r="K546"/>
          <cell r="P546">
            <v>0</v>
          </cell>
        </row>
        <row r="547">
          <cell r="D547"/>
          <cell r="K547"/>
          <cell r="P547"/>
        </row>
        <row r="548">
          <cell r="D548">
            <v>651</v>
          </cell>
          <cell r="K548"/>
          <cell r="P548"/>
        </row>
        <row r="549">
          <cell r="D549">
            <v>651</v>
          </cell>
          <cell r="K549" t="str">
            <v>Salaries &amp; Wages</v>
          </cell>
          <cell r="P549">
            <v>0</v>
          </cell>
        </row>
        <row r="550">
          <cell r="D550">
            <v>651</v>
          </cell>
          <cell r="K550" t="str">
            <v>Pension &amp; Benefits</v>
          </cell>
          <cell r="P550">
            <v>0</v>
          </cell>
        </row>
        <row r="551">
          <cell r="D551">
            <v>651</v>
          </cell>
          <cell r="K551" t="str">
            <v>Overtime Salary</v>
          </cell>
          <cell r="P551">
            <v>0</v>
          </cell>
        </row>
        <row r="552">
          <cell r="D552">
            <v>651</v>
          </cell>
          <cell r="K552" t="str">
            <v>Overtime Benefits</v>
          </cell>
          <cell r="P552">
            <v>0</v>
          </cell>
        </row>
        <row r="553">
          <cell r="D553">
            <v>651</v>
          </cell>
          <cell r="K553"/>
          <cell r="P553">
            <v>0</v>
          </cell>
        </row>
        <row r="554">
          <cell r="D554"/>
          <cell r="K554"/>
          <cell r="P554"/>
        </row>
        <row r="555">
          <cell r="D555">
            <v>651</v>
          </cell>
          <cell r="K555"/>
          <cell r="P555"/>
        </row>
        <row r="556">
          <cell r="D556">
            <v>651</v>
          </cell>
          <cell r="K556" t="str">
            <v>Materials &amp; Supplies</v>
          </cell>
          <cell r="P556">
            <v>2720.16</v>
          </cell>
        </row>
        <row r="557">
          <cell r="D557">
            <v>651</v>
          </cell>
          <cell r="K557" t="str">
            <v>Transportation, Per Diem, and Mileage</v>
          </cell>
          <cell r="P557">
            <v>5596.8</v>
          </cell>
        </row>
        <row r="558">
          <cell r="D558">
            <v>651</v>
          </cell>
          <cell r="K558" t="str">
            <v>Transportation, Per Diem, and Mileage</v>
          </cell>
          <cell r="P558">
            <v>3874</v>
          </cell>
        </row>
        <row r="559">
          <cell r="D559">
            <v>651</v>
          </cell>
          <cell r="K559" t="str">
            <v>Transportation, Per Diem, and Mileage</v>
          </cell>
          <cell r="P559">
            <v>50</v>
          </cell>
        </row>
        <row r="560">
          <cell r="D560">
            <v>651</v>
          </cell>
          <cell r="K560" t="str">
            <v>Transportation, Per Diem, and Mileage</v>
          </cell>
          <cell r="P560">
            <v>0</v>
          </cell>
        </row>
        <row r="561">
          <cell r="D561">
            <v>651</v>
          </cell>
          <cell r="K561" t="str">
            <v>Transportation, Per Diem, and Mileage</v>
          </cell>
          <cell r="P561">
            <v>0</v>
          </cell>
        </row>
        <row r="562">
          <cell r="D562">
            <v>651</v>
          </cell>
          <cell r="K562" t="str">
            <v>Transportation, Per Diem, and Mileage</v>
          </cell>
          <cell r="P562">
            <v>0</v>
          </cell>
        </row>
        <row r="563">
          <cell r="D563">
            <v>651</v>
          </cell>
          <cell r="K563" t="str">
            <v>Equipment, Inspections, Repairs &amp; Other O&amp;M</v>
          </cell>
          <cell r="P563">
            <v>0</v>
          </cell>
        </row>
        <row r="564">
          <cell r="D564">
            <v>651</v>
          </cell>
          <cell r="K564" t="str">
            <v>Equipment, Inspections, Repairs &amp; Other O&amp;M</v>
          </cell>
          <cell r="P564">
            <v>0</v>
          </cell>
        </row>
        <row r="565">
          <cell r="D565">
            <v>651</v>
          </cell>
          <cell r="K565" t="str">
            <v>Professional &amp; Technical Outsourced Services</v>
          </cell>
          <cell r="P565">
            <v>300000</v>
          </cell>
        </row>
        <row r="566">
          <cell r="D566">
            <v>651</v>
          </cell>
          <cell r="K566" t="str">
            <v>Equipment, Inspections, Repairs &amp; Other O&amp;M</v>
          </cell>
          <cell r="P566">
            <v>0</v>
          </cell>
        </row>
        <row r="567">
          <cell r="D567">
            <v>651</v>
          </cell>
          <cell r="K567"/>
          <cell r="P567">
            <v>312240.96000000002</v>
          </cell>
        </row>
        <row r="568">
          <cell r="D568"/>
          <cell r="K568"/>
          <cell r="P568"/>
        </row>
        <row r="569">
          <cell r="D569">
            <v>651</v>
          </cell>
          <cell r="K569"/>
          <cell r="P569">
            <v>312240.96000000002</v>
          </cell>
        </row>
        <row r="570">
          <cell r="D570"/>
          <cell r="K570"/>
        </row>
        <row r="571">
          <cell r="D571">
            <v>172</v>
          </cell>
          <cell r="K571"/>
          <cell r="P571"/>
        </row>
        <row r="572">
          <cell r="D572"/>
          <cell r="K572"/>
          <cell r="P572"/>
        </row>
        <row r="573">
          <cell r="D573">
            <v>172</v>
          </cell>
          <cell r="K573" t="str">
            <v>Headcount</v>
          </cell>
          <cell r="P573">
            <v>0</v>
          </cell>
        </row>
        <row r="574">
          <cell r="D574">
            <v>172</v>
          </cell>
          <cell r="K574" t="str">
            <v>Headcount - Temp</v>
          </cell>
          <cell r="P574">
            <v>0</v>
          </cell>
        </row>
        <row r="575">
          <cell r="D575"/>
          <cell r="K575"/>
          <cell r="P575"/>
        </row>
        <row r="576">
          <cell r="D576">
            <v>172</v>
          </cell>
          <cell r="K576"/>
          <cell r="P576"/>
        </row>
        <row r="577">
          <cell r="D577">
            <v>172</v>
          </cell>
          <cell r="K577" t="str">
            <v>Salaries &amp; Wages</v>
          </cell>
          <cell r="P577">
            <v>0</v>
          </cell>
        </row>
        <row r="578">
          <cell r="D578">
            <v>172</v>
          </cell>
          <cell r="K578" t="str">
            <v>Pension &amp; Benefits</v>
          </cell>
          <cell r="P578">
            <v>0</v>
          </cell>
        </row>
        <row r="579">
          <cell r="D579">
            <v>172</v>
          </cell>
          <cell r="K579" t="str">
            <v>Overtime Salary</v>
          </cell>
          <cell r="P579">
            <v>0</v>
          </cell>
        </row>
        <row r="580">
          <cell r="D580">
            <v>172</v>
          </cell>
          <cell r="K580" t="str">
            <v>Overtime Benefits</v>
          </cell>
          <cell r="P580">
            <v>0</v>
          </cell>
        </row>
        <row r="581">
          <cell r="D581">
            <v>172</v>
          </cell>
          <cell r="K581"/>
          <cell r="P581">
            <v>0</v>
          </cell>
        </row>
        <row r="582">
          <cell r="D582"/>
          <cell r="K582"/>
          <cell r="P582"/>
        </row>
        <row r="583">
          <cell r="D583">
            <v>172</v>
          </cell>
          <cell r="K583"/>
          <cell r="P583"/>
        </row>
        <row r="584">
          <cell r="D584">
            <v>172</v>
          </cell>
          <cell r="K584" t="str">
            <v>Salaries &amp; Wages</v>
          </cell>
          <cell r="P584">
            <v>0</v>
          </cell>
        </row>
        <row r="585">
          <cell r="D585">
            <v>172</v>
          </cell>
          <cell r="K585" t="str">
            <v>Pension &amp; Benefits</v>
          </cell>
          <cell r="P585">
            <v>0</v>
          </cell>
        </row>
        <row r="586">
          <cell r="D586">
            <v>172</v>
          </cell>
          <cell r="K586" t="str">
            <v>Overtime Salary</v>
          </cell>
          <cell r="P586">
            <v>0</v>
          </cell>
        </row>
        <row r="587">
          <cell r="D587">
            <v>172</v>
          </cell>
          <cell r="K587" t="str">
            <v>Overtime Benefits</v>
          </cell>
          <cell r="P587">
            <v>0</v>
          </cell>
        </row>
        <row r="588">
          <cell r="D588">
            <v>172</v>
          </cell>
          <cell r="K588"/>
          <cell r="P588">
            <v>0</v>
          </cell>
        </row>
        <row r="589">
          <cell r="D589"/>
          <cell r="K589"/>
          <cell r="P589"/>
        </row>
        <row r="590">
          <cell r="D590">
            <v>172</v>
          </cell>
          <cell r="K590"/>
          <cell r="P590"/>
        </row>
        <row r="591">
          <cell r="D591">
            <v>172</v>
          </cell>
          <cell r="K591" t="str">
            <v>Materials &amp; Supplies</v>
          </cell>
          <cell r="P591">
            <v>8462.0300000000007</v>
          </cell>
        </row>
        <row r="592">
          <cell r="D592">
            <v>172</v>
          </cell>
          <cell r="K592" t="str">
            <v>Transportation, Per Diem, and Mileage</v>
          </cell>
          <cell r="P592">
            <v>19920</v>
          </cell>
        </row>
        <row r="593">
          <cell r="D593">
            <v>172</v>
          </cell>
          <cell r="K593" t="str">
            <v>Transportation, Per Diem, and Mileage</v>
          </cell>
          <cell r="P593">
            <v>746</v>
          </cell>
        </row>
        <row r="594">
          <cell r="D594">
            <v>172</v>
          </cell>
          <cell r="K594" t="str">
            <v>Transportation, Per Diem, and Mileage</v>
          </cell>
          <cell r="P594">
            <v>650</v>
          </cell>
        </row>
        <row r="595">
          <cell r="D595">
            <v>172</v>
          </cell>
          <cell r="K595" t="str">
            <v>Transportation, Per Diem, and Mileage</v>
          </cell>
          <cell r="P595">
            <v>0</v>
          </cell>
        </row>
        <row r="596">
          <cell r="D596">
            <v>172</v>
          </cell>
          <cell r="K596" t="str">
            <v>Transportation, Per Diem, and Mileage</v>
          </cell>
          <cell r="P596">
            <v>0</v>
          </cell>
        </row>
        <row r="597">
          <cell r="D597">
            <v>172</v>
          </cell>
          <cell r="K597" t="str">
            <v>Transportation, Per Diem, and Mileage</v>
          </cell>
          <cell r="P597">
            <v>0</v>
          </cell>
        </row>
        <row r="598">
          <cell r="D598">
            <v>172</v>
          </cell>
          <cell r="K598" t="str">
            <v>Equipment, Inspections, Repairs &amp; Other O&amp;M</v>
          </cell>
          <cell r="P598">
            <v>0</v>
          </cell>
        </row>
        <row r="599">
          <cell r="D599">
            <v>172</v>
          </cell>
          <cell r="K599" t="str">
            <v>Equipment, Inspections, Repairs &amp; Other O&amp;M</v>
          </cell>
          <cell r="P599">
            <v>0</v>
          </cell>
        </row>
        <row r="600">
          <cell r="D600">
            <v>172</v>
          </cell>
          <cell r="K600" t="str">
            <v>Professional &amp; Technical Outsourced Services</v>
          </cell>
          <cell r="P600">
            <v>3000</v>
          </cell>
        </row>
        <row r="601">
          <cell r="D601">
            <v>172</v>
          </cell>
          <cell r="K601" t="str">
            <v>Equipment, Inspections, Repairs &amp; Other O&amp;M</v>
          </cell>
          <cell r="P601">
            <v>18969.599999999999</v>
          </cell>
        </row>
        <row r="602">
          <cell r="D602">
            <v>172</v>
          </cell>
          <cell r="K602"/>
          <cell r="P602">
            <v>51747.63</v>
          </cell>
        </row>
        <row r="603">
          <cell r="D603">
            <v>172</v>
          </cell>
          <cell r="K603"/>
          <cell r="P603"/>
        </row>
        <row r="604">
          <cell r="D604">
            <v>172</v>
          </cell>
          <cell r="K604"/>
          <cell r="P604">
            <v>51747.63</v>
          </cell>
        </row>
        <row r="605">
          <cell r="D605"/>
          <cell r="K605"/>
        </row>
        <row r="606">
          <cell r="D606">
            <v>183</v>
          </cell>
          <cell r="K606"/>
          <cell r="P606"/>
        </row>
        <row r="607">
          <cell r="D607"/>
          <cell r="K607"/>
          <cell r="P607"/>
        </row>
        <row r="608">
          <cell r="D608">
            <v>183</v>
          </cell>
          <cell r="K608" t="str">
            <v>Headcount</v>
          </cell>
          <cell r="P608">
            <v>0</v>
          </cell>
        </row>
        <row r="609">
          <cell r="D609">
            <v>183</v>
          </cell>
          <cell r="K609" t="str">
            <v>Headcount - Temp</v>
          </cell>
          <cell r="P609">
            <v>0</v>
          </cell>
        </row>
        <row r="611">
          <cell r="D611">
            <v>183</v>
          </cell>
          <cell r="K611"/>
          <cell r="P611"/>
        </row>
        <row r="612">
          <cell r="D612">
            <v>183</v>
          </cell>
          <cell r="K612" t="str">
            <v>Salaries &amp; Wages</v>
          </cell>
          <cell r="P612">
            <v>0</v>
          </cell>
        </row>
        <row r="613">
          <cell r="D613">
            <v>183</v>
          </cell>
          <cell r="K613" t="str">
            <v>Pension &amp; Benefits</v>
          </cell>
          <cell r="P613">
            <v>0</v>
          </cell>
        </row>
        <row r="614">
          <cell r="D614">
            <v>183</v>
          </cell>
          <cell r="K614" t="str">
            <v>Overtime Salary</v>
          </cell>
          <cell r="P614">
            <v>0</v>
          </cell>
        </row>
        <row r="615">
          <cell r="D615">
            <v>183</v>
          </cell>
          <cell r="K615" t="str">
            <v>Overtime Benefits</v>
          </cell>
          <cell r="P615">
            <v>0</v>
          </cell>
        </row>
        <row r="616">
          <cell r="D616">
            <v>183</v>
          </cell>
          <cell r="K616"/>
          <cell r="P616">
            <v>0</v>
          </cell>
        </row>
        <row r="617">
          <cell r="D617"/>
          <cell r="K617"/>
          <cell r="P617"/>
        </row>
        <row r="618">
          <cell r="D618">
            <v>183</v>
          </cell>
          <cell r="K618"/>
          <cell r="P618"/>
        </row>
        <row r="619">
          <cell r="D619">
            <v>183</v>
          </cell>
          <cell r="K619" t="str">
            <v>Salaries &amp; Wages</v>
          </cell>
          <cell r="P619">
            <v>0</v>
          </cell>
        </row>
        <row r="620">
          <cell r="D620">
            <v>183</v>
          </cell>
          <cell r="K620" t="str">
            <v>Pension &amp; Benefits</v>
          </cell>
          <cell r="P620">
            <v>0</v>
          </cell>
        </row>
        <row r="621">
          <cell r="D621">
            <v>183</v>
          </cell>
          <cell r="K621" t="str">
            <v>Overtime Salary</v>
          </cell>
          <cell r="P621">
            <v>0</v>
          </cell>
        </row>
        <row r="622">
          <cell r="D622">
            <v>183</v>
          </cell>
          <cell r="K622" t="str">
            <v>Overtime Benefits</v>
          </cell>
          <cell r="P622">
            <v>0</v>
          </cell>
        </row>
        <row r="623">
          <cell r="D623">
            <v>183</v>
          </cell>
          <cell r="K623"/>
          <cell r="P623">
            <v>0</v>
          </cell>
        </row>
        <row r="624">
          <cell r="D624"/>
          <cell r="K624"/>
          <cell r="P624"/>
        </row>
        <row r="625">
          <cell r="D625">
            <v>183</v>
          </cell>
          <cell r="K625"/>
          <cell r="P625"/>
        </row>
        <row r="626">
          <cell r="D626">
            <v>183</v>
          </cell>
          <cell r="K626" t="str">
            <v>Materials &amp; Supplies</v>
          </cell>
          <cell r="P626">
            <v>55459.86</v>
          </cell>
        </row>
        <row r="627">
          <cell r="D627">
            <v>183</v>
          </cell>
          <cell r="K627" t="str">
            <v>Transportation, Per Diem, and Mileage</v>
          </cell>
          <cell r="P627">
            <v>95059.199999999997</v>
          </cell>
        </row>
        <row r="628">
          <cell r="D628">
            <v>183</v>
          </cell>
          <cell r="K628" t="str">
            <v>Transportation, Per Diem, and Mileage</v>
          </cell>
          <cell r="P628">
            <v>82590</v>
          </cell>
        </row>
        <row r="629">
          <cell r="D629">
            <v>183</v>
          </cell>
          <cell r="K629" t="str">
            <v>Transportation, Per Diem, and Mileage</v>
          </cell>
          <cell r="P629">
            <v>2520</v>
          </cell>
        </row>
        <row r="630">
          <cell r="D630">
            <v>183</v>
          </cell>
          <cell r="K630" t="str">
            <v>Transportation, Per Diem, and Mileage</v>
          </cell>
          <cell r="P630">
            <v>0</v>
          </cell>
        </row>
        <row r="631">
          <cell r="D631">
            <v>183</v>
          </cell>
          <cell r="K631" t="str">
            <v>Transportation, Per Diem, and Mileage</v>
          </cell>
          <cell r="P631">
            <v>0</v>
          </cell>
        </row>
        <row r="632">
          <cell r="D632">
            <v>183</v>
          </cell>
          <cell r="K632" t="str">
            <v>Transportation, Per Diem, and Mileage</v>
          </cell>
          <cell r="P632">
            <v>0</v>
          </cell>
        </row>
        <row r="633">
          <cell r="D633">
            <v>183</v>
          </cell>
          <cell r="K633" t="str">
            <v>Equipment, Inspections, Repairs &amp; Other O&amp;M</v>
          </cell>
          <cell r="P633">
            <v>0</v>
          </cell>
        </row>
        <row r="634">
          <cell r="D634">
            <v>183</v>
          </cell>
          <cell r="K634" t="str">
            <v>Equipment, Inspections, Repairs &amp; Other O&amp;M</v>
          </cell>
          <cell r="P634">
            <v>0</v>
          </cell>
        </row>
        <row r="635">
          <cell r="D635">
            <v>183</v>
          </cell>
          <cell r="K635" t="str">
            <v>Professional &amp; Technical Outsourced Services</v>
          </cell>
          <cell r="P635">
            <v>440000</v>
          </cell>
        </row>
        <row r="636">
          <cell r="D636">
            <v>183</v>
          </cell>
          <cell r="K636" t="str">
            <v>Equipment, Inspections, Repairs &amp; Other O&amp;M</v>
          </cell>
          <cell r="P636">
            <v>306920</v>
          </cell>
        </row>
        <row r="637">
          <cell r="D637">
            <v>183</v>
          </cell>
          <cell r="K637"/>
          <cell r="P637">
            <v>982549.06</v>
          </cell>
        </row>
        <row r="638">
          <cell r="D638"/>
          <cell r="K638"/>
          <cell r="P638"/>
        </row>
        <row r="639">
          <cell r="D639">
            <v>183</v>
          </cell>
          <cell r="K639"/>
          <cell r="P639">
            <v>982549.06</v>
          </cell>
        </row>
        <row r="640">
          <cell r="D640"/>
          <cell r="K640"/>
        </row>
        <row r="641">
          <cell r="D641">
            <v>218</v>
          </cell>
          <cell r="K641"/>
          <cell r="P641"/>
        </row>
        <row r="643">
          <cell r="D643">
            <v>218</v>
          </cell>
          <cell r="K643" t="str">
            <v>Headcount</v>
          </cell>
          <cell r="P643">
            <v>0</v>
          </cell>
        </row>
        <row r="644">
          <cell r="D644">
            <v>218</v>
          </cell>
          <cell r="K644" t="str">
            <v>Headcount - Temp</v>
          </cell>
          <cell r="P644">
            <v>0</v>
          </cell>
        </row>
        <row r="645">
          <cell r="D645"/>
          <cell r="K645"/>
          <cell r="P645"/>
        </row>
        <row r="646">
          <cell r="D646">
            <v>218</v>
          </cell>
          <cell r="K646"/>
          <cell r="P646"/>
        </row>
        <row r="647">
          <cell r="D647">
            <v>218</v>
          </cell>
          <cell r="K647" t="str">
            <v>Salaries &amp; Wages</v>
          </cell>
          <cell r="P647">
            <v>0</v>
          </cell>
        </row>
        <row r="648">
          <cell r="D648">
            <v>218</v>
          </cell>
          <cell r="K648" t="str">
            <v>Pension &amp; Benefits</v>
          </cell>
          <cell r="P648">
            <v>0</v>
          </cell>
        </row>
        <row r="649">
          <cell r="D649">
            <v>218</v>
          </cell>
          <cell r="K649" t="str">
            <v>Overtime Salary</v>
          </cell>
          <cell r="P649">
            <v>0</v>
          </cell>
        </row>
        <row r="650">
          <cell r="D650">
            <v>218</v>
          </cell>
          <cell r="K650" t="str">
            <v>Overtime Benefits</v>
          </cell>
          <cell r="P650">
            <v>0</v>
          </cell>
        </row>
        <row r="651">
          <cell r="D651">
            <v>218</v>
          </cell>
          <cell r="K651"/>
          <cell r="P651">
            <v>0</v>
          </cell>
        </row>
        <row r="652">
          <cell r="D652"/>
          <cell r="K652"/>
          <cell r="P652"/>
        </row>
        <row r="653">
          <cell r="D653">
            <v>218</v>
          </cell>
          <cell r="K653"/>
          <cell r="P653"/>
        </row>
        <row r="654">
          <cell r="D654">
            <v>218</v>
          </cell>
          <cell r="K654" t="str">
            <v>Salaries &amp; Wages</v>
          </cell>
          <cell r="P654">
            <v>0</v>
          </cell>
        </row>
        <row r="655">
          <cell r="D655">
            <v>218</v>
          </cell>
          <cell r="K655" t="str">
            <v>Pension &amp; Benefits</v>
          </cell>
          <cell r="P655">
            <v>0</v>
          </cell>
        </row>
        <row r="656">
          <cell r="D656">
            <v>218</v>
          </cell>
          <cell r="K656" t="str">
            <v>Overtime Salary</v>
          </cell>
          <cell r="P656">
            <v>0</v>
          </cell>
        </row>
        <row r="657">
          <cell r="D657">
            <v>218</v>
          </cell>
          <cell r="K657" t="str">
            <v>Overtime Benefits</v>
          </cell>
          <cell r="P657">
            <v>0</v>
          </cell>
        </row>
        <row r="658">
          <cell r="D658">
            <v>218</v>
          </cell>
          <cell r="K658"/>
          <cell r="P658">
            <v>0</v>
          </cell>
        </row>
        <row r="659">
          <cell r="D659"/>
          <cell r="K659"/>
          <cell r="P659"/>
        </row>
        <row r="660">
          <cell r="D660">
            <v>218</v>
          </cell>
          <cell r="K660"/>
          <cell r="P660"/>
        </row>
        <row r="661">
          <cell r="D661">
            <v>218</v>
          </cell>
          <cell r="K661" t="str">
            <v>Materials &amp; Supplies</v>
          </cell>
          <cell r="P661">
            <v>9402.48</v>
          </cell>
        </row>
        <row r="662">
          <cell r="D662">
            <v>218</v>
          </cell>
          <cell r="K662" t="str">
            <v>Transportation, Per Diem, and Mileage</v>
          </cell>
          <cell r="P662">
            <v>14323.2</v>
          </cell>
        </row>
        <row r="663">
          <cell r="D663">
            <v>218</v>
          </cell>
          <cell r="K663" t="str">
            <v>Transportation, Per Diem, and Mileage</v>
          </cell>
          <cell r="P663">
            <v>2314</v>
          </cell>
        </row>
        <row r="664">
          <cell r="D664">
            <v>218</v>
          </cell>
          <cell r="K664" t="str">
            <v>Transportation, Per Diem, and Mileage</v>
          </cell>
          <cell r="P664">
            <v>0</v>
          </cell>
        </row>
        <row r="665">
          <cell r="D665">
            <v>218</v>
          </cell>
          <cell r="K665" t="str">
            <v>Transportation, Per Diem, and Mileage</v>
          </cell>
          <cell r="P665">
            <v>0</v>
          </cell>
        </row>
        <row r="666">
          <cell r="D666">
            <v>218</v>
          </cell>
          <cell r="K666" t="str">
            <v>Transportation, Per Diem, and Mileage</v>
          </cell>
          <cell r="P666">
            <v>0</v>
          </cell>
        </row>
        <row r="667">
          <cell r="D667">
            <v>218</v>
          </cell>
          <cell r="K667" t="str">
            <v>Transportation, Per Diem, and Mileage</v>
          </cell>
          <cell r="P667">
            <v>0</v>
          </cell>
        </row>
        <row r="668">
          <cell r="D668">
            <v>218</v>
          </cell>
          <cell r="K668" t="str">
            <v>Equipment, Inspections, Repairs &amp; Other O&amp;M</v>
          </cell>
          <cell r="P668">
            <v>0</v>
          </cell>
        </row>
        <row r="669">
          <cell r="D669">
            <v>218</v>
          </cell>
          <cell r="K669" t="str">
            <v>Equipment, Inspections, Repairs &amp; Other O&amp;M</v>
          </cell>
          <cell r="P669">
            <v>0</v>
          </cell>
        </row>
        <row r="670">
          <cell r="D670">
            <v>218</v>
          </cell>
          <cell r="K670" t="str">
            <v>Professional &amp; Technical Outsourced Services</v>
          </cell>
          <cell r="P670">
            <v>3000</v>
          </cell>
        </row>
        <row r="671">
          <cell r="D671">
            <v>218</v>
          </cell>
          <cell r="K671" t="str">
            <v>Equipment, Inspections, Repairs &amp; Other O&amp;M</v>
          </cell>
          <cell r="P671">
            <v>5500</v>
          </cell>
        </row>
        <row r="672">
          <cell r="D672">
            <v>218</v>
          </cell>
          <cell r="K672"/>
          <cell r="P672">
            <v>34539.68</v>
          </cell>
        </row>
        <row r="674">
          <cell r="D674">
            <v>218</v>
          </cell>
          <cell r="K674"/>
          <cell r="P674">
            <v>34539.68</v>
          </cell>
        </row>
        <row r="675">
          <cell r="D675"/>
          <cell r="K675"/>
        </row>
        <row r="676">
          <cell r="D676">
            <v>272</v>
          </cell>
          <cell r="K676"/>
          <cell r="P676"/>
        </row>
        <row r="677">
          <cell r="D677"/>
          <cell r="K677"/>
          <cell r="P677"/>
        </row>
        <row r="678">
          <cell r="D678">
            <v>272</v>
          </cell>
          <cell r="K678" t="str">
            <v>Headcount</v>
          </cell>
          <cell r="P678">
            <v>0</v>
          </cell>
        </row>
        <row r="679">
          <cell r="D679">
            <v>272</v>
          </cell>
          <cell r="K679" t="str">
            <v>Headcount - Temp</v>
          </cell>
          <cell r="P679">
            <v>0</v>
          </cell>
        </row>
        <row r="680">
          <cell r="D680"/>
          <cell r="K680"/>
          <cell r="P680"/>
        </row>
        <row r="681">
          <cell r="D681">
            <v>272</v>
          </cell>
          <cell r="K681"/>
          <cell r="P681"/>
        </row>
        <row r="682">
          <cell r="D682">
            <v>272</v>
          </cell>
          <cell r="K682" t="str">
            <v>Salaries &amp; Wages</v>
          </cell>
          <cell r="P682">
            <v>0</v>
          </cell>
        </row>
        <row r="683">
          <cell r="D683">
            <v>272</v>
          </cell>
          <cell r="K683" t="str">
            <v>Pension &amp; Benefits</v>
          </cell>
          <cell r="P683">
            <v>0</v>
          </cell>
        </row>
        <row r="684">
          <cell r="D684">
            <v>272</v>
          </cell>
          <cell r="K684" t="str">
            <v>Overtime Salary</v>
          </cell>
          <cell r="P684">
            <v>0</v>
          </cell>
        </row>
        <row r="685">
          <cell r="D685">
            <v>272</v>
          </cell>
          <cell r="K685" t="str">
            <v>Overtime Benefits</v>
          </cell>
          <cell r="P685">
            <v>0</v>
          </cell>
        </row>
        <row r="686">
          <cell r="D686">
            <v>272</v>
          </cell>
          <cell r="K686"/>
          <cell r="P686">
            <v>0</v>
          </cell>
        </row>
        <row r="687">
          <cell r="D687"/>
          <cell r="K687"/>
          <cell r="P687"/>
        </row>
        <row r="688">
          <cell r="D688">
            <v>272</v>
          </cell>
          <cell r="K688"/>
          <cell r="P688"/>
        </row>
        <row r="689">
          <cell r="D689">
            <v>272</v>
          </cell>
          <cell r="K689" t="str">
            <v>Salaries &amp; Wages</v>
          </cell>
          <cell r="P689">
            <v>0</v>
          </cell>
        </row>
        <row r="690">
          <cell r="D690">
            <v>272</v>
          </cell>
          <cell r="K690" t="str">
            <v>Pension &amp; Benefits</v>
          </cell>
          <cell r="P690">
            <v>0</v>
          </cell>
        </row>
        <row r="691">
          <cell r="D691">
            <v>272</v>
          </cell>
          <cell r="K691" t="str">
            <v>Overtime Salary</v>
          </cell>
          <cell r="P691">
            <v>0</v>
          </cell>
        </row>
        <row r="692">
          <cell r="D692">
            <v>272</v>
          </cell>
          <cell r="K692" t="str">
            <v>Overtime Benefits</v>
          </cell>
          <cell r="P692">
            <v>0</v>
          </cell>
        </row>
        <row r="693">
          <cell r="D693">
            <v>272</v>
          </cell>
          <cell r="K693"/>
          <cell r="P693">
            <v>0</v>
          </cell>
        </row>
        <row r="694">
          <cell r="D694"/>
          <cell r="K694"/>
          <cell r="P694"/>
        </row>
        <row r="695">
          <cell r="D695">
            <v>272</v>
          </cell>
          <cell r="K695"/>
          <cell r="P695"/>
        </row>
        <row r="696">
          <cell r="D696">
            <v>272</v>
          </cell>
          <cell r="K696" t="str">
            <v>Materials &amp; Supplies</v>
          </cell>
          <cell r="P696">
            <v>6595.5599999999995</v>
          </cell>
        </row>
        <row r="697">
          <cell r="D697">
            <v>272</v>
          </cell>
          <cell r="K697" t="str">
            <v>Transportation, Per Diem, and Mileage</v>
          </cell>
          <cell r="P697">
            <v>5596.8</v>
          </cell>
        </row>
        <row r="698">
          <cell r="D698">
            <v>272</v>
          </cell>
          <cell r="K698" t="str">
            <v>Transportation, Per Diem, and Mileage</v>
          </cell>
          <cell r="P698">
            <v>1367</v>
          </cell>
        </row>
        <row r="699">
          <cell r="D699">
            <v>272</v>
          </cell>
          <cell r="K699" t="str">
            <v>Transportation, Per Diem, and Mileage</v>
          </cell>
          <cell r="P699">
            <v>4200</v>
          </cell>
        </row>
        <row r="700">
          <cell r="D700">
            <v>272</v>
          </cell>
          <cell r="K700" t="str">
            <v>Transportation, Per Diem, and Mileage</v>
          </cell>
          <cell r="P700">
            <v>0</v>
          </cell>
        </row>
        <row r="701">
          <cell r="D701">
            <v>272</v>
          </cell>
          <cell r="K701" t="str">
            <v>Transportation, Per Diem, and Mileage</v>
          </cell>
          <cell r="P701">
            <v>0</v>
          </cell>
        </row>
        <row r="702">
          <cell r="D702">
            <v>272</v>
          </cell>
          <cell r="K702" t="str">
            <v>Transportation, Per Diem, and Mileage</v>
          </cell>
          <cell r="P702">
            <v>0</v>
          </cell>
        </row>
        <row r="703">
          <cell r="D703">
            <v>272</v>
          </cell>
          <cell r="K703" t="str">
            <v>Equipment, Inspections, Repairs &amp; Other O&amp;M</v>
          </cell>
          <cell r="P703">
            <v>0</v>
          </cell>
        </row>
        <row r="704">
          <cell r="D704">
            <v>272</v>
          </cell>
          <cell r="K704" t="str">
            <v>Equipment, Inspections, Repairs &amp; Other O&amp;M</v>
          </cell>
          <cell r="P704">
            <v>0</v>
          </cell>
        </row>
        <row r="705">
          <cell r="D705">
            <v>272</v>
          </cell>
          <cell r="K705" t="str">
            <v>Professional &amp; Technical Outsourced Services</v>
          </cell>
          <cell r="P705">
            <v>0</v>
          </cell>
        </row>
        <row r="706">
          <cell r="D706">
            <v>272</v>
          </cell>
          <cell r="K706" t="str">
            <v>Equipment, Inspections, Repairs &amp; Other O&amp;M</v>
          </cell>
          <cell r="P706">
            <v>2800</v>
          </cell>
        </row>
        <row r="707">
          <cell r="D707">
            <v>272</v>
          </cell>
          <cell r="K707"/>
          <cell r="P707">
            <v>20559.36</v>
          </cell>
        </row>
        <row r="708">
          <cell r="D708"/>
          <cell r="K708"/>
          <cell r="P708"/>
        </row>
        <row r="709">
          <cell r="D709">
            <v>272</v>
          </cell>
          <cell r="K709"/>
          <cell r="P709">
            <v>20559.36</v>
          </cell>
        </row>
        <row r="710">
          <cell r="D710"/>
          <cell r="K710"/>
        </row>
        <row r="711">
          <cell r="D711">
            <v>289</v>
          </cell>
          <cell r="K711"/>
          <cell r="P711"/>
        </row>
        <row r="712">
          <cell r="D712"/>
          <cell r="K712"/>
          <cell r="P712"/>
        </row>
        <row r="713">
          <cell r="D713">
            <v>289</v>
          </cell>
          <cell r="K713" t="str">
            <v>Headcount</v>
          </cell>
          <cell r="P713">
            <v>0</v>
          </cell>
        </row>
        <row r="714">
          <cell r="D714">
            <v>289</v>
          </cell>
          <cell r="K714" t="str">
            <v>Headcount - Temp</v>
          </cell>
          <cell r="P714">
            <v>0</v>
          </cell>
        </row>
        <row r="715">
          <cell r="D715"/>
          <cell r="K715"/>
          <cell r="P715"/>
        </row>
        <row r="716">
          <cell r="D716">
            <v>289</v>
          </cell>
          <cell r="K716"/>
          <cell r="P716"/>
        </row>
        <row r="717">
          <cell r="D717">
            <v>289</v>
          </cell>
          <cell r="K717" t="str">
            <v>Salaries &amp; Wages</v>
          </cell>
          <cell r="P717">
            <v>0</v>
          </cell>
        </row>
        <row r="718">
          <cell r="D718">
            <v>289</v>
          </cell>
          <cell r="K718" t="str">
            <v>Pension &amp; Benefits</v>
          </cell>
          <cell r="P718">
            <v>0</v>
          </cell>
        </row>
        <row r="719">
          <cell r="D719">
            <v>289</v>
          </cell>
          <cell r="K719" t="str">
            <v>Overtime Salary</v>
          </cell>
          <cell r="P719">
            <v>0</v>
          </cell>
        </row>
        <row r="720">
          <cell r="D720">
            <v>289</v>
          </cell>
          <cell r="K720" t="str">
            <v>Overtime Benefits</v>
          </cell>
          <cell r="P720">
            <v>0</v>
          </cell>
        </row>
        <row r="721">
          <cell r="D721">
            <v>289</v>
          </cell>
          <cell r="K721"/>
          <cell r="P721">
            <v>0</v>
          </cell>
        </row>
        <row r="722">
          <cell r="D722"/>
          <cell r="K722"/>
          <cell r="P722"/>
        </row>
        <row r="723">
          <cell r="D723">
            <v>289</v>
          </cell>
          <cell r="K723"/>
          <cell r="P723"/>
        </row>
        <row r="724">
          <cell r="D724">
            <v>289</v>
          </cell>
          <cell r="K724" t="str">
            <v>Salaries &amp; Wages</v>
          </cell>
          <cell r="P724">
            <v>0</v>
          </cell>
        </row>
        <row r="725">
          <cell r="D725">
            <v>289</v>
          </cell>
          <cell r="K725" t="str">
            <v>Pension &amp; Benefits</v>
          </cell>
          <cell r="P725">
            <v>0</v>
          </cell>
        </row>
        <row r="726">
          <cell r="D726">
            <v>289</v>
          </cell>
          <cell r="K726" t="str">
            <v>Overtime Salary</v>
          </cell>
          <cell r="P726">
            <v>0</v>
          </cell>
        </row>
        <row r="727">
          <cell r="D727">
            <v>289</v>
          </cell>
          <cell r="K727" t="str">
            <v>Overtime Benefits</v>
          </cell>
          <cell r="P727">
            <v>0</v>
          </cell>
        </row>
        <row r="728">
          <cell r="D728">
            <v>289</v>
          </cell>
          <cell r="K728"/>
          <cell r="P728">
            <v>0</v>
          </cell>
        </row>
        <row r="729">
          <cell r="D729"/>
          <cell r="K729"/>
          <cell r="P729"/>
        </row>
        <row r="730">
          <cell r="D730">
            <v>289</v>
          </cell>
          <cell r="K730"/>
          <cell r="P730"/>
        </row>
        <row r="731">
          <cell r="D731">
            <v>289</v>
          </cell>
          <cell r="K731" t="str">
            <v>Materials &amp; Supplies</v>
          </cell>
          <cell r="P731">
            <v>5525.28</v>
          </cell>
        </row>
        <row r="732">
          <cell r="D732">
            <v>289</v>
          </cell>
          <cell r="K732" t="str">
            <v>Transportation, Per Diem, and Mileage</v>
          </cell>
          <cell r="P732">
            <v>0</v>
          </cell>
        </row>
        <row r="733">
          <cell r="D733">
            <v>289</v>
          </cell>
          <cell r="K733" t="str">
            <v>Transportation, Per Diem, and Mileage</v>
          </cell>
          <cell r="P733">
            <v>1365</v>
          </cell>
        </row>
        <row r="734">
          <cell r="D734">
            <v>289</v>
          </cell>
          <cell r="K734" t="str">
            <v>Transportation, Per Diem, and Mileage</v>
          </cell>
          <cell r="P734">
            <v>590</v>
          </cell>
        </row>
        <row r="735">
          <cell r="D735">
            <v>289</v>
          </cell>
          <cell r="K735" t="str">
            <v>Transportation, Per Diem, and Mileage</v>
          </cell>
          <cell r="P735">
            <v>0</v>
          </cell>
        </row>
        <row r="736">
          <cell r="D736">
            <v>289</v>
          </cell>
          <cell r="K736" t="str">
            <v>Transportation, Per Diem, and Mileage</v>
          </cell>
          <cell r="P736">
            <v>0</v>
          </cell>
        </row>
        <row r="737">
          <cell r="D737">
            <v>289</v>
          </cell>
          <cell r="K737" t="str">
            <v>Transportation, Per Diem, and Mileage</v>
          </cell>
          <cell r="P737">
            <v>0</v>
          </cell>
        </row>
        <row r="738">
          <cell r="D738">
            <v>289</v>
          </cell>
          <cell r="K738" t="str">
            <v>Equipment, Inspections, Repairs &amp; Other O&amp;M</v>
          </cell>
          <cell r="P738">
            <v>0</v>
          </cell>
        </row>
        <row r="739">
          <cell r="D739">
            <v>289</v>
          </cell>
          <cell r="K739" t="str">
            <v>Equipment, Inspections, Repairs &amp; Other O&amp;M</v>
          </cell>
          <cell r="P739">
            <v>0</v>
          </cell>
        </row>
        <row r="740">
          <cell r="D740">
            <v>289</v>
          </cell>
          <cell r="K740" t="str">
            <v>Professional &amp; Technical Outsourced Services</v>
          </cell>
          <cell r="P740">
            <v>0</v>
          </cell>
        </row>
        <row r="741">
          <cell r="D741">
            <v>289</v>
          </cell>
          <cell r="K741" t="str">
            <v>Equipment, Inspections, Repairs &amp; Other O&amp;M</v>
          </cell>
          <cell r="P741">
            <v>3000</v>
          </cell>
        </row>
        <row r="742">
          <cell r="D742">
            <v>289</v>
          </cell>
          <cell r="K742"/>
          <cell r="P742">
            <v>10480.279999999999</v>
          </cell>
        </row>
        <row r="743">
          <cell r="D743"/>
          <cell r="K743"/>
          <cell r="P743"/>
        </row>
        <row r="744">
          <cell r="D744">
            <v>289</v>
          </cell>
          <cell r="K744"/>
          <cell r="P744">
            <v>10480.279999999999</v>
          </cell>
        </row>
        <row r="745">
          <cell r="D745"/>
          <cell r="K745"/>
        </row>
        <row r="746">
          <cell r="D746">
            <v>287</v>
          </cell>
          <cell r="K746"/>
          <cell r="P746"/>
        </row>
        <row r="747">
          <cell r="D747"/>
          <cell r="K747"/>
          <cell r="P747"/>
        </row>
        <row r="748">
          <cell r="D748">
            <v>287</v>
          </cell>
          <cell r="K748" t="str">
            <v>Headcount</v>
          </cell>
          <cell r="P748">
            <v>0</v>
          </cell>
        </row>
        <row r="749">
          <cell r="D749">
            <v>287</v>
          </cell>
          <cell r="K749" t="str">
            <v>Headcount - Temp</v>
          </cell>
          <cell r="P749">
            <v>0</v>
          </cell>
        </row>
        <row r="750">
          <cell r="D750"/>
          <cell r="K750"/>
          <cell r="P750"/>
        </row>
        <row r="751">
          <cell r="D751">
            <v>287</v>
          </cell>
          <cell r="K751"/>
          <cell r="P751"/>
        </row>
        <row r="752">
          <cell r="D752">
            <v>287</v>
          </cell>
          <cell r="K752" t="str">
            <v>Salaries &amp; Wages</v>
          </cell>
          <cell r="P752">
            <v>0</v>
          </cell>
        </row>
        <row r="753">
          <cell r="D753">
            <v>287</v>
          </cell>
          <cell r="K753" t="str">
            <v>Pension &amp; Benefits</v>
          </cell>
          <cell r="P753">
            <v>0</v>
          </cell>
        </row>
        <row r="754">
          <cell r="D754">
            <v>287</v>
          </cell>
          <cell r="K754" t="str">
            <v>Overtime Salary</v>
          </cell>
          <cell r="P754">
            <v>0</v>
          </cell>
        </row>
        <row r="755">
          <cell r="D755">
            <v>287</v>
          </cell>
          <cell r="K755" t="str">
            <v>Overtime Benefits</v>
          </cell>
          <cell r="P755">
            <v>0</v>
          </cell>
        </row>
        <row r="756">
          <cell r="D756">
            <v>287</v>
          </cell>
          <cell r="K756"/>
          <cell r="P756">
            <v>0</v>
          </cell>
        </row>
        <row r="758">
          <cell r="D758">
            <v>287</v>
          </cell>
          <cell r="K758"/>
          <cell r="P758"/>
        </row>
        <row r="759">
          <cell r="D759">
            <v>287</v>
          </cell>
          <cell r="K759" t="str">
            <v>Salaries &amp; Wages</v>
          </cell>
          <cell r="P759">
            <v>0</v>
          </cell>
        </row>
        <row r="760">
          <cell r="D760">
            <v>287</v>
          </cell>
          <cell r="K760" t="str">
            <v>Pension &amp; Benefits</v>
          </cell>
          <cell r="P760">
            <v>0</v>
          </cell>
        </row>
        <row r="761">
          <cell r="D761">
            <v>287</v>
          </cell>
          <cell r="K761" t="str">
            <v>Overtime Salary</v>
          </cell>
          <cell r="P761">
            <v>0</v>
          </cell>
        </row>
        <row r="762">
          <cell r="D762">
            <v>287</v>
          </cell>
          <cell r="K762" t="str">
            <v>Overtime Benefits</v>
          </cell>
          <cell r="P762">
            <v>0</v>
          </cell>
        </row>
        <row r="763">
          <cell r="D763">
            <v>287</v>
          </cell>
          <cell r="K763"/>
          <cell r="P763">
            <v>0</v>
          </cell>
        </row>
        <row r="764">
          <cell r="D764"/>
          <cell r="K764"/>
          <cell r="P764"/>
        </row>
        <row r="765">
          <cell r="D765">
            <v>287</v>
          </cell>
          <cell r="K765"/>
          <cell r="P765"/>
        </row>
        <row r="766">
          <cell r="D766">
            <v>287</v>
          </cell>
          <cell r="K766" t="str">
            <v>Materials &amp; Supplies</v>
          </cell>
          <cell r="P766">
            <v>16047.3</v>
          </cell>
        </row>
        <row r="767">
          <cell r="D767">
            <v>287</v>
          </cell>
          <cell r="K767" t="str">
            <v>Transportation, Per Diem, and Mileage</v>
          </cell>
          <cell r="P767">
            <v>9590.4</v>
          </cell>
        </row>
        <row r="768">
          <cell r="D768">
            <v>287</v>
          </cell>
          <cell r="K768" t="str">
            <v>Transportation, Per Diem, and Mileage</v>
          </cell>
          <cell r="P768">
            <v>1365</v>
          </cell>
        </row>
        <row r="769">
          <cell r="D769">
            <v>287</v>
          </cell>
          <cell r="K769" t="str">
            <v>Transportation, Per Diem, and Mileage</v>
          </cell>
          <cell r="P769">
            <v>0</v>
          </cell>
        </row>
        <row r="770">
          <cell r="D770">
            <v>287</v>
          </cell>
          <cell r="K770" t="str">
            <v>Transportation, Per Diem, and Mileage</v>
          </cell>
          <cell r="P770">
            <v>5000</v>
          </cell>
        </row>
        <row r="771">
          <cell r="D771">
            <v>287</v>
          </cell>
          <cell r="K771" t="str">
            <v>Transportation, Per Diem, and Mileage</v>
          </cell>
          <cell r="P771">
            <v>750</v>
          </cell>
        </row>
        <row r="772">
          <cell r="D772">
            <v>287</v>
          </cell>
          <cell r="K772" t="str">
            <v>Transportation, Per Diem, and Mileage</v>
          </cell>
          <cell r="P772">
            <v>2250</v>
          </cell>
        </row>
        <row r="773">
          <cell r="D773">
            <v>287</v>
          </cell>
          <cell r="K773" t="str">
            <v>Equipment, Inspections, Repairs &amp; Other O&amp;M</v>
          </cell>
          <cell r="P773">
            <v>0</v>
          </cell>
        </row>
        <row r="774">
          <cell r="D774">
            <v>287</v>
          </cell>
          <cell r="K774" t="str">
            <v>Equipment, Inspections, Repairs &amp; Other O&amp;M</v>
          </cell>
          <cell r="P774">
            <v>250</v>
          </cell>
        </row>
        <row r="775">
          <cell r="D775">
            <v>287</v>
          </cell>
          <cell r="K775" t="str">
            <v>Professional &amp; Technical Outsourced Services</v>
          </cell>
          <cell r="P775">
            <v>100000</v>
          </cell>
        </row>
        <row r="776">
          <cell r="D776">
            <v>287</v>
          </cell>
          <cell r="K776" t="str">
            <v>Equipment, Inspections, Repairs &amp; Other O&amp;M</v>
          </cell>
          <cell r="P776">
            <v>13000</v>
          </cell>
        </row>
        <row r="777">
          <cell r="D777">
            <v>287</v>
          </cell>
          <cell r="K777"/>
          <cell r="P777">
            <v>148252.70000000001</v>
          </cell>
        </row>
        <row r="778">
          <cell r="D778"/>
          <cell r="K778"/>
          <cell r="P778"/>
        </row>
        <row r="779">
          <cell r="D779">
            <v>287</v>
          </cell>
          <cell r="K779"/>
          <cell r="P779">
            <v>148252.70000000001</v>
          </cell>
        </row>
        <row r="780">
          <cell r="D780"/>
          <cell r="K780"/>
        </row>
        <row r="781">
          <cell r="D781">
            <v>306</v>
          </cell>
          <cell r="K781"/>
          <cell r="P781"/>
        </row>
        <row r="782">
          <cell r="D782"/>
          <cell r="K782"/>
          <cell r="P782"/>
        </row>
        <row r="783">
          <cell r="D783">
            <v>306</v>
          </cell>
          <cell r="K783" t="str">
            <v>Headcount</v>
          </cell>
          <cell r="P783">
            <v>0</v>
          </cell>
        </row>
        <row r="784">
          <cell r="D784">
            <v>306</v>
          </cell>
          <cell r="K784" t="str">
            <v>Headcount - Temp</v>
          </cell>
          <cell r="P784">
            <v>0</v>
          </cell>
        </row>
        <row r="786">
          <cell r="D786">
            <v>306</v>
          </cell>
          <cell r="K786"/>
          <cell r="P786"/>
        </row>
        <row r="787">
          <cell r="D787">
            <v>306</v>
          </cell>
          <cell r="K787" t="str">
            <v>Salaries &amp; Wages</v>
          </cell>
          <cell r="P787">
            <v>0</v>
          </cell>
        </row>
        <row r="788">
          <cell r="D788">
            <v>306</v>
          </cell>
          <cell r="K788" t="str">
            <v>Pension &amp; Benefits</v>
          </cell>
          <cell r="P788">
            <v>0</v>
          </cell>
        </row>
        <row r="789">
          <cell r="D789">
            <v>306</v>
          </cell>
          <cell r="K789" t="str">
            <v>Overtime Salary</v>
          </cell>
          <cell r="P789">
            <v>0</v>
          </cell>
        </row>
        <row r="790">
          <cell r="D790">
            <v>306</v>
          </cell>
          <cell r="K790" t="str">
            <v>Overtime Benefits</v>
          </cell>
          <cell r="P790">
            <v>0</v>
          </cell>
        </row>
        <row r="791">
          <cell r="D791">
            <v>306</v>
          </cell>
          <cell r="K791"/>
          <cell r="P791">
            <v>0</v>
          </cell>
        </row>
        <row r="792">
          <cell r="D792"/>
          <cell r="K792"/>
          <cell r="P792"/>
        </row>
        <row r="793">
          <cell r="D793">
            <v>306</v>
          </cell>
          <cell r="K793"/>
          <cell r="P793"/>
        </row>
        <row r="794">
          <cell r="D794">
            <v>306</v>
          </cell>
          <cell r="K794" t="str">
            <v>Salaries &amp; Wages</v>
          </cell>
          <cell r="P794">
            <v>0</v>
          </cell>
        </row>
        <row r="795">
          <cell r="D795">
            <v>306</v>
          </cell>
          <cell r="K795" t="str">
            <v>Pension &amp; Benefits</v>
          </cell>
          <cell r="P795">
            <v>0</v>
          </cell>
        </row>
        <row r="796">
          <cell r="D796">
            <v>306</v>
          </cell>
          <cell r="K796" t="str">
            <v>Overtime Salary</v>
          </cell>
          <cell r="P796">
            <v>0</v>
          </cell>
        </row>
        <row r="797">
          <cell r="D797">
            <v>306</v>
          </cell>
          <cell r="K797" t="str">
            <v>Overtime Benefits</v>
          </cell>
          <cell r="P797">
            <v>0</v>
          </cell>
        </row>
        <row r="798">
          <cell r="D798">
            <v>306</v>
          </cell>
          <cell r="K798"/>
          <cell r="P798">
            <v>0</v>
          </cell>
        </row>
        <row r="799">
          <cell r="D799"/>
          <cell r="K799"/>
          <cell r="P799"/>
        </row>
        <row r="800">
          <cell r="D800">
            <v>306</v>
          </cell>
          <cell r="K800"/>
          <cell r="P800"/>
        </row>
        <row r="801">
          <cell r="D801">
            <v>306</v>
          </cell>
          <cell r="K801" t="str">
            <v>Materials &amp; Supplies</v>
          </cell>
          <cell r="P801">
            <v>406073.06</v>
          </cell>
        </row>
        <row r="802">
          <cell r="D802">
            <v>306</v>
          </cell>
          <cell r="K802" t="str">
            <v>Transportation, Per Diem, and Mileage</v>
          </cell>
          <cell r="P802">
            <v>55132.800000000003</v>
          </cell>
        </row>
        <row r="803">
          <cell r="D803">
            <v>306</v>
          </cell>
          <cell r="K803" t="str">
            <v>Transportation, Per Diem, and Mileage</v>
          </cell>
          <cell r="P803">
            <v>17295</v>
          </cell>
        </row>
        <row r="804">
          <cell r="D804">
            <v>306</v>
          </cell>
          <cell r="K804" t="str">
            <v>Transportation, Per Diem, and Mileage</v>
          </cell>
          <cell r="P804">
            <v>22500</v>
          </cell>
        </row>
        <row r="805">
          <cell r="D805">
            <v>306</v>
          </cell>
          <cell r="K805" t="str">
            <v>Transportation, Per Diem, and Mileage</v>
          </cell>
          <cell r="P805">
            <v>0</v>
          </cell>
        </row>
        <row r="806">
          <cell r="D806">
            <v>306</v>
          </cell>
          <cell r="K806" t="str">
            <v>Transportation, Per Diem, and Mileage</v>
          </cell>
          <cell r="P806">
            <v>0</v>
          </cell>
        </row>
        <row r="807">
          <cell r="D807">
            <v>306</v>
          </cell>
          <cell r="K807" t="str">
            <v>Transportation, Per Diem, and Mileage</v>
          </cell>
          <cell r="P807">
            <v>0</v>
          </cell>
        </row>
        <row r="808">
          <cell r="D808">
            <v>306</v>
          </cell>
          <cell r="K808" t="str">
            <v>Equipment, Inspections, Repairs &amp; Other O&amp;M</v>
          </cell>
          <cell r="P808">
            <v>10000</v>
          </cell>
        </row>
        <row r="809">
          <cell r="D809">
            <v>306</v>
          </cell>
          <cell r="K809" t="str">
            <v>Equipment, Inspections, Repairs &amp; Other O&amp;M</v>
          </cell>
          <cell r="P809">
            <v>0</v>
          </cell>
        </row>
        <row r="810">
          <cell r="D810">
            <v>306</v>
          </cell>
          <cell r="K810" t="str">
            <v>Professional &amp; Technical Outsourced Services</v>
          </cell>
          <cell r="P810">
            <v>202250</v>
          </cell>
        </row>
        <row r="811">
          <cell r="D811">
            <v>306</v>
          </cell>
          <cell r="K811" t="str">
            <v>Equipment, Inspections, Repairs &amp; Other O&amp;M</v>
          </cell>
          <cell r="P811">
            <v>47339.6</v>
          </cell>
        </row>
        <row r="812">
          <cell r="D812">
            <v>306</v>
          </cell>
          <cell r="K812"/>
          <cell r="P812">
            <v>760590.46</v>
          </cell>
        </row>
        <row r="813">
          <cell r="D813"/>
          <cell r="K813"/>
          <cell r="P813"/>
        </row>
        <row r="814">
          <cell r="D814">
            <v>306</v>
          </cell>
          <cell r="K814"/>
          <cell r="P814">
            <v>760590.46</v>
          </cell>
        </row>
        <row r="815">
          <cell r="D815"/>
          <cell r="K815"/>
        </row>
        <row r="816">
          <cell r="D816">
            <v>308</v>
          </cell>
          <cell r="K816"/>
          <cell r="P816"/>
        </row>
        <row r="818">
          <cell r="D818">
            <v>308</v>
          </cell>
          <cell r="K818" t="str">
            <v>Headcount</v>
          </cell>
          <cell r="P818">
            <v>0</v>
          </cell>
        </row>
        <row r="819">
          <cell r="D819">
            <v>308</v>
          </cell>
          <cell r="K819" t="str">
            <v>Headcount - Temp</v>
          </cell>
          <cell r="P819">
            <v>0</v>
          </cell>
        </row>
        <row r="820">
          <cell r="D820"/>
          <cell r="K820"/>
          <cell r="P820"/>
        </row>
        <row r="821">
          <cell r="D821">
            <v>308</v>
          </cell>
          <cell r="K821"/>
          <cell r="P821"/>
        </row>
        <row r="822">
          <cell r="D822">
            <v>308</v>
          </cell>
          <cell r="K822" t="str">
            <v>Salaries &amp; Wages</v>
          </cell>
          <cell r="P822">
            <v>0</v>
          </cell>
        </row>
        <row r="823">
          <cell r="D823">
            <v>308</v>
          </cell>
          <cell r="K823" t="str">
            <v>Pension &amp; Benefits</v>
          </cell>
          <cell r="P823">
            <v>0</v>
          </cell>
        </row>
        <row r="824">
          <cell r="D824">
            <v>308</v>
          </cell>
          <cell r="K824" t="str">
            <v>Overtime Salary</v>
          </cell>
          <cell r="P824">
            <v>0</v>
          </cell>
        </row>
        <row r="825">
          <cell r="D825">
            <v>308</v>
          </cell>
          <cell r="K825" t="str">
            <v>Overtime Benefits</v>
          </cell>
          <cell r="P825">
            <v>0</v>
          </cell>
        </row>
        <row r="826">
          <cell r="D826">
            <v>308</v>
          </cell>
          <cell r="K826"/>
          <cell r="P826">
            <v>0</v>
          </cell>
        </row>
        <row r="827">
          <cell r="D827"/>
          <cell r="K827"/>
          <cell r="P827"/>
        </row>
        <row r="828">
          <cell r="D828">
            <v>308</v>
          </cell>
          <cell r="K828"/>
          <cell r="P828"/>
        </row>
        <row r="829">
          <cell r="D829">
            <v>308</v>
          </cell>
          <cell r="K829" t="str">
            <v>Salaries &amp; Wages</v>
          </cell>
          <cell r="P829">
            <v>0</v>
          </cell>
        </row>
        <row r="830">
          <cell r="D830">
            <v>308</v>
          </cell>
          <cell r="K830" t="str">
            <v>Pension &amp; Benefits</v>
          </cell>
          <cell r="P830">
            <v>0</v>
          </cell>
        </row>
        <row r="831">
          <cell r="D831">
            <v>308</v>
          </cell>
          <cell r="K831" t="str">
            <v>Overtime Salary</v>
          </cell>
          <cell r="P831">
            <v>0</v>
          </cell>
        </row>
        <row r="832">
          <cell r="D832">
            <v>308</v>
          </cell>
          <cell r="K832" t="str">
            <v>Overtime Benefits</v>
          </cell>
          <cell r="P832">
            <v>0</v>
          </cell>
        </row>
        <row r="833">
          <cell r="D833">
            <v>308</v>
          </cell>
          <cell r="K833"/>
          <cell r="P833">
            <v>0</v>
          </cell>
        </row>
        <row r="835">
          <cell r="D835">
            <v>308</v>
          </cell>
          <cell r="K835"/>
          <cell r="P835"/>
        </row>
        <row r="836">
          <cell r="D836">
            <v>308</v>
          </cell>
          <cell r="K836" t="str">
            <v>Materials &amp; Supplies</v>
          </cell>
          <cell r="P836">
            <v>182122.99</v>
          </cell>
        </row>
        <row r="837">
          <cell r="D837">
            <v>308</v>
          </cell>
          <cell r="K837" t="str">
            <v>Transportation, Per Diem, and Mileage</v>
          </cell>
          <cell r="P837">
            <v>46262.400000000001</v>
          </cell>
        </row>
        <row r="838">
          <cell r="D838">
            <v>308</v>
          </cell>
          <cell r="K838" t="str">
            <v>Transportation, Per Diem, and Mileage</v>
          </cell>
          <cell r="P838">
            <v>24998</v>
          </cell>
        </row>
        <row r="839">
          <cell r="D839">
            <v>308</v>
          </cell>
          <cell r="K839" t="str">
            <v>Transportation, Per Diem, and Mileage</v>
          </cell>
          <cell r="P839">
            <v>19000</v>
          </cell>
        </row>
        <row r="840">
          <cell r="D840">
            <v>308</v>
          </cell>
          <cell r="K840" t="str">
            <v>Transportation, Per Diem, and Mileage</v>
          </cell>
          <cell r="P840">
            <v>0</v>
          </cell>
        </row>
        <row r="841">
          <cell r="D841">
            <v>308</v>
          </cell>
          <cell r="K841" t="str">
            <v>Transportation, Per Diem, and Mileage</v>
          </cell>
          <cell r="P841">
            <v>0</v>
          </cell>
        </row>
        <row r="842">
          <cell r="D842">
            <v>308</v>
          </cell>
          <cell r="K842" t="str">
            <v>Transportation, Per Diem, and Mileage</v>
          </cell>
          <cell r="P842">
            <v>0</v>
          </cell>
        </row>
        <row r="843">
          <cell r="D843">
            <v>308</v>
          </cell>
          <cell r="K843" t="str">
            <v>Equipment, Inspections, Repairs &amp; Other O&amp;M</v>
          </cell>
          <cell r="P843">
            <v>10000</v>
          </cell>
        </row>
        <row r="844">
          <cell r="D844">
            <v>308</v>
          </cell>
          <cell r="K844" t="str">
            <v>Equipment, Inspections, Repairs &amp; Other O&amp;M</v>
          </cell>
          <cell r="P844">
            <v>0</v>
          </cell>
        </row>
        <row r="845">
          <cell r="D845">
            <v>308</v>
          </cell>
          <cell r="K845" t="str">
            <v>Professional &amp; Technical Outsourced Services</v>
          </cell>
          <cell r="P845">
            <v>202250</v>
          </cell>
        </row>
        <row r="846">
          <cell r="D846">
            <v>308</v>
          </cell>
          <cell r="K846" t="str">
            <v>Equipment, Inspections, Repairs &amp; Other O&amp;M</v>
          </cell>
          <cell r="P846">
            <v>47339.6</v>
          </cell>
        </row>
        <row r="847">
          <cell r="D847">
            <v>308</v>
          </cell>
          <cell r="K847"/>
          <cell r="P847">
            <v>531972.99</v>
          </cell>
        </row>
        <row r="848">
          <cell r="D848"/>
          <cell r="K848"/>
          <cell r="P848"/>
        </row>
        <row r="849">
          <cell r="D849">
            <v>308</v>
          </cell>
          <cell r="K849"/>
          <cell r="P849">
            <v>531972.99</v>
          </cell>
        </row>
        <row r="851">
          <cell r="D851">
            <v>310</v>
          </cell>
          <cell r="K851"/>
          <cell r="P851"/>
        </row>
        <row r="852">
          <cell r="D852"/>
          <cell r="K852"/>
          <cell r="P852"/>
        </row>
        <row r="853">
          <cell r="D853">
            <v>310</v>
          </cell>
          <cell r="K853" t="str">
            <v>Headcount</v>
          </cell>
          <cell r="P853">
            <v>0</v>
          </cell>
        </row>
        <row r="854">
          <cell r="D854">
            <v>310</v>
          </cell>
          <cell r="K854" t="str">
            <v>Headcount - Temp</v>
          </cell>
          <cell r="P854">
            <v>0</v>
          </cell>
        </row>
        <row r="855">
          <cell r="D855"/>
          <cell r="K855"/>
          <cell r="P855"/>
        </row>
        <row r="856">
          <cell r="D856">
            <v>310</v>
          </cell>
          <cell r="K856"/>
          <cell r="P856"/>
        </row>
        <row r="857">
          <cell r="D857">
            <v>310</v>
          </cell>
          <cell r="K857" t="str">
            <v>Salaries &amp; Wages</v>
          </cell>
          <cell r="P857">
            <v>0</v>
          </cell>
        </row>
        <row r="858">
          <cell r="D858">
            <v>310</v>
          </cell>
          <cell r="K858" t="str">
            <v>Pension &amp; Benefits</v>
          </cell>
          <cell r="P858">
            <v>0</v>
          </cell>
        </row>
        <row r="859">
          <cell r="D859">
            <v>310</v>
          </cell>
          <cell r="K859" t="str">
            <v>Overtime Salary</v>
          </cell>
          <cell r="P859">
            <v>0</v>
          </cell>
        </row>
        <row r="860">
          <cell r="D860">
            <v>310</v>
          </cell>
          <cell r="K860" t="str">
            <v>Overtime Benefits</v>
          </cell>
          <cell r="P860">
            <v>0</v>
          </cell>
        </row>
        <row r="861">
          <cell r="D861">
            <v>310</v>
          </cell>
          <cell r="K861"/>
          <cell r="P861">
            <v>0</v>
          </cell>
        </row>
        <row r="862">
          <cell r="D862"/>
          <cell r="K862"/>
          <cell r="P862"/>
        </row>
        <row r="863">
          <cell r="D863">
            <v>310</v>
          </cell>
          <cell r="K863"/>
          <cell r="P863"/>
        </row>
        <row r="864">
          <cell r="D864">
            <v>310</v>
          </cell>
          <cell r="K864" t="str">
            <v>Salaries &amp; Wages</v>
          </cell>
          <cell r="P864">
            <v>0</v>
          </cell>
        </row>
        <row r="865">
          <cell r="D865">
            <v>310</v>
          </cell>
          <cell r="K865" t="str">
            <v>Pension &amp; Benefits</v>
          </cell>
          <cell r="P865">
            <v>0</v>
          </cell>
        </row>
        <row r="866">
          <cell r="D866">
            <v>310</v>
          </cell>
          <cell r="K866" t="str">
            <v>Overtime Salary</v>
          </cell>
          <cell r="P866">
            <v>0</v>
          </cell>
        </row>
        <row r="867">
          <cell r="D867">
            <v>310</v>
          </cell>
          <cell r="K867" t="str">
            <v>Overtime Benefits</v>
          </cell>
          <cell r="P867">
            <v>0</v>
          </cell>
        </row>
        <row r="868">
          <cell r="D868">
            <v>310</v>
          </cell>
          <cell r="K868"/>
          <cell r="P868">
            <v>0</v>
          </cell>
        </row>
        <row r="869">
          <cell r="D869"/>
          <cell r="K869"/>
          <cell r="P869"/>
        </row>
        <row r="870">
          <cell r="D870">
            <v>310</v>
          </cell>
          <cell r="K870"/>
          <cell r="P870"/>
        </row>
        <row r="871">
          <cell r="D871">
            <v>310</v>
          </cell>
          <cell r="K871" t="str">
            <v>Materials &amp; Supplies</v>
          </cell>
          <cell r="P871">
            <v>354118.22</v>
          </cell>
        </row>
        <row r="872">
          <cell r="D872">
            <v>310</v>
          </cell>
          <cell r="K872" t="str">
            <v>Transportation, Per Diem, and Mileage</v>
          </cell>
          <cell r="P872">
            <v>38275.199999999997</v>
          </cell>
        </row>
        <row r="873">
          <cell r="D873">
            <v>310</v>
          </cell>
          <cell r="K873" t="str">
            <v>Transportation, Per Diem, and Mileage</v>
          </cell>
          <cell r="P873">
            <v>27026.25</v>
          </cell>
        </row>
        <row r="874">
          <cell r="D874">
            <v>310</v>
          </cell>
          <cell r="K874" t="str">
            <v>Transportation, Per Diem, and Mileage</v>
          </cell>
          <cell r="P874">
            <v>22750</v>
          </cell>
        </row>
        <row r="875">
          <cell r="D875">
            <v>310</v>
          </cell>
          <cell r="K875" t="str">
            <v>Transportation, Per Diem, and Mileage</v>
          </cell>
          <cell r="P875">
            <v>0</v>
          </cell>
        </row>
        <row r="876">
          <cell r="D876">
            <v>310</v>
          </cell>
          <cell r="K876" t="str">
            <v>Transportation, Per Diem, and Mileage</v>
          </cell>
          <cell r="P876">
            <v>0</v>
          </cell>
        </row>
        <row r="877">
          <cell r="D877">
            <v>310</v>
          </cell>
          <cell r="K877" t="str">
            <v>Transportation, Per Diem, and Mileage</v>
          </cell>
          <cell r="P877">
            <v>0</v>
          </cell>
        </row>
        <row r="878">
          <cell r="D878">
            <v>310</v>
          </cell>
          <cell r="K878" t="str">
            <v>Equipment, Inspections, Repairs &amp; Other O&amp;M</v>
          </cell>
          <cell r="P878">
            <v>10000</v>
          </cell>
        </row>
        <row r="879">
          <cell r="D879">
            <v>310</v>
          </cell>
          <cell r="K879" t="str">
            <v>Equipment, Inspections, Repairs &amp; Other O&amp;M</v>
          </cell>
          <cell r="P879">
            <v>0</v>
          </cell>
        </row>
        <row r="880">
          <cell r="D880">
            <v>310</v>
          </cell>
          <cell r="K880" t="str">
            <v>Professional &amp; Technical Outsourced Services</v>
          </cell>
          <cell r="P880">
            <v>202250</v>
          </cell>
        </row>
        <row r="881">
          <cell r="D881">
            <v>310</v>
          </cell>
          <cell r="K881" t="str">
            <v>Equipment, Inspections, Repairs &amp; Other O&amp;M</v>
          </cell>
          <cell r="P881">
            <v>47339.6</v>
          </cell>
        </row>
        <row r="882">
          <cell r="D882">
            <v>310</v>
          </cell>
          <cell r="K882"/>
          <cell r="P882">
            <v>701759.2699999999</v>
          </cell>
        </row>
        <row r="883">
          <cell r="D883"/>
          <cell r="K883"/>
          <cell r="P883"/>
        </row>
        <row r="884">
          <cell r="D884">
            <v>310</v>
          </cell>
          <cell r="K884"/>
          <cell r="P884">
            <v>701759.2699999999</v>
          </cell>
        </row>
        <row r="885">
          <cell r="D885"/>
          <cell r="K885"/>
        </row>
        <row r="886">
          <cell r="D886">
            <v>315</v>
          </cell>
          <cell r="K886"/>
          <cell r="P886"/>
        </row>
        <row r="887">
          <cell r="D887"/>
          <cell r="K887"/>
          <cell r="P887"/>
        </row>
        <row r="888">
          <cell r="D888">
            <v>315</v>
          </cell>
          <cell r="K888" t="str">
            <v>Headcount</v>
          </cell>
          <cell r="P888">
            <v>0</v>
          </cell>
        </row>
        <row r="889">
          <cell r="D889">
            <v>315</v>
          </cell>
          <cell r="K889" t="str">
            <v>Headcount - Temp</v>
          </cell>
          <cell r="P889">
            <v>0</v>
          </cell>
        </row>
        <row r="890">
          <cell r="D890"/>
          <cell r="K890"/>
          <cell r="P890"/>
        </row>
        <row r="891">
          <cell r="D891">
            <v>315</v>
          </cell>
          <cell r="K891"/>
          <cell r="P891"/>
        </row>
        <row r="892">
          <cell r="D892">
            <v>315</v>
          </cell>
          <cell r="K892" t="str">
            <v>Salaries &amp; Wages</v>
          </cell>
          <cell r="P892">
            <v>0</v>
          </cell>
        </row>
        <row r="893">
          <cell r="D893">
            <v>315</v>
          </cell>
          <cell r="K893" t="str">
            <v>Pension &amp; Benefits</v>
          </cell>
          <cell r="P893">
            <v>0</v>
          </cell>
        </row>
        <row r="894">
          <cell r="D894">
            <v>315</v>
          </cell>
          <cell r="K894" t="str">
            <v>Overtime Salary</v>
          </cell>
          <cell r="P894">
            <v>0</v>
          </cell>
        </row>
        <row r="895">
          <cell r="D895">
            <v>315</v>
          </cell>
          <cell r="K895" t="str">
            <v>Overtime Benefits</v>
          </cell>
          <cell r="P895">
            <v>0</v>
          </cell>
        </row>
        <row r="896">
          <cell r="D896">
            <v>315</v>
          </cell>
          <cell r="K896"/>
          <cell r="P896">
            <v>0</v>
          </cell>
        </row>
        <row r="898">
          <cell r="D898">
            <v>315</v>
          </cell>
          <cell r="K898"/>
          <cell r="P898"/>
        </row>
        <row r="899">
          <cell r="D899">
            <v>315</v>
          </cell>
          <cell r="K899" t="str">
            <v>Salaries &amp; Wages</v>
          </cell>
          <cell r="P899">
            <v>0</v>
          </cell>
        </row>
        <row r="900">
          <cell r="D900">
            <v>315</v>
          </cell>
          <cell r="K900" t="str">
            <v>Pension &amp; Benefits</v>
          </cell>
          <cell r="P900">
            <v>0</v>
          </cell>
        </row>
        <row r="901">
          <cell r="D901">
            <v>315</v>
          </cell>
          <cell r="K901" t="str">
            <v>Overtime Salary</v>
          </cell>
          <cell r="P901">
            <v>0</v>
          </cell>
        </row>
        <row r="902">
          <cell r="D902">
            <v>315</v>
          </cell>
          <cell r="K902" t="str">
            <v>Overtime Benefits</v>
          </cell>
          <cell r="P902">
            <v>0</v>
          </cell>
        </row>
        <row r="903">
          <cell r="D903">
            <v>315</v>
          </cell>
          <cell r="K903"/>
          <cell r="P903">
            <v>0</v>
          </cell>
        </row>
        <row r="904">
          <cell r="D904"/>
          <cell r="K904"/>
          <cell r="P904"/>
        </row>
        <row r="905">
          <cell r="D905">
            <v>315</v>
          </cell>
          <cell r="K905"/>
          <cell r="P905"/>
        </row>
        <row r="906">
          <cell r="D906">
            <v>315</v>
          </cell>
          <cell r="K906" t="str">
            <v>Materials &amp; Supplies</v>
          </cell>
          <cell r="P906">
            <v>411754.49</v>
          </cell>
        </row>
        <row r="907">
          <cell r="D907">
            <v>315</v>
          </cell>
          <cell r="K907" t="str">
            <v>Transportation, Per Diem, and Mileage</v>
          </cell>
          <cell r="P907">
            <v>119452.80000000005</v>
          </cell>
        </row>
        <row r="908">
          <cell r="D908">
            <v>315</v>
          </cell>
          <cell r="K908" t="str">
            <v>Transportation, Per Diem, and Mileage</v>
          </cell>
          <cell r="P908">
            <v>24365</v>
          </cell>
        </row>
        <row r="909">
          <cell r="D909">
            <v>315</v>
          </cell>
          <cell r="K909" t="str">
            <v>Transportation, Per Diem, and Mileage</v>
          </cell>
          <cell r="P909">
            <v>30000</v>
          </cell>
        </row>
        <row r="910">
          <cell r="D910">
            <v>315</v>
          </cell>
          <cell r="K910" t="str">
            <v>Transportation, Per Diem, and Mileage</v>
          </cell>
          <cell r="P910">
            <v>0</v>
          </cell>
        </row>
        <row r="911">
          <cell r="D911">
            <v>315</v>
          </cell>
          <cell r="K911" t="str">
            <v>Transportation, Per Diem, and Mileage</v>
          </cell>
          <cell r="P911">
            <v>0</v>
          </cell>
        </row>
        <row r="912">
          <cell r="D912">
            <v>315</v>
          </cell>
          <cell r="K912" t="str">
            <v>Transportation, Per Diem, and Mileage</v>
          </cell>
          <cell r="P912">
            <v>0</v>
          </cell>
        </row>
        <row r="913">
          <cell r="D913">
            <v>315</v>
          </cell>
          <cell r="K913" t="str">
            <v>Equipment, Inspections, Repairs &amp; Other O&amp;M</v>
          </cell>
          <cell r="P913">
            <v>10000</v>
          </cell>
        </row>
        <row r="914">
          <cell r="D914">
            <v>315</v>
          </cell>
          <cell r="K914" t="str">
            <v>Equipment, Inspections, Repairs &amp; Other O&amp;M</v>
          </cell>
          <cell r="P914">
            <v>0</v>
          </cell>
        </row>
        <row r="915">
          <cell r="D915">
            <v>315</v>
          </cell>
          <cell r="K915" t="str">
            <v>Professional &amp; Technical Outsourced Services</v>
          </cell>
          <cell r="P915">
            <v>202250</v>
          </cell>
        </row>
        <row r="916">
          <cell r="D916">
            <v>315</v>
          </cell>
          <cell r="K916" t="str">
            <v>Equipment, Inspections, Repairs &amp; Other O&amp;M</v>
          </cell>
          <cell r="P916">
            <v>190720.85</v>
          </cell>
        </row>
        <row r="917">
          <cell r="D917">
            <v>315</v>
          </cell>
          <cell r="K917"/>
          <cell r="P917">
            <v>988543.14</v>
          </cell>
        </row>
        <row r="918">
          <cell r="D918"/>
          <cell r="K918"/>
          <cell r="P918"/>
        </row>
        <row r="919">
          <cell r="D919">
            <v>315</v>
          </cell>
          <cell r="K919"/>
          <cell r="P919">
            <v>988543.14</v>
          </cell>
        </row>
        <row r="920">
          <cell r="D920"/>
          <cell r="K920"/>
        </row>
        <row r="921">
          <cell r="D921">
            <v>666</v>
          </cell>
          <cell r="K921"/>
          <cell r="P921"/>
        </row>
        <row r="922">
          <cell r="D922"/>
          <cell r="K922"/>
          <cell r="P922"/>
        </row>
        <row r="923">
          <cell r="D923">
            <v>666</v>
          </cell>
          <cell r="K923" t="str">
            <v>Headcount</v>
          </cell>
          <cell r="P923">
            <v>0</v>
          </cell>
        </row>
        <row r="924">
          <cell r="D924">
            <v>666</v>
          </cell>
          <cell r="K924" t="str">
            <v>Headcount - Temp</v>
          </cell>
          <cell r="P924">
            <v>0</v>
          </cell>
        </row>
        <row r="925">
          <cell r="D925"/>
          <cell r="K925"/>
          <cell r="P925"/>
        </row>
        <row r="926">
          <cell r="D926">
            <v>666</v>
          </cell>
          <cell r="K926"/>
          <cell r="P926"/>
        </row>
        <row r="927">
          <cell r="D927">
            <v>666</v>
          </cell>
          <cell r="K927" t="str">
            <v>Salaries &amp; Wages</v>
          </cell>
          <cell r="P927">
            <v>0</v>
          </cell>
        </row>
        <row r="928">
          <cell r="D928">
            <v>666</v>
          </cell>
          <cell r="K928" t="str">
            <v>Pension &amp; Benefits</v>
          </cell>
          <cell r="P928">
            <v>0</v>
          </cell>
        </row>
        <row r="929">
          <cell r="D929">
            <v>666</v>
          </cell>
          <cell r="K929" t="str">
            <v>Overtime Salary</v>
          </cell>
          <cell r="P929">
            <v>0</v>
          </cell>
        </row>
        <row r="930">
          <cell r="D930">
            <v>666</v>
          </cell>
          <cell r="K930" t="str">
            <v>Overtime Benefits</v>
          </cell>
          <cell r="P930">
            <v>0</v>
          </cell>
        </row>
        <row r="931">
          <cell r="D931">
            <v>666</v>
          </cell>
          <cell r="K931"/>
          <cell r="P931">
            <v>0</v>
          </cell>
        </row>
        <row r="932">
          <cell r="D932"/>
          <cell r="K932"/>
          <cell r="P932"/>
        </row>
        <row r="933">
          <cell r="D933">
            <v>666</v>
          </cell>
          <cell r="K933"/>
          <cell r="P933"/>
        </row>
        <row r="934">
          <cell r="D934">
            <v>666</v>
          </cell>
          <cell r="K934" t="str">
            <v>Salaries &amp; Wages</v>
          </cell>
          <cell r="P934">
            <v>0</v>
          </cell>
        </row>
        <row r="935">
          <cell r="D935">
            <v>666</v>
          </cell>
          <cell r="K935" t="str">
            <v>Pension &amp; Benefits</v>
          </cell>
          <cell r="P935">
            <v>0</v>
          </cell>
        </row>
        <row r="936">
          <cell r="D936">
            <v>666</v>
          </cell>
          <cell r="K936" t="str">
            <v>Overtime Salary</v>
          </cell>
          <cell r="P936">
            <v>0</v>
          </cell>
        </row>
        <row r="937">
          <cell r="D937">
            <v>666</v>
          </cell>
          <cell r="K937" t="str">
            <v>Overtime Benefits</v>
          </cell>
          <cell r="P937">
            <v>0</v>
          </cell>
        </row>
        <row r="938">
          <cell r="D938">
            <v>666</v>
          </cell>
          <cell r="K938"/>
          <cell r="P938">
            <v>0</v>
          </cell>
        </row>
        <row r="939">
          <cell r="D939"/>
          <cell r="K939"/>
          <cell r="P939"/>
        </row>
        <row r="940">
          <cell r="D940">
            <v>666</v>
          </cell>
          <cell r="K940"/>
          <cell r="P940"/>
        </row>
        <row r="941">
          <cell r="D941">
            <v>666</v>
          </cell>
          <cell r="K941" t="str">
            <v>Materials &amp; Supplies</v>
          </cell>
          <cell r="P941">
            <v>51792.810000000012</v>
          </cell>
        </row>
        <row r="942">
          <cell r="D942">
            <v>666</v>
          </cell>
          <cell r="K942" t="str">
            <v>Transportation, Per Diem, and Mileage</v>
          </cell>
          <cell r="P942">
            <v>11193.6</v>
          </cell>
        </row>
        <row r="943">
          <cell r="D943">
            <v>666</v>
          </cell>
          <cell r="K943" t="str">
            <v>Transportation, Per Diem, and Mileage</v>
          </cell>
          <cell r="P943">
            <v>8840</v>
          </cell>
        </row>
        <row r="944">
          <cell r="D944">
            <v>666</v>
          </cell>
          <cell r="K944" t="str">
            <v>Transportation, Per Diem, and Mileage</v>
          </cell>
          <cell r="P944">
            <v>6225</v>
          </cell>
        </row>
        <row r="945">
          <cell r="D945">
            <v>666</v>
          </cell>
          <cell r="K945" t="str">
            <v>Transportation, Per Diem, and Mileage</v>
          </cell>
          <cell r="P945">
            <v>0</v>
          </cell>
        </row>
        <row r="946">
          <cell r="D946">
            <v>666</v>
          </cell>
          <cell r="K946" t="str">
            <v>Transportation, Per Diem, and Mileage</v>
          </cell>
          <cell r="P946">
            <v>0</v>
          </cell>
        </row>
        <row r="947">
          <cell r="D947">
            <v>666</v>
          </cell>
          <cell r="K947" t="str">
            <v>Transportation, Per Diem, and Mileage</v>
          </cell>
          <cell r="P947">
            <v>0</v>
          </cell>
        </row>
        <row r="948">
          <cell r="D948">
            <v>666</v>
          </cell>
          <cell r="K948" t="str">
            <v>Equipment, Inspections, Repairs &amp; Other O&amp;M</v>
          </cell>
          <cell r="P948">
            <v>0</v>
          </cell>
        </row>
        <row r="949">
          <cell r="D949">
            <v>666</v>
          </cell>
          <cell r="K949" t="str">
            <v>Equipment, Inspections, Repairs &amp; Other O&amp;M</v>
          </cell>
          <cell r="P949">
            <v>0</v>
          </cell>
        </row>
        <row r="950">
          <cell r="D950">
            <v>666</v>
          </cell>
          <cell r="K950" t="str">
            <v>Professional &amp; Technical Outsourced Services</v>
          </cell>
          <cell r="P950">
            <v>337000</v>
          </cell>
        </row>
        <row r="951">
          <cell r="D951">
            <v>666</v>
          </cell>
          <cell r="K951" t="str">
            <v>Equipment, Inspections, Repairs &amp; Other O&amp;M</v>
          </cell>
          <cell r="P951">
            <v>362427</v>
          </cell>
        </row>
        <row r="952">
          <cell r="D952">
            <v>666</v>
          </cell>
          <cell r="K952"/>
          <cell r="P952">
            <v>777478.41</v>
          </cell>
        </row>
        <row r="953">
          <cell r="D953"/>
          <cell r="K953"/>
          <cell r="P953"/>
        </row>
        <row r="954">
          <cell r="D954">
            <v>666</v>
          </cell>
          <cell r="K954"/>
          <cell r="P954">
            <v>777478.41</v>
          </cell>
        </row>
        <row r="955">
          <cell r="D955"/>
          <cell r="K955"/>
        </row>
        <row r="956">
          <cell r="D956"/>
          <cell r="K956"/>
        </row>
        <row r="957">
          <cell r="D957">
            <v>169</v>
          </cell>
          <cell r="K957"/>
          <cell r="P957"/>
        </row>
        <row r="958">
          <cell r="D958"/>
          <cell r="K958"/>
          <cell r="P958"/>
        </row>
        <row r="959">
          <cell r="D959">
            <v>169</v>
          </cell>
          <cell r="K959" t="str">
            <v>Headcount</v>
          </cell>
          <cell r="P959">
            <v>0</v>
          </cell>
        </row>
        <row r="960">
          <cell r="D960">
            <v>169</v>
          </cell>
          <cell r="K960" t="str">
            <v>Headcount - Temp</v>
          </cell>
          <cell r="P960">
            <v>0</v>
          </cell>
        </row>
        <row r="962">
          <cell r="D962">
            <v>169</v>
          </cell>
          <cell r="K962"/>
          <cell r="P962"/>
        </row>
        <row r="963">
          <cell r="D963">
            <v>169</v>
          </cell>
          <cell r="K963" t="str">
            <v>Salaries &amp; Wages</v>
          </cell>
          <cell r="P963">
            <v>0</v>
          </cell>
        </row>
        <row r="964">
          <cell r="D964">
            <v>169</v>
          </cell>
          <cell r="K964" t="str">
            <v>Pension &amp; Benefits</v>
          </cell>
          <cell r="P964">
            <v>0</v>
          </cell>
        </row>
        <row r="965">
          <cell r="D965">
            <v>169</v>
          </cell>
          <cell r="K965" t="str">
            <v>Overtime Salary</v>
          </cell>
          <cell r="P965">
            <v>0</v>
          </cell>
        </row>
        <row r="966">
          <cell r="D966">
            <v>169</v>
          </cell>
          <cell r="K966" t="str">
            <v>Overtime Benefits</v>
          </cell>
          <cell r="P966">
            <v>0</v>
          </cell>
        </row>
        <row r="967">
          <cell r="D967">
            <v>169</v>
          </cell>
          <cell r="K967"/>
          <cell r="P967">
            <v>0</v>
          </cell>
        </row>
        <row r="968">
          <cell r="D968"/>
          <cell r="K968"/>
          <cell r="P968"/>
        </row>
        <row r="969">
          <cell r="D969">
            <v>169</v>
          </cell>
          <cell r="K969"/>
          <cell r="P969"/>
        </row>
        <row r="970">
          <cell r="D970">
            <v>169</v>
          </cell>
          <cell r="K970" t="str">
            <v>Salaries &amp; Wages</v>
          </cell>
          <cell r="P970">
            <v>0</v>
          </cell>
        </row>
        <row r="971">
          <cell r="D971">
            <v>169</v>
          </cell>
          <cell r="K971" t="str">
            <v>Pension &amp; Benefits</v>
          </cell>
          <cell r="P971">
            <v>0</v>
          </cell>
        </row>
        <row r="972">
          <cell r="D972">
            <v>169</v>
          </cell>
          <cell r="K972" t="str">
            <v>Overtime Salary</v>
          </cell>
          <cell r="P972">
            <v>0</v>
          </cell>
        </row>
        <row r="973">
          <cell r="D973">
            <v>169</v>
          </cell>
          <cell r="K973" t="str">
            <v>Overtime Benefits</v>
          </cell>
          <cell r="P973">
            <v>0</v>
          </cell>
        </row>
        <row r="974">
          <cell r="D974">
            <v>169</v>
          </cell>
          <cell r="K974"/>
          <cell r="P974">
            <v>0</v>
          </cell>
        </row>
        <row r="975">
          <cell r="D975"/>
          <cell r="K975"/>
          <cell r="P975"/>
        </row>
        <row r="976">
          <cell r="D976">
            <v>169</v>
          </cell>
          <cell r="K976"/>
          <cell r="P976"/>
        </row>
        <row r="977">
          <cell r="D977">
            <v>169</v>
          </cell>
          <cell r="K977" t="str">
            <v>Materials &amp; Supplies</v>
          </cell>
          <cell r="P977">
            <v>50962.51</v>
          </cell>
        </row>
        <row r="978">
          <cell r="D978">
            <v>169</v>
          </cell>
          <cell r="K978" t="str">
            <v>Transportation, Per Diem, and Mileage</v>
          </cell>
          <cell r="P978">
            <v>7161.6</v>
          </cell>
        </row>
        <row r="979">
          <cell r="D979">
            <v>169</v>
          </cell>
          <cell r="K979" t="str">
            <v>Transportation, Per Diem, and Mileage</v>
          </cell>
          <cell r="P979">
            <v>2750</v>
          </cell>
        </row>
        <row r="980">
          <cell r="D980">
            <v>169</v>
          </cell>
          <cell r="K980" t="str">
            <v>Transportation, Per Diem, and Mileage</v>
          </cell>
          <cell r="P980">
            <v>2500</v>
          </cell>
        </row>
        <row r="981">
          <cell r="D981">
            <v>169</v>
          </cell>
          <cell r="K981" t="str">
            <v>Transportation, Per Diem, and Mileage</v>
          </cell>
          <cell r="P981">
            <v>0</v>
          </cell>
        </row>
        <row r="982">
          <cell r="D982">
            <v>169</v>
          </cell>
          <cell r="K982" t="str">
            <v>Transportation, Per Diem, and Mileage</v>
          </cell>
          <cell r="P982">
            <v>0</v>
          </cell>
        </row>
        <row r="983">
          <cell r="D983">
            <v>169</v>
          </cell>
          <cell r="K983" t="str">
            <v>Transportation, Per Diem, and Mileage</v>
          </cell>
          <cell r="P983">
            <v>0</v>
          </cell>
        </row>
        <row r="984">
          <cell r="D984">
            <v>169</v>
          </cell>
          <cell r="K984" t="str">
            <v>Equipment, Inspections, Repairs &amp; Other O&amp;M</v>
          </cell>
          <cell r="P984">
            <v>0</v>
          </cell>
        </row>
        <row r="985">
          <cell r="D985">
            <v>169</v>
          </cell>
          <cell r="K985" t="str">
            <v>Equipment, Inspections, Repairs &amp; Other O&amp;M</v>
          </cell>
          <cell r="P985">
            <v>0</v>
          </cell>
        </row>
        <row r="986">
          <cell r="D986">
            <v>169</v>
          </cell>
          <cell r="K986" t="str">
            <v>Professional &amp; Technical Outsourced Services</v>
          </cell>
          <cell r="P986">
            <v>337000</v>
          </cell>
        </row>
        <row r="987">
          <cell r="D987">
            <v>169</v>
          </cell>
          <cell r="K987" t="str">
            <v>Equipment, Inspections, Repairs &amp; Other O&amp;M</v>
          </cell>
          <cell r="P987">
            <v>26000</v>
          </cell>
        </row>
        <row r="988">
          <cell r="D988">
            <v>169</v>
          </cell>
          <cell r="K988"/>
          <cell r="P988">
            <v>426374.11</v>
          </cell>
        </row>
        <row r="989">
          <cell r="D989"/>
          <cell r="K989"/>
          <cell r="P989"/>
        </row>
        <row r="990">
          <cell r="D990">
            <v>169</v>
          </cell>
          <cell r="K990"/>
          <cell r="P990">
            <v>426374.11</v>
          </cell>
        </row>
        <row r="991">
          <cell r="D991"/>
          <cell r="K991"/>
        </row>
        <row r="992">
          <cell r="D992">
            <v>211</v>
          </cell>
          <cell r="K992"/>
          <cell r="P992"/>
        </row>
        <row r="994">
          <cell r="D994">
            <v>211</v>
          </cell>
          <cell r="K994" t="str">
            <v>Headcount</v>
          </cell>
          <cell r="P994">
            <v>0</v>
          </cell>
        </row>
        <row r="995">
          <cell r="D995">
            <v>211</v>
          </cell>
          <cell r="K995" t="str">
            <v>Headcount - Temp</v>
          </cell>
          <cell r="P995">
            <v>0</v>
          </cell>
        </row>
        <row r="996">
          <cell r="D996"/>
          <cell r="K996"/>
          <cell r="P996"/>
        </row>
        <row r="997">
          <cell r="D997">
            <v>211</v>
          </cell>
          <cell r="K997"/>
          <cell r="P997"/>
        </row>
        <row r="998">
          <cell r="D998">
            <v>211</v>
          </cell>
          <cell r="K998" t="str">
            <v>Salaries &amp; Wages</v>
          </cell>
          <cell r="P998">
            <v>0</v>
          </cell>
        </row>
        <row r="999">
          <cell r="D999">
            <v>211</v>
          </cell>
          <cell r="K999" t="str">
            <v>Pension &amp; Benefits</v>
          </cell>
          <cell r="P999">
            <v>0</v>
          </cell>
        </row>
        <row r="1000">
          <cell r="D1000">
            <v>211</v>
          </cell>
          <cell r="K1000" t="str">
            <v>Overtime Salary</v>
          </cell>
          <cell r="P1000">
            <v>0</v>
          </cell>
        </row>
        <row r="1001">
          <cell r="D1001">
            <v>211</v>
          </cell>
          <cell r="K1001" t="str">
            <v>Overtime Benefits</v>
          </cell>
          <cell r="P1001">
            <v>0</v>
          </cell>
        </row>
        <row r="1002">
          <cell r="D1002">
            <v>211</v>
          </cell>
          <cell r="K1002"/>
          <cell r="P1002">
            <v>0</v>
          </cell>
        </row>
        <row r="1003">
          <cell r="D1003"/>
          <cell r="K1003"/>
          <cell r="P1003"/>
        </row>
        <row r="1004">
          <cell r="D1004">
            <v>211</v>
          </cell>
          <cell r="K1004"/>
          <cell r="P1004"/>
        </row>
        <row r="1005">
          <cell r="D1005">
            <v>211</v>
          </cell>
          <cell r="K1005" t="str">
            <v>Salaries &amp; Wages</v>
          </cell>
          <cell r="P1005">
            <v>0</v>
          </cell>
        </row>
        <row r="1006">
          <cell r="D1006">
            <v>211</v>
          </cell>
          <cell r="K1006" t="str">
            <v>Pension &amp; Benefits</v>
          </cell>
          <cell r="P1006">
            <v>0</v>
          </cell>
        </row>
        <row r="1007">
          <cell r="D1007">
            <v>211</v>
          </cell>
          <cell r="K1007" t="str">
            <v>Overtime Salary</v>
          </cell>
          <cell r="P1007">
            <v>0</v>
          </cell>
        </row>
        <row r="1008">
          <cell r="D1008">
            <v>211</v>
          </cell>
          <cell r="K1008" t="str">
            <v>Overtime Benefits</v>
          </cell>
          <cell r="P1008">
            <v>0</v>
          </cell>
        </row>
        <row r="1009">
          <cell r="D1009">
            <v>211</v>
          </cell>
          <cell r="K1009"/>
          <cell r="P1009">
            <v>0</v>
          </cell>
        </row>
        <row r="1011">
          <cell r="D1011">
            <v>211</v>
          </cell>
          <cell r="K1011"/>
          <cell r="P1011"/>
        </row>
        <row r="1012">
          <cell r="D1012">
            <v>211</v>
          </cell>
          <cell r="K1012" t="str">
            <v>Materials &amp; Supplies</v>
          </cell>
          <cell r="P1012">
            <v>53030.55</v>
          </cell>
        </row>
        <row r="1013">
          <cell r="D1013">
            <v>211</v>
          </cell>
          <cell r="K1013" t="str">
            <v>Transportation, Per Diem, and Mileage</v>
          </cell>
          <cell r="P1013">
            <v>0</v>
          </cell>
        </row>
        <row r="1014">
          <cell r="D1014">
            <v>211</v>
          </cell>
          <cell r="K1014" t="str">
            <v>Transportation, Per Diem, and Mileage</v>
          </cell>
          <cell r="P1014">
            <v>38398.75</v>
          </cell>
        </row>
        <row r="1015">
          <cell r="D1015">
            <v>211</v>
          </cell>
          <cell r="K1015" t="str">
            <v>Transportation, Per Diem, and Mileage</v>
          </cell>
          <cell r="P1015">
            <v>8000</v>
          </cell>
        </row>
        <row r="1016">
          <cell r="D1016">
            <v>211</v>
          </cell>
          <cell r="K1016" t="str">
            <v>Transportation, Per Diem, and Mileage</v>
          </cell>
          <cell r="P1016">
            <v>0</v>
          </cell>
        </row>
        <row r="1017">
          <cell r="D1017">
            <v>211</v>
          </cell>
          <cell r="K1017" t="str">
            <v>Transportation, Per Diem, and Mileage</v>
          </cell>
          <cell r="P1017">
            <v>0</v>
          </cell>
        </row>
        <row r="1018">
          <cell r="D1018">
            <v>211</v>
          </cell>
          <cell r="K1018" t="str">
            <v>Transportation, Per Diem, and Mileage</v>
          </cell>
          <cell r="P1018">
            <v>0</v>
          </cell>
        </row>
        <row r="1019">
          <cell r="D1019">
            <v>211</v>
          </cell>
          <cell r="K1019" t="str">
            <v>Equipment, Inspections, Repairs &amp; Other O&amp;M</v>
          </cell>
          <cell r="P1019">
            <v>0</v>
          </cell>
        </row>
        <row r="1020">
          <cell r="D1020">
            <v>211</v>
          </cell>
          <cell r="K1020" t="str">
            <v>Equipment, Inspections, Repairs &amp; Other O&amp;M</v>
          </cell>
          <cell r="P1020">
            <v>0</v>
          </cell>
        </row>
        <row r="1021">
          <cell r="D1021">
            <v>211</v>
          </cell>
          <cell r="K1021" t="str">
            <v>Professional &amp; Technical Outsourced Services</v>
          </cell>
          <cell r="P1021">
            <v>15000</v>
          </cell>
        </row>
        <row r="1022">
          <cell r="D1022">
            <v>211</v>
          </cell>
          <cell r="K1022" t="str">
            <v>Equipment, Inspections, Repairs &amp; Other O&amp;M</v>
          </cell>
          <cell r="P1022">
            <v>65500</v>
          </cell>
        </row>
        <row r="1023">
          <cell r="D1023">
            <v>211</v>
          </cell>
          <cell r="K1023"/>
          <cell r="P1023">
            <v>179929.3</v>
          </cell>
        </row>
        <row r="1024">
          <cell r="D1024">
            <v>211</v>
          </cell>
          <cell r="K1024"/>
          <cell r="P1024"/>
        </row>
        <row r="1025">
          <cell r="D1025">
            <v>211</v>
          </cell>
          <cell r="K1025"/>
          <cell r="P1025">
            <v>179929.3</v>
          </cell>
        </row>
        <row r="1027">
          <cell r="D1027">
            <v>212</v>
          </cell>
          <cell r="K1027"/>
          <cell r="P1027"/>
        </row>
        <row r="1028">
          <cell r="D1028"/>
          <cell r="K1028"/>
          <cell r="P1028"/>
        </row>
        <row r="1029">
          <cell r="D1029">
            <v>212</v>
          </cell>
          <cell r="K1029" t="str">
            <v>Headcount</v>
          </cell>
          <cell r="P1029">
            <v>0</v>
          </cell>
        </row>
        <row r="1030">
          <cell r="D1030">
            <v>212</v>
          </cell>
          <cell r="K1030" t="str">
            <v>Headcount - Temp</v>
          </cell>
          <cell r="P1030">
            <v>0</v>
          </cell>
        </row>
        <row r="1031">
          <cell r="D1031"/>
          <cell r="K1031"/>
          <cell r="P1031"/>
        </row>
        <row r="1032">
          <cell r="D1032">
            <v>212</v>
          </cell>
          <cell r="K1032"/>
          <cell r="P1032"/>
        </row>
        <row r="1033">
          <cell r="D1033">
            <v>212</v>
          </cell>
          <cell r="K1033" t="str">
            <v>Salaries &amp; Wages</v>
          </cell>
          <cell r="P1033">
            <v>0</v>
          </cell>
        </row>
        <row r="1034">
          <cell r="D1034">
            <v>212</v>
          </cell>
          <cell r="K1034" t="str">
            <v>Pension &amp; Benefits</v>
          </cell>
          <cell r="P1034">
            <v>0</v>
          </cell>
        </row>
        <row r="1035">
          <cell r="D1035">
            <v>212</v>
          </cell>
          <cell r="K1035" t="str">
            <v>Overtime Salary</v>
          </cell>
          <cell r="P1035">
            <v>0</v>
          </cell>
        </row>
        <row r="1036">
          <cell r="D1036">
            <v>212</v>
          </cell>
          <cell r="K1036" t="str">
            <v>Overtime Benefits</v>
          </cell>
          <cell r="P1036">
            <v>0</v>
          </cell>
        </row>
        <row r="1037">
          <cell r="D1037">
            <v>212</v>
          </cell>
          <cell r="K1037"/>
          <cell r="P1037">
            <v>0</v>
          </cell>
        </row>
        <row r="1038">
          <cell r="D1038"/>
          <cell r="K1038"/>
          <cell r="P1038"/>
        </row>
        <row r="1039">
          <cell r="D1039">
            <v>212</v>
          </cell>
          <cell r="K1039"/>
          <cell r="P1039"/>
        </row>
        <row r="1040">
          <cell r="D1040">
            <v>212</v>
          </cell>
          <cell r="K1040" t="str">
            <v>Salaries &amp; Wages</v>
          </cell>
          <cell r="P1040">
            <v>0</v>
          </cell>
        </row>
        <row r="1041">
          <cell r="D1041">
            <v>212</v>
          </cell>
          <cell r="K1041" t="str">
            <v>Pension &amp; Benefits</v>
          </cell>
          <cell r="P1041">
            <v>0</v>
          </cell>
        </row>
        <row r="1042">
          <cell r="D1042">
            <v>212</v>
          </cell>
          <cell r="K1042" t="str">
            <v>Overtime Salary</v>
          </cell>
          <cell r="P1042">
            <v>0</v>
          </cell>
        </row>
        <row r="1043">
          <cell r="D1043">
            <v>212</v>
          </cell>
          <cell r="K1043" t="str">
            <v>Overtime Benefits</v>
          </cell>
          <cell r="P1043">
            <v>0</v>
          </cell>
        </row>
        <row r="1044">
          <cell r="D1044">
            <v>212</v>
          </cell>
          <cell r="K1044"/>
          <cell r="P1044">
            <v>0</v>
          </cell>
        </row>
        <row r="1045">
          <cell r="D1045"/>
          <cell r="K1045"/>
          <cell r="P1045"/>
        </row>
        <row r="1046">
          <cell r="D1046">
            <v>212</v>
          </cell>
          <cell r="K1046"/>
          <cell r="P1046"/>
        </row>
        <row r="1047">
          <cell r="D1047">
            <v>212</v>
          </cell>
          <cell r="K1047" t="str">
            <v>Materials &amp; Supplies</v>
          </cell>
          <cell r="P1047">
            <v>33277.509999999995</v>
          </cell>
        </row>
        <row r="1048">
          <cell r="D1048">
            <v>212</v>
          </cell>
          <cell r="K1048" t="str">
            <v>Transportation, Per Diem, and Mileage</v>
          </cell>
          <cell r="P1048">
            <v>0</v>
          </cell>
        </row>
        <row r="1049">
          <cell r="D1049">
            <v>212</v>
          </cell>
          <cell r="K1049" t="str">
            <v>Transportation, Per Diem, and Mileage</v>
          </cell>
          <cell r="P1049">
            <v>13072</v>
          </cell>
        </row>
        <row r="1050">
          <cell r="D1050">
            <v>212</v>
          </cell>
          <cell r="K1050" t="str">
            <v>Transportation, Per Diem, and Mileage</v>
          </cell>
          <cell r="P1050">
            <v>12400</v>
          </cell>
        </row>
        <row r="1051">
          <cell r="D1051">
            <v>212</v>
          </cell>
          <cell r="K1051" t="str">
            <v>Transportation, Per Diem, and Mileage</v>
          </cell>
          <cell r="P1051">
            <v>1000</v>
          </cell>
        </row>
        <row r="1052">
          <cell r="D1052">
            <v>212</v>
          </cell>
          <cell r="K1052" t="str">
            <v>Transportation, Per Diem, and Mileage</v>
          </cell>
          <cell r="P1052">
            <v>250</v>
          </cell>
        </row>
        <row r="1053">
          <cell r="D1053">
            <v>212</v>
          </cell>
          <cell r="K1053" t="str">
            <v>Transportation, Per Diem, and Mileage</v>
          </cell>
          <cell r="P1053">
            <v>750</v>
          </cell>
        </row>
        <row r="1054">
          <cell r="D1054">
            <v>212</v>
          </cell>
          <cell r="K1054" t="str">
            <v>Equipment, Inspections, Repairs &amp; Other O&amp;M</v>
          </cell>
          <cell r="P1054">
            <v>15000</v>
          </cell>
        </row>
        <row r="1055">
          <cell r="D1055">
            <v>212</v>
          </cell>
          <cell r="K1055" t="str">
            <v>Equipment, Inspections, Repairs &amp; Other O&amp;M</v>
          </cell>
          <cell r="P1055">
            <v>500</v>
          </cell>
        </row>
        <row r="1056">
          <cell r="D1056">
            <v>212</v>
          </cell>
          <cell r="K1056" t="str">
            <v>Professional &amp; Technical Outsourced Services</v>
          </cell>
          <cell r="P1056">
            <v>0</v>
          </cell>
        </row>
        <row r="1057">
          <cell r="D1057">
            <v>212</v>
          </cell>
          <cell r="K1057" t="str">
            <v>Equipment, Inspections, Repairs &amp; Other O&amp;M</v>
          </cell>
          <cell r="P1057">
            <v>20000</v>
          </cell>
        </row>
        <row r="1058">
          <cell r="D1058">
            <v>212</v>
          </cell>
          <cell r="K1058"/>
          <cell r="P1058">
            <v>96249.51</v>
          </cell>
        </row>
        <row r="1059">
          <cell r="D1059"/>
          <cell r="K1059"/>
          <cell r="P1059"/>
        </row>
        <row r="1060">
          <cell r="D1060">
            <v>212</v>
          </cell>
          <cell r="K1060"/>
          <cell r="P1060">
            <v>96249.51</v>
          </cell>
        </row>
        <row r="1061">
          <cell r="D1061"/>
          <cell r="K1061"/>
        </row>
        <row r="1062">
          <cell r="D1062">
            <v>213</v>
          </cell>
          <cell r="K1062"/>
          <cell r="P1062"/>
        </row>
        <row r="1063">
          <cell r="D1063"/>
          <cell r="K1063"/>
          <cell r="P1063"/>
        </row>
        <row r="1064">
          <cell r="D1064">
            <v>213</v>
          </cell>
          <cell r="K1064" t="str">
            <v>Headcount</v>
          </cell>
          <cell r="P1064">
            <v>0</v>
          </cell>
        </row>
        <row r="1065">
          <cell r="D1065">
            <v>213</v>
          </cell>
          <cell r="K1065" t="str">
            <v>Headcount - Temp</v>
          </cell>
          <cell r="P1065">
            <v>0</v>
          </cell>
        </row>
        <row r="1066">
          <cell r="D1066"/>
          <cell r="K1066"/>
          <cell r="P1066"/>
        </row>
        <row r="1067">
          <cell r="D1067">
            <v>213</v>
          </cell>
          <cell r="K1067"/>
          <cell r="P1067"/>
        </row>
        <row r="1068">
          <cell r="D1068">
            <v>213</v>
          </cell>
          <cell r="K1068" t="str">
            <v>Salaries &amp; Wages</v>
          </cell>
          <cell r="P1068">
            <v>0</v>
          </cell>
        </row>
        <row r="1069">
          <cell r="D1069">
            <v>213</v>
          </cell>
          <cell r="K1069" t="str">
            <v>Pension &amp; Benefits</v>
          </cell>
          <cell r="P1069">
            <v>0</v>
          </cell>
        </row>
        <row r="1070">
          <cell r="D1070">
            <v>213</v>
          </cell>
          <cell r="K1070" t="str">
            <v>Overtime Salary</v>
          </cell>
          <cell r="P1070">
            <v>0</v>
          </cell>
        </row>
        <row r="1071">
          <cell r="D1071">
            <v>213</v>
          </cell>
          <cell r="K1071" t="str">
            <v>Overtime Benefits</v>
          </cell>
          <cell r="P1071">
            <v>0</v>
          </cell>
        </row>
        <row r="1072">
          <cell r="D1072">
            <v>213</v>
          </cell>
          <cell r="K1072"/>
          <cell r="P1072">
            <v>0</v>
          </cell>
        </row>
        <row r="1074">
          <cell r="D1074">
            <v>213</v>
          </cell>
          <cell r="K1074"/>
          <cell r="P1074"/>
        </row>
        <row r="1075">
          <cell r="D1075">
            <v>213</v>
          </cell>
          <cell r="K1075" t="str">
            <v>Salaries &amp; Wages</v>
          </cell>
          <cell r="P1075">
            <v>0</v>
          </cell>
        </row>
        <row r="1076">
          <cell r="D1076">
            <v>213</v>
          </cell>
          <cell r="K1076" t="str">
            <v>Pension &amp; Benefits</v>
          </cell>
          <cell r="P1076">
            <v>0</v>
          </cell>
        </row>
        <row r="1077">
          <cell r="D1077">
            <v>213</v>
          </cell>
          <cell r="K1077" t="str">
            <v>Overtime Salary</v>
          </cell>
          <cell r="P1077">
            <v>0</v>
          </cell>
        </row>
        <row r="1078">
          <cell r="D1078">
            <v>213</v>
          </cell>
          <cell r="K1078" t="str">
            <v>Overtime Benefits</v>
          </cell>
          <cell r="P1078">
            <v>0</v>
          </cell>
        </row>
        <row r="1079">
          <cell r="D1079">
            <v>213</v>
          </cell>
          <cell r="K1079"/>
          <cell r="P1079">
            <v>0</v>
          </cell>
        </row>
        <row r="1080">
          <cell r="D1080"/>
          <cell r="K1080"/>
          <cell r="P1080"/>
        </row>
        <row r="1081">
          <cell r="D1081">
            <v>213</v>
          </cell>
          <cell r="K1081"/>
          <cell r="P1081"/>
        </row>
        <row r="1082">
          <cell r="D1082">
            <v>213</v>
          </cell>
          <cell r="K1082" t="str">
            <v>Materials &amp; Supplies</v>
          </cell>
          <cell r="P1082">
            <v>502093.43000000005</v>
          </cell>
        </row>
        <row r="1083">
          <cell r="D1083">
            <v>213</v>
          </cell>
          <cell r="K1083" t="str">
            <v>Transportation, Per Diem, and Mileage</v>
          </cell>
          <cell r="P1083">
            <v>190272.00000000009</v>
          </cell>
        </row>
        <row r="1084">
          <cell r="D1084">
            <v>213</v>
          </cell>
          <cell r="K1084" t="str">
            <v>Transportation, Per Diem, and Mileage</v>
          </cell>
          <cell r="P1084">
            <v>69220</v>
          </cell>
        </row>
        <row r="1085">
          <cell r="D1085">
            <v>213</v>
          </cell>
          <cell r="K1085" t="str">
            <v>Transportation, Per Diem, and Mileage</v>
          </cell>
          <cell r="P1085">
            <v>17000</v>
          </cell>
        </row>
        <row r="1086">
          <cell r="D1086">
            <v>213</v>
          </cell>
          <cell r="K1086" t="str">
            <v>Transportation, Per Diem, and Mileage</v>
          </cell>
          <cell r="P1086">
            <v>0</v>
          </cell>
        </row>
        <row r="1087">
          <cell r="D1087">
            <v>213</v>
          </cell>
          <cell r="K1087" t="str">
            <v>Transportation, Per Diem, and Mileage</v>
          </cell>
          <cell r="P1087">
            <v>0</v>
          </cell>
        </row>
        <row r="1088">
          <cell r="D1088">
            <v>213</v>
          </cell>
          <cell r="K1088" t="str">
            <v>Transportation, Per Diem, and Mileage</v>
          </cell>
          <cell r="P1088">
            <v>0</v>
          </cell>
        </row>
        <row r="1089">
          <cell r="D1089">
            <v>213</v>
          </cell>
          <cell r="K1089" t="str">
            <v>Equipment, Inspections, Repairs &amp; Other O&amp;M</v>
          </cell>
          <cell r="P1089">
            <v>15000</v>
          </cell>
        </row>
        <row r="1090">
          <cell r="D1090">
            <v>213</v>
          </cell>
          <cell r="K1090" t="str">
            <v>Equipment, Inspections, Repairs &amp; Other O&amp;M</v>
          </cell>
          <cell r="P1090">
            <v>1000</v>
          </cell>
        </row>
        <row r="1091">
          <cell r="D1091">
            <v>213</v>
          </cell>
          <cell r="K1091" t="str">
            <v>Professional &amp; Technical Outsourced Services</v>
          </cell>
          <cell r="P1091">
            <v>4408865</v>
          </cell>
        </row>
        <row r="1092">
          <cell r="D1092">
            <v>213</v>
          </cell>
          <cell r="K1092" t="str">
            <v>Equipment, Inspections, Repairs &amp; Other O&amp;M</v>
          </cell>
          <cell r="P1092">
            <v>532969.6</v>
          </cell>
        </row>
        <row r="1093">
          <cell r="D1093">
            <v>213</v>
          </cell>
          <cell r="K1093"/>
          <cell r="P1093">
            <v>5736420.0299999993</v>
          </cell>
        </row>
        <row r="1094">
          <cell r="D1094"/>
          <cell r="K1094"/>
          <cell r="P1094"/>
        </row>
        <row r="1095">
          <cell r="D1095">
            <v>213</v>
          </cell>
          <cell r="K1095"/>
          <cell r="P1095">
            <v>5736420.0299999993</v>
          </cell>
        </row>
        <row r="1096">
          <cell r="D1096"/>
          <cell r="K1096"/>
        </row>
        <row r="1097">
          <cell r="D1097">
            <v>214</v>
          </cell>
          <cell r="K1097"/>
          <cell r="P1097"/>
        </row>
        <row r="1098">
          <cell r="D1098"/>
          <cell r="K1098"/>
          <cell r="P1098"/>
        </row>
        <row r="1099">
          <cell r="D1099">
            <v>214</v>
          </cell>
          <cell r="K1099" t="str">
            <v>Headcount</v>
          </cell>
          <cell r="P1099">
            <v>0</v>
          </cell>
        </row>
        <row r="1100">
          <cell r="D1100">
            <v>214</v>
          </cell>
          <cell r="K1100" t="str">
            <v>Headcount - Temp</v>
          </cell>
          <cell r="P1100">
            <v>0</v>
          </cell>
        </row>
        <row r="1101">
          <cell r="D1101"/>
          <cell r="K1101"/>
          <cell r="P1101"/>
        </row>
        <row r="1102">
          <cell r="D1102">
            <v>214</v>
          </cell>
          <cell r="K1102"/>
          <cell r="P1102"/>
        </row>
        <row r="1103">
          <cell r="D1103">
            <v>214</v>
          </cell>
          <cell r="K1103" t="str">
            <v>Salaries &amp; Wages</v>
          </cell>
          <cell r="P1103">
            <v>0</v>
          </cell>
        </row>
        <row r="1104">
          <cell r="D1104">
            <v>214</v>
          </cell>
          <cell r="K1104" t="str">
            <v>Pension &amp; Benefits</v>
          </cell>
          <cell r="P1104">
            <v>0</v>
          </cell>
        </row>
        <row r="1105">
          <cell r="D1105">
            <v>214</v>
          </cell>
          <cell r="K1105" t="str">
            <v>Overtime Salary</v>
          </cell>
          <cell r="P1105">
            <v>0</v>
          </cell>
        </row>
        <row r="1106">
          <cell r="D1106">
            <v>214</v>
          </cell>
          <cell r="K1106" t="str">
            <v>Overtime Benefits</v>
          </cell>
          <cell r="P1106">
            <v>0</v>
          </cell>
        </row>
        <row r="1107">
          <cell r="D1107">
            <v>214</v>
          </cell>
          <cell r="K1107"/>
          <cell r="P1107">
            <v>0</v>
          </cell>
        </row>
        <row r="1108">
          <cell r="D1108"/>
          <cell r="K1108"/>
          <cell r="P1108"/>
        </row>
        <row r="1109">
          <cell r="D1109">
            <v>214</v>
          </cell>
          <cell r="K1109"/>
          <cell r="P1109"/>
        </row>
        <row r="1110">
          <cell r="D1110">
            <v>214</v>
          </cell>
          <cell r="K1110" t="str">
            <v>Salaries &amp; Wages</v>
          </cell>
          <cell r="P1110">
            <v>0</v>
          </cell>
        </row>
        <row r="1111">
          <cell r="D1111">
            <v>214</v>
          </cell>
          <cell r="K1111" t="str">
            <v>Pension &amp; Benefits</v>
          </cell>
          <cell r="P1111">
            <v>0</v>
          </cell>
        </row>
        <row r="1112">
          <cell r="D1112">
            <v>214</v>
          </cell>
          <cell r="K1112" t="str">
            <v>Overtime Salary</v>
          </cell>
          <cell r="P1112">
            <v>0</v>
          </cell>
        </row>
        <row r="1113">
          <cell r="D1113">
            <v>214</v>
          </cell>
          <cell r="K1113" t="str">
            <v>Overtime Benefits</v>
          </cell>
          <cell r="P1113">
            <v>0</v>
          </cell>
        </row>
        <row r="1114">
          <cell r="D1114">
            <v>214</v>
          </cell>
          <cell r="K1114"/>
          <cell r="P1114">
            <v>0</v>
          </cell>
        </row>
        <row r="1115">
          <cell r="D1115"/>
          <cell r="K1115"/>
          <cell r="P1115"/>
        </row>
        <row r="1116">
          <cell r="D1116">
            <v>214</v>
          </cell>
          <cell r="K1116"/>
          <cell r="P1116"/>
        </row>
        <row r="1117">
          <cell r="D1117">
            <v>214</v>
          </cell>
          <cell r="K1117" t="str">
            <v>Materials &amp; Supplies</v>
          </cell>
          <cell r="P1117">
            <v>600703.67999999993</v>
          </cell>
        </row>
        <row r="1118">
          <cell r="D1118">
            <v>214</v>
          </cell>
          <cell r="K1118" t="str">
            <v>Transportation, Per Diem, and Mileage</v>
          </cell>
          <cell r="P1118">
            <v>219561.60000000006</v>
          </cell>
        </row>
        <row r="1119">
          <cell r="D1119">
            <v>214</v>
          </cell>
          <cell r="K1119" t="str">
            <v>Transportation, Per Diem, and Mileage</v>
          </cell>
          <cell r="P1119">
            <v>140912</v>
          </cell>
        </row>
        <row r="1120">
          <cell r="D1120">
            <v>214</v>
          </cell>
          <cell r="K1120" t="str">
            <v>Transportation, Per Diem, and Mileage</v>
          </cell>
          <cell r="P1120">
            <v>16175</v>
          </cell>
        </row>
        <row r="1121">
          <cell r="D1121">
            <v>214</v>
          </cell>
          <cell r="K1121" t="str">
            <v>Transportation, Per Diem, and Mileage</v>
          </cell>
          <cell r="P1121">
            <v>1000</v>
          </cell>
        </row>
        <row r="1122">
          <cell r="D1122">
            <v>214</v>
          </cell>
          <cell r="K1122" t="str">
            <v>Transportation, Per Diem, and Mileage</v>
          </cell>
          <cell r="P1122">
            <v>250</v>
          </cell>
        </row>
        <row r="1123">
          <cell r="D1123">
            <v>214</v>
          </cell>
          <cell r="K1123" t="str">
            <v>Transportation, Per Diem, and Mileage</v>
          </cell>
          <cell r="P1123">
            <v>750</v>
          </cell>
        </row>
        <row r="1124">
          <cell r="D1124">
            <v>214</v>
          </cell>
          <cell r="K1124" t="str">
            <v>Equipment, Inspections, Repairs &amp; Other O&amp;M</v>
          </cell>
          <cell r="P1124">
            <v>15000</v>
          </cell>
        </row>
        <row r="1125">
          <cell r="D1125">
            <v>214</v>
          </cell>
          <cell r="K1125" t="str">
            <v>Equipment, Inspections, Repairs &amp; Other O&amp;M</v>
          </cell>
          <cell r="P1125">
            <v>3000</v>
          </cell>
        </row>
        <row r="1126">
          <cell r="D1126">
            <v>214</v>
          </cell>
          <cell r="K1126" t="str">
            <v>Professional &amp; Technical Outsourced Services</v>
          </cell>
          <cell r="P1126">
            <v>4206900</v>
          </cell>
        </row>
        <row r="1127">
          <cell r="D1127">
            <v>214</v>
          </cell>
          <cell r="K1127" t="str">
            <v>Equipment, Inspections, Repairs &amp; Other O&amp;M</v>
          </cell>
          <cell r="P1127">
            <v>1082888.3999999999</v>
          </cell>
        </row>
        <row r="1128">
          <cell r="D1128">
            <v>214</v>
          </cell>
          <cell r="K1128"/>
          <cell r="P1128">
            <v>6287140.6799999997</v>
          </cell>
        </row>
        <row r="1129">
          <cell r="D1129"/>
          <cell r="K1129"/>
          <cell r="P1129"/>
        </row>
        <row r="1130">
          <cell r="D1130">
            <v>214</v>
          </cell>
          <cell r="K1130"/>
          <cell r="P1130">
            <v>6287140.6799999997</v>
          </cell>
        </row>
        <row r="1131">
          <cell r="D1131"/>
          <cell r="K1131"/>
        </row>
        <row r="1132">
          <cell r="D1132">
            <v>215</v>
          </cell>
          <cell r="K1132"/>
          <cell r="P1132"/>
        </row>
        <row r="1133">
          <cell r="D1133"/>
          <cell r="K1133"/>
          <cell r="P1133"/>
        </row>
        <row r="1134">
          <cell r="D1134">
            <v>215</v>
          </cell>
          <cell r="K1134" t="str">
            <v>Headcount</v>
          </cell>
          <cell r="P1134">
            <v>0</v>
          </cell>
        </row>
        <row r="1135">
          <cell r="D1135">
            <v>215</v>
          </cell>
          <cell r="K1135" t="str">
            <v>Headcount - Temp</v>
          </cell>
          <cell r="P1135">
            <v>0</v>
          </cell>
        </row>
        <row r="1136">
          <cell r="D1136"/>
          <cell r="K1136"/>
          <cell r="P1136"/>
        </row>
        <row r="1137">
          <cell r="D1137">
            <v>215</v>
          </cell>
          <cell r="K1137"/>
          <cell r="P1137"/>
        </row>
        <row r="1138">
          <cell r="D1138">
            <v>215</v>
          </cell>
          <cell r="K1138" t="str">
            <v>Salaries &amp; Wages</v>
          </cell>
          <cell r="P1138">
            <v>0</v>
          </cell>
        </row>
        <row r="1139">
          <cell r="D1139">
            <v>215</v>
          </cell>
          <cell r="K1139" t="str">
            <v>Pension &amp; Benefits</v>
          </cell>
          <cell r="P1139">
            <v>0</v>
          </cell>
        </row>
        <row r="1140">
          <cell r="D1140">
            <v>215</v>
          </cell>
          <cell r="K1140" t="str">
            <v>Overtime Salary</v>
          </cell>
          <cell r="P1140">
            <v>0</v>
          </cell>
        </row>
        <row r="1141">
          <cell r="D1141">
            <v>215</v>
          </cell>
          <cell r="K1141" t="str">
            <v>Overtime Benefits</v>
          </cell>
          <cell r="P1141">
            <v>0</v>
          </cell>
        </row>
        <row r="1142">
          <cell r="D1142">
            <v>215</v>
          </cell>
          <cell r="K1142"/>
          <cell r="P1142">
            <v>0</v>
          </cell>
        </row>
        <row r="1143">
          <cell r="D1143"/>
          <cell r="K1143"/>
          <cell r="P1143"/>
        </row>
        <row r="1144">
          <cell r="D1144">
            <v>215</v>
          </cell>
          <cell r="K1144"/>
          <cell r="P1144"/>
        </row>
        <row r="1145">
          <cell r="D1145">
            <v>215</v>
          </cell>
          <cell r="K1145" t="str">
            <v>Salaries &amp; Wages</v>
          </cell>
          <cell r="P1145">
            <v>0</v>
          </cell>
        </row>
        <row r="1146">
          <cell r="D1146">
            <v>215</v>
          </cell>
          <cell r="K1146" t="str">
            <v>Pension &amp; Benefits</v>
          </cell>
          <cell r="P1146">
            <v>0</v>
          </cell>
        </row>
        <row r="1147">
          <cell r="D1147">
            <v>215</v>
          </cell>
          <cell r="K1147" t="str">
            <v>Overtime Salary</v>
          </cell>
          <cell r="P1147">
            <v>0</v>
          </cell>
        </row>
        <row r="1148">
          <cell r="D1148">
            <v>215</v>
          </cell>
          <cell r="K1148" t="str">
            <v>Overtime Benefits</v>
          </cell>
          <cell r="P1148">
            <v>0</v>
          </cell>
        </row>
        <row r="1149">
          <cell r="D1149">
            <v>215</v>
          </cell>
          <cell r="K1149"/>
          <cell r="P1149">
            <v>0</v>
          </cell>
        </row>
        <row r="1150">
          <cell r="D1150"/>
          <cell r="K1150"/>
          <cell r="P1150"/>
        </row>
        <row r="1151">
          <cell r="D1151">
            <v>215</v>
          </cell>
          <cell r="K1151"/>
          <cell r="P1151"/>
        </row>
        <row r="1152">
          <cell r="D1152">
            <v>215</v>
          </cell>
          <cell r="K1152" t="str">
            <v>Materials &amp; Supplies</v>
          </cell>
          <cell r="P1152">
            <v>492714.15999999992</v>
          </cell>
        </row>
        <row r="1153">
          <cell r="D1153">
            <v>215</v>
          </cell>
          <cell r="K1153" t="str">
            <v>Transportation, Per Diem, and Mileage</v>
          </cell>
          <cell r="P1153">
            <v>181190.40000000008</v>
          </cell>
        </row>
        <row r="1154">
          <cell r="D1154">
            <v>215</v>
          </cell>
          <cell r="K1154" t="str">
            <v>Transportation, Per Diem, and Mileage</v>
          </cell>
          <cell r="P1154">
            <v>123908</v>
          </cell>
        </row>
        <row r="1155">
          <cell r="D1155">
            <v>215</v>
          </cell>
          <cell r="K1155" t="str">
            <v>Transportation, Per Diem, and Mileage</v>
          </cell>
          <cell r="P1155">
            <v>27200</v>
          </cell>
        </row>
        <row r="1156">
          <cell r="D1156">
            <v>215</v>
          </cell>
          <cell r="K1156" t="str">
            <v>Transportation, Per Diem, and Mileage</v>
          </cell>
          <cell r="P1156">
            <v>1000</v>
          </cell>
        </row>
        <row r="1157">
          <cell r="D1157">
            <v>215</v>
          </cell>
          <cell r="K1157" t="str">
            <v>Transportation, Per Diem, and Mileage</v>
          </cell>
          <cell r="P1157">
            <v>250</v>
          </cell>
        </row>
        <row r="1158">
          <cell r="D1158">
            <v>215</v>
          </cell>
          <cell r="K1158" t="str">
            <v>Transportation, Per Diem, and Mileage</v>
          </cell>
          <cell r="P1158">
            <v>750</v>
          </cell>
        </row>
        <row r="1159">
          <cell r="D1159">
            <v>215</v>
          </cell>
          <cell r="K1159" t="str">
            <v>Equipment, Inspections, Repairs &amp; Other O&amp;M</v>
          </cell>
          <cell r="P1159">
            <v>35000</v>
          </cell>
        </row>
        <row r="1160">
          <cell r="D1160">
            <v>215</v>
          </cell>
          <cell r="K1160" t="str">
            <v>Equipment, Inspections, Repairs &amp; Other O&amp;M</v>
          </cell>
          <cell r="P1160">
            <v>800</v>
          </cell>
        </row>
        <row r="1161">
          <cell r="D1161">
            <v>215</v>
          </cell>
          <cell r="K1161" t="str">
            <v>Professional &amp; Technical Outsourced Services</v>
          </cell>
          <cell r="P1161">
            <v>3316760</v>
          </cell>
        </row>
        <row r="1162">
          <cell r="D1162">
            <v>215</v>
          </cell>
          <cell r="K1162" t="str">
            <v>Equipment, Inspections, Repairs &amp; Other O&amp;M</v>
          </cell>
          <cell r="P1162">
            <v>562363.6</v>
          </cell>
        </row>
        <row r="1163">
          <cell r="D1163">
            <v>215</v>
          </cell>
          <cell r="K1163"/>
          <cell r="P1163">
            <v>4741936.16</v>
          </cell>
        </row>
        <row r="1164">
          <cell r="D1164"/>
          <cell r="K1164"/>
          <cell r="P1164"/>
        </row>
        <row r="1165">
          <cell r="D1165">
            <v>215</v>
          </cell>
          <cell r="K1165"/>
          <cell r="P1165">
            <v>4741936.16</v>
          </cell>
        </row>
        <row r="1166">
          <cell r="D1166"/>
          <cell r="K1166"/>
        </row>
        <row r="1167">
          <cell r="D1167">
            <v>217</v>
          </cell>
          <cell r="K1167"/>
          <cell r="P1167"/>
        </row>
        <row r="1168">
          <cell r="D1168"/>
          <cell r="K1168"/>
          <cell r="P1168"/>
        </row>
        <row r="1169">
          <cell r="D1169">
            <v>217</v>
          </cell>
          <cell r="K1169" t="str">
            <v>Headcount</v>
          </cell>
          <cell r="P1169">
            <v>0</v>
          </cell>
        </row>
        <row r="1170">
          <cell r="D1170">
            <v>217</v>
          </cell>
          <cell r="K1170" t="str">
            <v>Headcount - Temp</v>
          </cell>
          <cell r="P1170">
            <v>0</v>
          </cell>
        </row>
        <row r="1171">
          <cell r="D1171"/>
          <cell r="K1171"/>
          <cell r="P1171"/>
        </row>
        <row r="1172">
          <cell r="D1172">
            <v>217</v>
          </cell>
          <cell r="K1172"/>
          <cell r="P1172"/>
        </row>
        <row r="1173">
          <cell r="D1173">
            <v>217</v>
          </cell>
          <cell r="K1173" t="str">
            <v>Salaries &amp; Wages</v>
          </cell>
          <cell r="P1173">
            <v>0</v>
          </cell>
        </row>
        <row r="1174">
          <cell r="D1174">
            <v>217</v>
          </cell>
          <cell r="K1174" t="str">
            <v>Pension &amp; Benefits</v>
          </cell>
          <cell r="P1174">
            <v>0</v>
          </cell>
        </row>
        <row r="1175">
          <cell r="D1175">
            <v>217</v>
          </cell>
          <cell r="K1175" t="str">
            <v>Overtime Salary</v>
          </cell>
          <cell r="P1175">
            <v>0</v>
          </cell>
        </row>
        <row r="1176">
          <cell r="D1176">
            <v>217</v>
          </cell>
          <cell r="K1176" t="str">
            <v>Overtime Benefits</v>
          </cell>
          <cell r="P1176">
            <v>0</v>
          </cell>
        </row>
        <row r="1177">
          <cell r="D1177">
            <v>217</v>
          </cell>
          <cell r="K1177"/>
          <cell r="P1177">
            <v>0</v>
          </cell>
        </row>
        <row r="1178">
          <cell r="D1178"/>
          <cell r="K1178"/>
          <cell r="P1178"/>
        </row>
        <row r="1179">
          <cell r="D1179">
            <v>217</v>
          </cell>
          <cell r="K1179"/>
          <cell r="P1179"/>
        </row>
        <row r="1180">
          <cell r="D1180">
            <v>217</v>
          </cell>
          <cell r="K1180" t="str">
            <v>Salaries &amp; Wages</v>
          </cell>
          <cell r="P1180">
            <v>0</v>
          </cell>
        </row>
        <row r="1181">
          <cell r="D1181">
            <v>217</v>
          </cell>
          <cell r="K1181" t="str">
            <v>Pension &amp; Benefits</v>
          </cell>
          <cell r="P1181">
            <v>0</v>
          </cell>
        </row>
        <row r="1182">
          <cell r="D1182">
            <v>217</v>
          </cell>
          <cell r="K1182" t="str">
            <v>Overtime Salary</v>
          </cell>
          <cell r="P1182">
            <v>0</v>
          </cell>
        </row>
        <row r="1183">
          <cell r="D1183">
            <v>217</v>
          </cell>
          <cell r="K1183" t="str">
            <v>Overtime Benefits</v>
          </cell>
          <cell r="P1183">
            <v>0</v>
          </cell>
        </row>
        <row r="1184">
          <cell r="D1184">
            <v>217</v>
          </cell>
          <cell r="K1184"/>
          <cell r="P1184">
            <v>0</v>
          </cell>
        </row>
        <row r="1186">
          <cell r="D1186">
            <v>217</v>
          </cell>
          <cell r="K1186"/>
          <cell r="P1186"/>
        </row>
        <row r="1187">
          <cell r="D1187">
            <v>217</v>
          </cell>
          <cell r="K1187" t="str">
            <v>Materials &amp; Supplies</v>
          </cell>
          <cell r="P1187">
            <v>503339.55000000005</v>
          </cell>
        </row>
        <row r="1188">
          <cell r="D1188">
            <v>217</v>
          </cell>
          <cell r="K1188" t="str">
            <v>Transportation, Per Diem, and Mileage</v>
          </cell>
          <cell r="P1188">
            <v>194832.00000000012</v>
          </cell>
        </row>
        <row r="1189">
          <cell r="D1189">
            <v>217</v>
          </cell>
          <cell r="K1189" t="str">
            <v>Transportation, Per Diem, and Mileage</v>
          </cell>
          <cell r="P1189">
            <v>117932</v>
          </cell>
        </row>
        <row r="1190">
          <cell r="D1190">
            <v>217</v>
          </cell>
          <cell r="K1190" t="str">
            <v>Transportation, Per Diem, and Mileage</v>
          </cell>
          <cell r="P1190">
            <v>20200</v>
          </cell>
        </row>
        <row r="1191">
          <cell r="D1191">
            <v>217</v>
          </cell>
          <cell r="K1191" t="str">
            <v>Transportation, Per Diem, and Mileage</v>
          </cell>
          <cell r="P1191">
            <v>1000</v>
          </cell>
        </row>
        <row r="1192">
          <cell r="D1192">
            <v>217</v>
          </cell>
          <cell r="K1192" t="str">
            <v>Transportation, Per Diem, and Mileage</v>
          </cell>
          <cell r="P1192">
            <v>250</v>
          </cell>
        </row>
        <row r="1193">
          <cell r="D1193">
            <v>217</v>
          </cell>
          <cell r="K1193" t="str">
            <v>Transportation, Per Diem, and Mileage</v>
          </cell>
          <cell r="P1193">
            <v>750</v>
          </cell>
        </row>
        <row r="1194">
          <cell r="D1194">
            <v>217</v>
          </cell>
          <cell r="K1194" t="str">
            <v>Equipment, Inspections, Repairs &amp; Other O&amp;M</v>
          </cell>
          <cell r="P1194">
            <v>30000</v>
          </cell>
        </row>
        <row r="1195">
          <cell r="D1195">
            <v>217</v>
          </cell>
          <cell r="K1195" t="str">
            <v>Equipment, Inspections, Repairs &amp; Other O&amp;M</v>
          </cell>
          <cell r="P1195">
            <v>350</v>
          </cell>
        </row>
        <row r="1196">
          <cell r="D1196">
            <v>217</v>
          </cell>
          <cell r="K1196" t="str">
            <v>Professional &amp; Technical Outsourced Services</v>
          </cell>
          <cell r="P1196">
            <v>1397500</v>
          </cell>
        </row>
        <row r="1197">
          <cell r="D1197">
            <v>217</v>
          </cell>
          <cell r="K1197" t="str">
            <v>Equipment, Inspections, Repairs &amp; Other O&amp;M</v>
          </cell>
          <cell r="P1197">
            <v>861851.35999999987</v>
          </cell>
        </row>
        <row r="1198">
          <cell r="D1198">
            <v>217</v>
          </cell>
          <cell r="K1198"/>
          <cell r="P1198">
            <v>3128004.91</v>
          </cell>
        </row>
        <row r="1199">
          <cell r="D1199"/>
          <cell r="K1199"/>
          <cell r="P1199"/>
        </row>
        <row r="1200">
          <cell r="D1200">
            <v>217</v>
          </cell>
          <cell r="K1200"/>
          <cell r="P1200">
            <v>3128004.91</v>
          </cell>
        </row>
      </sheetData>
      <sheetData sheetId="7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rcial dist tracking April"/>
      <sheetName val="Notes "/>
      <sheetName val="Commercial dist tracking hybrid"/>
      <sheetName val="july 2009"/>
      <sheetName val="Industrial dist tracking"/>
      <sheetName val="Transmission tracking"/>
      <sheetName val="August 2009"/>
      <sheetName val="Residential tracking"/>
      <sheetName val="Rate Impact Calculator NON RES"/>
      <sheetName val="RATES"/>
      <sheetName val="Rate Impact Calculator Res"/>
      <sheetName val="RGTBeforeDSMBeforeRates"/>
      <sheetName val="RCIBeforeDSMWithRates"/>
      <sheetName val="RCIBeforeDSMBeforeRates"/>
      <sheetName val="RCIWithDSMWithRates"/>
      <sheetName val="RGTBeforeDSMWithRates"/>
      <sheetName val="RGTWithDSMWithRates"/>
      <sheetName val="VAR REPORT 2008"/>
      <sheetName val="Dec2008"/>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ld - FEMA - do not use"/>
      <sheetName val="Data Input &gt;"/>
      <sheetName val="Federally Funded (FEMA)"/>
      <sheetName val="Non-Federal Capital"/>
      <sheetName val="O&amp;M"/>
      <sheetName val="Output Tables  &gt;"/>
      <sheetName val="SRP FY24 Appr. vs FY25 Current"/>
      <sheetName val="Summary Tables by PB"/>
      <sheetName val="FY24 vs. FY25 by PB"/>
      <sheetName val="A216810396964DCDB399904ED81BA8E"/>
      <sheetName val="FY25 vs. FY26 by PB"/>
      <sheetName val="FY26 - Outlookyears"/>
      <sheetName val="PowerBi"/>
      <sheetName val="PowerBi (2)"/>
      <sheetName val="Top NFC Initiatives"/>
      <sheetName val="Source FY25 Budget by PB"/>
      <sheetName val="Budget Mapping"/>
      <sheetName val="Bridge"/>
      <sheetName val="Summary for Juan Saca - v1 new"/>
      <sheetName val="Summary for Juan Saca (initial)"/>
      <sheetName val="$16.6M de Non-Recoverable Recon"/>
      <sheetName val="FY26 Summary Table"/>
      <sheetName val="KK Tab"/>
      <sheetName val="PB Check (old, not updated)"/>
      <sheetName val="Top Projects Summary - Reg"/>
      <sheetName val="Top Projects Summary"/>
      <sheetName val="PB Prioritization Raw Data"/>
      <sheetName val="Source Data &gt;"/>
      <sheetName val="(Old - not updated) Results"/>
      <sheetName val="PB 10 year Summary"/>
      <sheetName val="Model &gt;&gt;"/>
      <sheetName val="5.4 Imp Prog Summary"/>
      <sheetName val="5.4 Imp Prog vs. Holistic"/>
      <sheetName val="Program Priortization"/>
      <sheetName val="SRP Summary"/>
      <sheetName val="Tables for Filing"/>
      <sheetName val="Portfolio Summary"/>
      <sheetName val="Output &gt;&gt;"/>
      <sheetName val="Implied SRP Remediation 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 Summary - Freeze21"/>
      <sheetName val="Baseline - 4.5%, 6.18 demand"/>
      <sheetName val="Flat Cut &amp; Freeze - 4.5% 21F"/>
      <sheetName val="Flat Cut &amp; Freeze - 4.5% 21F 20"/>
      <sheetName val="Marginal Cut &amp; Freeze - 4.5% 21"/>
      <sheetName val="Contribution Summary - 4.5% 22"/>
      <sheetName val="Baseline - 4.5% 22"/>
      <sheetName val="Flat Cut &amp; Freeze - 4.5% 22"/>
      <sheetName val="Flat Cut &amp; Freeze - 4.5% 22 15"/>
      <sheetName val="Flat Cut &amp; Freeze - 4.5% 22 17"/>
      <sheetName val="Marginal Cut &amp; Freeze - 4.5% 22"/>
      <sheetName val="Contribution Summary - 4.5%"/>
      <sheetName val="Baseline - 4.5%"/>
      <sheetName val="Flat Cut &amp; Freeze - 4.5%"/>
      <sheetName val="Flat Cut &amp; Freeze - 4.5% 1500"/>
      <sheetName val="Flat Cut &amp; Freeze - 4.5% 1700"/>
      <sheetName val="Marginal Cut &amp; Freeze - 4.5%"/>
      <sheetName val="Contribution Summary -Shocks 21"/>
      <sheetName val="Shocks Summary - 2021"/>
      <sheetName val="Asset Detail"/>
      <sheetName val="Asset Detail 4.5%"/>
      <sheetName val="Flat Cut &amp; Freeze - 2021"/>
      <sheetName val="Flat Cut &amp; Freeze - 2021,1500"/>
      <sheetName val="Flat Cut &amp; Freeze - 2021,1700"/>
      <sheetName val="Baseline - 2021"/>
      <sheetName val="Marginal Cut &amp; Freeze - 2021"/>
      <sheetName val="Marginal Cut &amp; Freeze - 2021,12"/>
      <sheetName val="Shocks Summary"/>
      <sheetName val="Marginal Cut &amp; Freeze-8b"/>
      <sheetName val="Marginal Cut &amp; Freeze-8"/>
      <sheetName val="Marginal Cut &amp; Freeze-7"/>
      <sheetName val="Marginal Cut &amp; Freeze-6"/>
      <sheetName val="Marginal Cut &amp; Freeze-5"/>
      <sheetName val="Marginal Cut &amp; Freeze-4b"/>
      <sheetName val="Marginal Cut &amp; Freeze-4"/>
      <sheetName val="Marginal Cut &amp; Freeze-3"/>
      <sheetName val="Marginal Cut &amp; Freeze-2"/>
      <sheetName val="Marginal Cut &amp; Freeze-1"/>
      <sheetName val="Summary - fund pattern 3 shocks"/>
      <sheetName val="Shock chart"/>
      <sheetName val="Funding percentage funding 3"/>
      <sheetName val="Summary"/>
      <sheetName val="Liability Comparison"/>
      <sheetName val="Summary - KWH 115% &amp; 85%"/>
      <sheetName val="Summary - 5.3%"/>
      <sheetName val="slide 8"/>
      <sheetName val="Funding%"/>
      <sheetName val="Chart"/>
      <sheetName val="KWH"/>
      <sheetName val="Marginal Cut &amp; Freeze"/>
      <sheetName val="Baseline - KWH 85"/>
      <sheetName val="Marginal Cut &amp; Freeze - KWH 85"/>
      <sheetName val="Baseline - KWH 115"/>
      <sheetName val="Marginal Cut &amp; Freeze - KWH 115"/>
      <sheetName val="Baseline - 5.3%"/>
      <sheetName val="Marginal Cut &amp; Freeze - 5.3%"/>
      <sheetName val="Baseline"/>
      <sheetName val="Flat cut"/>
      <sheetName val="Freeze"/>
      <sheetName val="FreezeFlatCut"/>
      <sheetName val="Marginal Cut"/>
      <sheetName val="ProVal-Flat cut"/>
      <sheetName val="ProVal-Marginal cut"/>
      <sheetName val="ProVal-Baseline"/>
      <sheetName val="ProVal-Baseline 4.5%"/>
      <sheetName val="ProVal-FreezeFlatCut"/>
      <sheetName val="ProVal-FreezeFlatCut 4.5%"/>
      <sheetName val="ProVal-FreezeFlatCut 4.5%, 21"/>
      <sheetName val="ProVal-FreezeFlatCut 4.5%, 21,2"/>
      <sheetName val="ProVal-MarginalCut&amp;Freeze 4.5%2"/>
      <sheetName val="ProVal-FreezeFlatCut1500 4.5%"/>
      <sheetName val="ProVal-FreezeFlatCut1700 4.5%"/>
      <sheetName val="ProVal-FreezeFlatCut1500"/>
      <sheetName val="ProVal-FreezeFlatCut1700"/>
      <sheetName val="ProVal-MarginalCut&amp;Freeze"/>
      <sheetName val="ProVal-MarginalCut&amp;Freeze 4.5%"/>
      <sheetName val="ProVal-MarginalCut&amp;Freeze1200"/>
      <sheetName val="ProVal-MarginalCut&amp;Freeze1200 4"/>
      <sheetName val="ProVal-Freeze"/>
      <sheetName val="Baseline Inactives Only 101819"/>
      <sheetName val="Freeze Inactives v Actives"/>
      <sheetName val="EAN"/>
      <sheetName val="Inactive marginal cut reduction"/>
      <sheetName val="Active marginal cut liabilities"/>
      <sheetName val="Baseline inactives only"/>
      <sheetName val="Freeze&amp;FlatCut actives"/>
      <sheetName val="Freeze&amp;FlatCut inactive reducti"/>
      <sheetName val="Freeze&amp;CO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end"/>
      <sheetName val="DB"/>
      <sheetName val="Setup"/>
      <sheetName val="Billing Units"/>
      <sheetName val="Rates Input"/>
      <sheetName val="Income"/>
      <sheetName val="Expense"/>
      <sheetName val="Plant"/>
      <sheetName val="PurPow"/>
      <sheetName val="TOC1"/>
      <sheetName val="TOC2"/>
      <sheetName val="Income Statment"/>
      <sheetName val="Rate Summary"/>
      <sheetName val="Revenue Summary"/>
      <sheetName val="Consumer Analysis"/>
      <sheetName val="CA - Lighting"/>
      <sheetName val="Electric ACT 141"/>
      <sheetName val="RG&amp;GSBill-ApdxE"/>
      <sheetName val="EC3"/>
      <sheetName val="EC5"/>
      <sheetName val="EP1"/>
      <sheetName val="EP3"/>
      <sheetName val="EP5"/>
      <sheetName val="IOUrates"/>
      <sheetName val="Lighting"/>
      <sheetName val="Allocators"/>
      <sheetName val="Class Allocation"/>
      <sheetName val="Classify"/>
      <sheetName val="Func ER"/>
      <sheetName val="Func EC1"/>
      <sheetName val="Func EC3-5"/>
      <sheetName val="Func EP1"/>
      <sheetName val="Func EP3"/>
      <sheetName val="Func EP5"/>
      <sheetName val="Func Light"/>
      <sheetName val="Embedded Cost Allowance"/>
    </sheetNames>
    <sheetDataSet>
      <sheetData sheetId="0"/>
      <sheetData sheetId="1"/>
      <sheetData sheetId="2"/>
      <sheetData sheetId="3" refreshError="1"/>
      <sheetData sheetId="4" refreshError="1"/>
      <sheetData sheetId="5"/>
      <sheetData sheetId="6" refreshError="1"/>
      <sheetData sheetId="7" refreshError="1"/>
      <sheetData sheetId="8"/>
      <sheetData sheetId="9" refreshError="1"/>
      <sheetData sheetId="10" refreshError="1"/>
      <sheetData sheetId="1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sheetData sheetId="22"/>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Panel"/>
      <sheetName val="RevSummary"/>
      <sheetName val="RevAlloc-ApdxC"/>
      <sheetName val="TariffSummary"/>
      <sheetName val="RateComparison"/>
      <sheetName val="Base_Bill"/>
      <sheetName val="BillingUnits"/>
      <sheetName val="COSSResults"/>
      <sheetName val="Base_Normal"/>
      <sheetName val="Transfer"/>
      <sheetName val="Lighting"/>
      <sheetName val="TOC"/>
      <sheetName val="Discounts"/>
      <sheetName val="Interruptible"/>
      <sheetName val="RateSum-ApdxD"/>
      <sheetName val="RG&amp;GSBill-ApdxE"/>
      <sheetName val="TariffCover"/>
      <sheetName val="AvekWHCost"/>
      <sheetName val="OnOffEnergy"/>
      <sheetName val="BreakPoint"/>
      <sheetName val="BillAnalysis"/>
      <sheetName val="ClassRev"/>
      <sheetName val="Backend"/>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D Fixed Proforma"/>
      <sheetName val="Summary"/>
      <sheetName val="Efficiency"/>
      <sheetName val="DD Inputs"/>
      <sheetName val="GPA"/>
      <sheetName val="Instructions_Mapping"/>
      <sheetName val="LANSING"/>
      <sheetName val="PD_Fixed_Proforma"/>
      <sheetName val="DD_Inputs"/>
      <sheetName val="Capital"/>
      <sheetName val="PD_Fixed_Proforma1"/>
      <sheetName val="DD_Inputs1"/>
    </sheetNames>
    <sheetDataSet>
      <sheetData sheetId="0">
        <row r="4">
          <cell r="B4" t="str">
            <v>Proposed Estimate</v>
          </cell>
        </row>
      </sheetData>
      <sheetData sheetId="1"/>
      <sheetData sheetId="2"/>
      <sheetData sheetId="3"/>
      <sheetData sheetId="4"/>
      <sheetData sheetId="5" refreshError="1"/>
      <sheetData sheetId="6" refreshError="1"/>
      <sheetData sheetId="7"/>
      <sheetData sheetId="8"/>
      <sheetData sheetId="9" refreshError="1"/>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bajo 0 a 120 días check"/>
      <sheetName val="Balance total solamente"/>
      <sheetName val="ENVIAR"/>
      <sheetName val="Ultimas 4 facturas"/>
      <sheetName val="4 (A)"/>
    </sheetNames>
    <sheetDataSet>
      <sheetData sheetId="0"/>
      <sheetData sheetId="1"/>
      <sheetData sheetId="2"/>
      <sheetData sheetId="3"/>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Ria Garg" id="{44D9C9B6-69A7-4B40-B2F0-63C4E83C5AA0}" userId="rgarg@guidehouse.com" providerId="PeoplePicker"/>
  <person displayName="Maddy Farrington" id="{07A74086-7C77-455D-B149-5AFA12D9AF0C}" userId="S::mfarrington@guidehouse.com::6410723f-bfd5-4a81-96a7-42c61baff41b" providerId="AD"/>
  <person displayName="Patricio Ramírez" id="{FE115930-B391-4F97-AF99-BC667E30F7C2}" userId="S::Patricio.Ramirez@Lumapr.com::f0fd57f5-3a22-4672-8b27-5be561b79f97" providerId="AD"/>
  <person displayName="Jonathan Rincon Lopez" id="{557C6849-C227-494B-B53E-8C59B5A5A948}" userId="S::jrinconlopez@guidehouse.com::3ba1a495-eb4c-4e13-a305-4f032ec1065f"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61" dT="2024-05-03T15:55:42.64" personId="{FE115930-B391-4F97-AF99-BC667E30F7C2}" id="{50F8CC8C-EA03-47F2-BB6C-7D8088079172}">
    <text>Inflated insurance costs from FY25. Jim mentioned that no other SS costs are expected to continue after FY25</text>
  </threadedComment>
  <threadedComment ref="AB61" dT="2024-05-03T15:55:42.64" personId="{FE115930-B391-4F97-AF99-BC667E30F7C2}" id="{6CE584F7-663E-40F9-9510-714E40E27EAF}">
    <text>Inflated insurance costs from FY25. Jim mentioned that no other SS costs are expected to continue after FY25</text>
  </threadedComment>
  <threadedComment ref="AY61" dT="2024-05-03T15:55:42.64" personId="{FE115930-B391-4F97-AF99-BC667E30F7C2}" id="{8B9E88C4-0ABF-41D1-81A0-33882BD43347}">
    <text>Inflated insurance costs from FY25. Jim mentioned that no other SS costs are expected to continue after FY25</text>
  </threadedComment>
</ThreadedComments>
</file>

<file path=xl/threadedComments/threadedComment2.xml><?xml version="1.0" encoding="utf-8"?>
<ThreadedComments xmlns="http://schemas.microsoft.com/office/spreadsheetml/2018/threadedcomments" xmlns:x="http://schemas.openxmlformats.org/spreadsheetml/2006/main">
  <threadedComment ref="E61" dT="2024-05-03T15:55:42.64" personId="{FE115930-B391-4F97-AF99-BC667E30F7C2}" id="{88A0C70A-5B6B-443B-94F6-DDF73A14A0B8}">
    <text>Inflated insurance costs from FY25. Jim mentioned that no other SS costs are expected to continue after FY25</text>
  </threadedComment>
  <threadedComment ref="AB61" dT="2024-05-03T15:55:42.64" personId="{FE115930-B391-4F97-AF99-BC667E30F7C2}" id="{8A53C45C-9C99-4727-ABEA-51F89CE94769}">
    <text>Inflated insurance costs from FY25. Jim mentioned that no other SS costs are expected to continue after FY25</text>
  </threadedComment>
  <threadedComment ref="AY61" dT="2024-05-03T15:55:42.64" personId="{FE115930-B391-4F97-AF99-BC667E30F7C2}" id="{1F1A3567-AA35-4A01-B541-650139A4A54F}">
    <text>Inflated insurance costs from FY25. Jim mentioned that no other SS costs are expected to continue after FY25</text>
  </threadedComment>
</ThreadedComments>
</file>

<file path=xl/threadedComments/threadedComment3.xml><?xml version="1.0" encoding="utf-8"?>
<ThreadedComments xmlns="http://schemas.microsoft.com/office/spreadsheetml/2018/threadedcomments" xmlns:x="http://schemas.openxmlformats.org/spreadsheetml/2006/main">
  <threadedComment ref="W1" dT="2025-02-25T20:45:26.18" personId="{557C6849-C227-494B-B53E-8C59B5A5A948}" id="{807BC280-3D59-41D6-B938-A8541DA6361E}">
    <text>@Ria Garg We need to repeat the three existing columns for FY2026-FY2028</text>
    <mentions>
      <mention mentionpersonId="{44D9C9B6-69A7-4B40-B2F0-63C4E83C5AA0}" mentionId="{7E27255C-0B2F-4FFA-B811-91A4EB9D0B94}" startIndex="0" length="9"/>
    </mentions>
  </threadedComment>
</ThreadedComments>
</file>

<file path=xl/threadedComments/threadedComment4.xml><?xml version="1.0" encoding="utf-8"?>
<ThreadedComments xmlns="http://schemas.microsoft.com/office/spreadsheetml/2018/threadedcomments" xmlns:x="http://schemas.openxmlformats.org/spreadsheetml/2006/main">
  <threadedComment ref="C2" dT="2023-05-23T18:58:25.61" personId="{07A74086-7C77-455D-B149-5AFA12D9AF0C}" id="{42D0C6A2-1F99-4C90-8E0A-B5EEB827568F}">
    <text>NOTE: Some of the "Totals" in this column are Lamp Counts. Others are kWh counts.</text>
  </threadedComment>
</ThreadedComments>
</file>

<file path=xl/threadedComments/threadedComment5.xml><?xml version="1.0" encoding="utf-8"?>
<ThreadedComments xmlns="http://schemas.microsoft.com/office/spreadsheetml/2018/threadedcomments" xmlns:x="http://schemas.openxmlformats.org/spreadsheetml/2006/main">
  <threadedComment ref="C2" dT="2023-05-23T18:58:25.61" personId="{07A74086-7C77-455D-B149-5AFA12D9AF0C}" id="{E2428B0A-3F7A-469D-8EC2-1D063B03A2FA}">
    <text>NOTE: Some of the "Totals" in this column are Lamp Counts. Others are kWh counts.</text>
  </threadedComment>
</ThreadedComments>
</file>

<file path=xl/threadedComments/threadedComment6.xml><?xml version="1.0" encoding="utf-8"?>
<ThreadedComments xmlns="http://schemas.microsoft.com/office/spreadsheetml/2018/threadedcomments" xmlns:x="http://schemas.openxmlformats.org/spreadsheetml/2006/main">
  <threadedComment ref="A24" dT="2023-06-20T20:16:12.18" personId="{07A74086-7C77-455D-B149-5AFA12D9AF0C}" id="{DB0410B7-ACAE-4A8F-9CF5-72DA45FC4F91}">
    <text>Subsidized rate - not to be changed.</text>
  </threadedComment>
  <threadedComment ref="A76" dT="2023-06-20T20:17:03.01" personId="{07A74086-7C77-455D-B149-5AFA12D9AF0C}" id="{224D59C4-9EEA-412F-B60D-CBAA5958DAF8}">
    <text>Subsidized rate - not to be changed.</text>
  </threadedComment>
  <threadedComment ref="A128" dT="2023-06-20T20:17:25.14" personId="{07A74086-7C77-455D-B149-5AFA12D9AF0C}" id="{CE8227E5-5C8B-4F16-83C9-CC966917DD20}">
    <text>Subsidized rate - not to be changed.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file:///C:\Users\mcruz\AppData\Local\Microsoft\Windows\INetCache\Content.Outlook\Z2B6MSW9\25.XX.XX_LUMA%20Update" TargetMode="External"/><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4.bin"/><Relationship Id="rId4" Type="http://schemas.microsoft.com/office/2017/10/relationships/threadedComment" Target="../threadedComments/threadedComment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0.bin"/><Relationship Id="rId4" Type="http://schemas.microsoft.com/office/2017/10/relationships/threadedComment" Target="../threadedComments/threadedComment4.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2.bin"/><Relationship Id="rId4" Type="http://schemas.microsoft.com/office/2017/10/relationships/threadedComment" Target="../threadedComments/threadedComment5.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8.bin"/><Relationship Id="rId4" Type="http://schemas.microsoft.com/office/2017/10/relationships/threadedComment" Target="../threadedComments/threadedComment6.xml"/></Relationships>
</file>

<file path=xl/worksheets/_rels/sheet7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7F300-51F5-4971-A72E-8B67678990CA}">
  <sheetPr codeName="Sheet1">
    <tabColor theme="1"/>
  </sheetPr>
  <dimension ref="C3:I13"/>
  <sheetViews>
    <sheetView workbookViewId="0"/>
    <sheetView workbookViewId="1"/>
    <sheetView workbookViewId="2"/>
  </sheetViews>
  <sheetFormatPr defaultColWidth="8.5703125" defaultRowHeight="15"/>
  <cols>
    <col min="1" max="1" width="7.42578125" customWidth="1"/>
    <col min="2" max="2" width="8.140625" customWidth="1"/>
    <col min="3" max="8" width="7.42578125" customWidth="1"/>
    <col min="9" max="9" width="72.5703125" bestFit="1" customWidth="1"/>
    <col min="10" max="16" width="7.42578125" customWidth="1"/>
  </cols>
  <sheetData>
    <row r="3" spans="3:9" ht="23.25">
      <c r="C3" s="48" t="s">
        <v>0</v>
      </c>
    </row>
    <row r="11" spans="3:9" ht="42">
      <c r="I11" s="49" t="s">
        <v>1</v>
      </c>
    </row>
    <row r="12" spans="3:9" ht="31.5">
      <c r="I12" s="50" t="s">
        <v>2</v>
      </c>
    </row>
    <row r="13" spans="3:9" ht="26.25">
      <c r="I13" s="357">
        <v>45839</v>
      </c>
    </row>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77302-9332-461C-94BD-AAFB46470604}">
  <sheetPr>
    <tabColor theme="5" tint="0.79998168889431442"/>
  </sheetPr>
  <dimension ref="A1:D1"/>
  <sheetViews>
    <sheetView workbookViewId="0"/>
    <sheetView workbookViewId="1"/>
    <sheetView workbookViewId="2"/>
  </sheetViews>
  <sheetFormatPr defaultRowHeight="15"/>
  <sheetData>
    <row r="1" spans="1:4">
      <c r="A1" t="s">
        <v>387</v>
      </c>
      <c r="B1" t="s">
        <v>388</v>
      </c>
      <c r="C1" t="s">
        <v>389</v>
      </c>
      <c r="D1" t="s">
        <v>390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180BB-8918-417F-989F-AF2F71213F09}">
  <sheetPr>
    <tabColor theme="5" tint="0.79998168889431442"/>
    <pageSetUpPr autoPageBreaks="0" fitToPage="1"/>
  </sheetPr>
  <dimension ref="A1:W78"/>
  <sheetViews>
    <sheetView workbookViewId="0"/>
    <sheetView workbookViewId="1"/>
    <sheetView workbookViewId="2"/>
  </sheetViews>
  <sheetFormatPr defaultColWidth="8.5703125" defaultRowHeight="14.25" customHeight="1"/>
  <cols>
    <col min="1" max="1" width="5.5703125" style="2" customWidth="1"/>
    <col min="2" max="2" width="5.5703125" customWidth="1"/>
    <col min="3" max="3" width="81.5703125" customWidth="1"/>
    <col min="4" max="4" width="5.5703125" customWidth="1"/>
    <col min="5" max="5" width="28.5703125" customWidth="1"/>
    <col min="6" max="6" width="5.5703125" customWidth="1"/>
    <col min="7" max="7" width="28.5703125" hidden="1" customWidth="1"/>
    <col min="8" max="8" width="5.5703125" hidden="1" customWidth="1"/>
    <col min="9" max="9" width="28.5703125" hidden="1" customWidth="1"/>
    <col min="10" max="10" width="5.140625" hidden="1" customWidth="1"/>
    <col min="11" max="11" width="28.5703125" customWidth="1"/>
    <col min="12" max="12" width="5.5703125" customWidth="1"/>
    <col min="13" max="13" width="28.5703125" hidden="1" customWidth="1"/>
    <col min="14" max="14" width="5.5703125" hidden="1" customWidth="1"/>
    <col min="15" max="15" width="28.5703125" hidden="1" customWidth="1"/>
    <col min="16" max="16" width="5.5703125" hidden="1" customWidth="1"/>
    <col min="17" max="17" width="28.5703125" customWidth="1"/>
    <col min="18" max="18" width="5.5703125" hidden="1" customWidth="1"/>
    <col min="19" max="19" width="28.5703125" hidden="1" customWidth="1"/>
    <col min="20" max="20" width="5.5703125" hidden="1" customWidth="1"/>
    <col min="21" max="21" width="28.5703125" hidden="1" customWidth="1"/>
    <col min="23" max="23" width="15.5703125" bestFit="1" customWidth="1"/>
  </cols>
  <sheetData>
    <row r="1" spans="1:21" s="79" customFormat="1" ht="47.25" customHeight="1">
      <c r="A1" s="842" t="s">
        <v>242</v>
      </c>
      <c r="B1"/>
      <c r="C1" s="58" t="s">
        <v>5</v>
      </c>
      <c r="D1"/>
      <c r="E1" s="58" t="s">
        <v>351</v>
      </c>
      <c r="F1" s="2"/>
      <c r="G1" s="58" t="s">
        <v>352</v>
      </c>
      <c r="H1" s="2"/>
      <c r="I1" s="843" t="s">
        <v>353</v>
      </c>
      <c r="J1" s="313"/>
      <c r="K1" s="58" t="s">
        <v>354</v>
      </c>
      <c r="L1" s="2"/>
      <c r="M1" s="58" t="s">
        <v>352</v>
      </c>
      <c r="N1" s="2"/>
      <c r="O1" s="58" t="s">
        <v>355</v>
      </c>
      <c r="P1" s="59"/>
      <c r="Q1" s="58" t="s">
        <v>356</v>
      </c>
      <c r="R1" s="2"/>
      <c r="S1" s="58" t="s">
        <v>352</v>
      </c>
      <c r="T1" s="2"/>
      <c r="U1" s="843" t="s">
        <v>357</v>
      </c>
    </row>
    <row r="2" spans="1:21" s="79" customFormat="1" ht="15">
      <c r="A2" s="91"/>
      <c r="B2"/>
      <c r="C2"/>
      <c r="D2"/>
      <c r="E2" s="2"/>
      <c r="F2"/>
      <c r="G2" s="2"/>
      <c r="H2"/>
      <c r="I2" s="844"/>
      <c r="J2" s="313"/>
      <c r="K2" s="2"/>
      <c r="L2"/>
      <c r="M2" s="2"/>
      <c r="N2"/>
      <c r="O2" s="2"/>
      <c r="P2" s="2"/>
      <c r="Q2" s="2"/>
      <c r="R2"/>
      <c r="S2" s="2" t="s">
        <v>358</v>
      </c>
      <c r="T2"/>
      <c r="U2" s="844" t="s">
        <v>359</v>
      </c>
    </row>
    <row r="3" spans="1:21" s="79" customFormat="1" ht="15">
      <c r="A3" s="91">
        <v>1</v>
      </c>
      <c r="B3"/>
      <c r="C3" s="29" t="s">
        <v>360</v>
      </c>
      <c r="D3" s="29"/>
      <c r="E3" s="310"/>
      <c r="F3" s="311"/>
      <c r="G3" s="310"/>
      <c r="H3" s="311"/>
      <c r="I3" s="358"/>
      <c r="J3" s="313"/>
      <c r="K3" s="310"/>
      <c r="L3" s="311"/>
      <c r="M3" s="310"/>
      <c r="N3" s="311"/>
      <c r="O3" s="310"/>
      <c r="P3" s="310"/>
      <c r="Q3" s="310"/>
      <c r="R3" s="311"/>
      <c r="S3" s="310"/>
      <c r="T3" s="311"/>
      <c r="U3" s="358"/>
    </row>
    <row r="4" spans="1:21" s="79" customFormat="1" ht="15">
      <c r="A4" s="91">
        <f>IF(C4&lt;&gt;"",MAX(A1:A3)+1,"")</f>
        <v>2</v>
      </c>
      <c r="B4"/>
      <c r="C4" s="62" t="s">
        <v>361</v>
      </c>
      <c r="D4"/>
      <c r="E4" s="369">
        <f>'B-2'!K22</f>
        <v>2436713299.8406897</v>
      </c>
      <c r="F4" s="315"/>
      <c r="G4" s="369">
        <v>0</v>
      </c>
      <c r="H4" s="315"/>
      <c r="I4" s="370">
        <f>E4+G4</f>
        <v>2436713299.8406897</v>
      </c>
      <c r="J4" s="369"/>
      <c r="K4" s="369">
        <f>'B-2'!N7</f>
        <v>2363810018.072628</v>
      </c>
      <c r="L4" s="367"/>
      <c r="M4" s="369">
        <v>0</v>
      </c>
      <c r="N4" s="367"/>
      <c r="O4" s="369">
        <f>K4+M4</f>
        <v>2363810018.072628</v>
      </c>
      <c r="P4" s="369"/>
      <c r="Q4" s="369">
        <f>'B-2'!Q7</f>
        <v>2312631997.3431683</v>
      </c>
      <c r="R4" s="367"/>
      <c r="S4" s="369">
        <v>0</v>
      </c>
      <c r="T4" s="367"/>
      <c r="U4" s="370">
        <f>Q4+S4</f>
        <v>2312631997.3431683</v>
      </c>
    </row>
    <row r="5" spans="1:21" s="79" customFormat="1" ht="15">
      <c r="A5" s="91">
        <f t="shared" ref="A5:A38" si="0">IF(C5&lt;&gt;"",MAX(A2:A4)+1,"")</f>
        <v>3</v>
      </c>
      <c r="B5"/>
      <c r="C5" s="62" t="s">
        <v>362</v>
      </c>
      <c r="D5"/>
      <c r="E5" s="317"/>
      <c r="F5" s="315"/>
      <c r="G5" s="317"/>
      <c r="H5" s="315"/>
      <c r="I5" s="370"/>
      <c r="J5" s="369"/>
      <c r="K5" s="369"/>
      <c r="L5" s="367"/>
      <c r="M5" s="369"/>
      <c r="N5" s="367"/>
      <c r="O5" s="369"/>
      <c r="P5" s="369"/>
      <c r="Q5" s="369"/>
      <c r="R5" s="367"/>
      <c r="S5" s="369"/>
      <c r="T5" s="367"/>
      <c r="U5" s="370"/>
    </row>
    <row r="6" spans="1:21" s="79" customFormat="1" ht="15">
      <c r="A6" s="91">
        <f t="shared" si="0"/>
        <v>4</v>
      </c>
      <c r="B6"/>
      <c r="C6" s="80" t="s">
        <v>363</v>
      </c>
      <c r="D6"/>
      <c r="E6" s="369">
        <f>'C-2 - CONSTRAINED'!G84-'C-2 - CONSTRAINED'!G70</f>
        <v>455502126.12800002</v>
      </c>
      <c r="F6" s="315"/>
      <c r="G6" s="369">
        <v>0</v>
      </c>
      <c r="H6" s="315"/>
      <c r="I6" s="370">
        <f t="shared" ref="I6:I10" si="1">E6+G6</f>
        <v>455502126.12800002</v>
      </c>
      <c r="J6" s="369"/>
      <c r="K6" s="369">
        <f>'C-2 - CONSTRAINED'!R84-'C-2 - CONSTRAINED'!R70</f>
        <v>425606809.81625003</v>
      </c>
      <c r="L6" s="367"/>
      <c r="M6" s="369">
        <v>0</v>
      </c>
      <c r="N6" s="367"/>
      <c r="O6" s="369">
        <f t="shared" ref="O6:O10" si="2">K6+M6</f>
        <v>425606809.81625003</v>
      </c>
      <c r="P6" s="369"/>
      <c r="Q6" s="369">
        <f>'C-2 - CONSTRAINED'!AD74+'C-2 - CONSTRAINED'!AD58</f>
        <v>431718916.50106251</v>
      </c>
      <c r="R6" s="367"/>
      <c r="S6" s="369">
        <v>0</v>
      </c>
      <c r="T6" s="367"/>
      <c r="U6" s="370">
        <f t="shared" ref="U6:U8" si="3">Q6+S6</f>
        <v>431718916.50106251</v>
      </c>
    </row>
    <row r="7" spans="1:21" s="79" customFormat="1" ht="15">
      <c r="A7" s="91">
        <f t="shared" si="0"/>
        <v>5</v>
      </c>
      <c r="B7"/>
      <c r="C7" s="80" t="s">
        <v>364</v>
      </c>
      <c r="D7"/>
      <c r="E7" s="369">
        <f>'C-2 - CONSTRAINED'!H84-'C-2 - CONSTRAINED'!H70</f>
        <v>14132400</v>
      </c>
      <c r="F7" s="315"/>
      <c r="G7" s="369">
        <v>0</v>
      </c>
      <c r="H7" s="315"/>
      <c r="I7" s="370">
        <f t="shared" si="1"/>
        <v>14132400</v>
      </c>
      <c r="J7" s="369"/>
      <c r="K7" s="369">
        <f>'C-2 - CONSTRAINED'!S84-'C-2 - CONSTRAINED'!S70</f>
        <v>14839020</v>
      </c>
      <c r="L7" s="367"/>
      <c r="M7" s="369">
        <v>0</v>
      </c>
      <c r="N7" s="367"/>
      <c r="O7" s="369">
        <f t="shared" si="2"/>
        <v>14839020</v>
      </c>
      <c r="P7" s="369"/>
      <c r="Q7" s="369">
        <f>'C-2 - CONSTRAINED'!AE84-'C-2 - CONSTRAINED'!AE70</f>
        <v>15580971</v>
      </c>
      <c r="R7" s="367"/>
      <c r="S7" s="369">
        <v>0</v>
      </c>
      <c r="T7" s="367"/>
      <c r="U7" s="370">
        <f t="shared" si="3"/>
        <v>15580971</v>
      </c>
    </row>
    <row r="8" spans="1:21" s="79" customFormat="1" ht="15">
      <c r="A8" s="91">
        <f t="shared" si="0"/>
        <v>6</v>
      </c>
      <c r="B8"/>
      <c r="C8" s="80" t="s">
        <v>365</v>
      </c>
      <c r="D8" s="29"/>
      <c r="E8" s="369">
        <f>'C-2 - CONSTRAINED'!I84-'C-2 - CONSTRAINED'!I70</f>
        <v>64338348.571428567</v>
      </c>
      <c r="F8" s="315"/>
      <c r="G8" s="369">
        <v>0</v>
      </c>
      <c r="H8" s="315"/>
      <c r="I8" s="370">
        <f t="shared" si="1"/>
        <v>64338348.571428567</v>
      </c>
      <c r="J8" s="369"/>
      <c r="K8" s="369">
        <f>'C-2 - CONSTRAINED'!T84-'C-2 - CONSTRAINED'!T70</f>
        <v>65037500.714285716</v>
      </c>
      <c r="L8" s="367"/>
      <c r="M8" s="369">
        <v>0</v>
      </c>
      <c r="N8" s="367"/>
      <c r="O8" s="369">
        <f t="shared" si="2"/>
        <v>65037500.714285716</v>
      </c>
      <c r="P8" s="791"/>
      <c r="Q8" s="369">
        <f>'C-2 - CONSTRAINED'!AF84-'C-2 - CONSTRAINED'!AF70</f>
        <v>67878867.692857146</v>
      </c>
      <c r="R8" s="367"/>
      <c r="S8" s="369">
        <v>0</v>
      </c>
      <c r="T8" s="367"/>
      <c r="U8" s="370">
        <f t="shared" si="3"/>
        <v>67878867.692857146</v>
      </c>
    </row>
    <row r="9" spans="1:21" s="79" customFormat="1" ht="15">
      <c r="A9" s="91">
        <f t="shared" si="0"/>
        <v>7</v>
      </c>
      <c r="B9"/>
      <c r="C9" s="80" t="s">
        <v>366</v>
      </c>
      <c r="D9"/>
      <c r="E9" s="369">
        <f>'C-2 - CONSTRAINED'!J84-'C-2 - CONSTRAINED'!J70</f>
        <v>1206632705.8923125</v>
      </c>
      <c r="F9" s="315"/>
      <c r="G9" s="369">
        <v>0</v>
      </c>
      <c r="H9" s="315"/>
      <c r="I9" s="370">
        <f t="shared" si="1"/>
        <v>1206632705.8923125</v>
      </c>
      <c r="J9" s="369"/>
      <c r="K9" s="369">
        <f>'C-2 - CONSTRAINED'!U84-'C-2 - CONSTRAINED'!U70</f>
        <v>1459248559.9740262</v>
      </c>
      <c r="L9" s="367"/>
      <c r="M9" s="369">
        <v>0</v>
      </c>
      <c r="N9" s="367"/>
      <c r="O9" s="369">
        <f t="shared" si="2"/>
        <v>1459248559.9740262</v>
      </c>
      <c r="P9" s="371"/>
      <c r="Q9" s="369">
        <f>'C-2 - CONSTRAINED'!AG84-'C-2 - CONSTRAINED'!AG70</f>
        <v>1629865529.1214263</v>
      </c>
      <c r="R9" s="367"/>
      <c r="S9" s="369">
        <v>0</v>
      </c>
      <c r="T9" s="367"/>
      <c r="U9" s="370">
        <f>Q9+S9</f>
        <v>1629865529.1214263</v>
      </c>
    </row>
    <row r="10" spans="1:21" s="79" customFormat="1" ht="15">
      <c r="A10" s="91">
        <f t="shared" si="0"/>
        <v>8</v>
      </c>
      <c r="B10"/>
      <c r="C10" s="80" t="s">
        <v>367</v>
      </c>
      <c r="D10"/>
      <c r="E10" s="369">
        <f>'B-2'!K54+'C-2 - CONSTRAINED'!F52+'C-2 - CONSTRAINED'!F53</f>
        <v>362173835.25496453</v>
      </c>
      <c r="F10" s="315"/>
      <c r="G10" s="369">
        <v>0</v>
      </c>
      <c r="H10" s="315"/>
      <c r="I10" s="370">
        <f t="shared" si="1"/>
        <v>362173835.25496453</v>
      </c>
      <c r="J10" s="369"/>
      <c r="K10" s="369">
        <f>'B-2'!N54+'C-2 - CONSTRAINED'!Q52+'C-2 - CONSTRAINED'!Q53</f>
        <v>311445853.78712499</v>
      </c>
      <c r="L10" s="367"/>
      <c r="M10" s="369">
        <v>0</v>
      </c>
      <c r="N10" s="367"/>
      <c r="O10" s="369">
        <f t="shared" si="2"/>
        <v>311445853.78712499</v>
      </c>
      <c r="P10" s="369"/>
      <c r="Q10" s="369">
        <f>'B-2'!Q54+'C-2 - CONSTRAINED'!AC52+'C-2 - CONSTRAINED'!AC53</f>
        <v>214303693.10624772</v>
      </c>
      <c r="R10" s="367"/>
      <c r="S10" s="369">
        <v>0</v>
      </c>
      <c r="T10" s="367"/>
      <c r="U10" s="370">
        <f>Q9+S10</f>
        <v>1629865529.1214263</v>
      </c>
    </row>
    <row r="11" spans="1:21" s="79" customFormat="1" ht="15">
      <c r="A11" s="91">
        <f>IF(C11&lt;&gt;"",MAX(A8:A10)+1,"")</f>
        <v>9</v>
      </c>
      <c r="B11"/>
      <c r="C11" s="80" t="s">
        <v>288</v>
      </c>
      <c r="D11"/>
      <c r="E11" s="369">
        <f>'C-2 - CONSTRAINED'!L64</f>
        <v>129957434.58060001</v>
      </c>
      <c r="F11" s="315"/>
      <c r="G11" s="369">
        <v>0</v>
      </c>
      <c r="H11" s="315"/>
      <c r="I11" s="372">
        <f>E11+G11</f>
        <v>129957434.58060001</v>
      </c>
      <c r="J11" s="369"/>
      <c r="K11" s="369">
        <f>'C-2 - CONSTRAINED'!W64</f>
        <v>129532870.764</v>
      </c>
      <c r="L11" s="367"/>
      <c r="M11" s="369">
        <v>0</v>
      </c>
      <c r="N11" s="367"/>
      <c r="O11" s="369">
        <f>K11+M11</f>
        <v>129532870.764</v>
      </c>
      <c r="P11" s="791"/>
      <c r="Q11" s="369">
        <f>'C-2 - CONSTRAINED'!AI64</f>
        <v>125148055.9329</v>
      </c>
      <c r="R11" s="367"/>
      <c r="S11" s="369">
        <v>0</v>
      </c>
      <c r="T11" s="367"/>
      <c r="U11" s="370">
        <f>Q11+S11</f>
        <v>125148055.9329</v>
      </c>
    </row>
    <row r="12" spans="1:21" ht="15">
      <c r="A12" s="91">
        <f t="shared" ref="A12:A13" si="4">IF(C12&lt;&gt;"",MAX(A9:A11)+1,"")</f>
        <v>10</v>
      </c>
      <c r="C12" s="80" t="s">
        <v>339</v>
      </c>
      <c r="E12" s="369">
        <f>'C-2 - CONSTRAINED'!L82</f>
        <v>157542060.0715428</v>
      </c>
      <c r="F12" s="367"/>
      <c r="G12" s="369">
        <v>0</v>
      </c>
      <c r="H12" s="315"/>
      <c r="I12" s="370">
        <f>E12+G12</f>
        <v>157542060.0715428</v>
      </c>
      <c r="J12" s="369"/>
      <c r="K12" s="369">
        <f>'C-2 - CONSTRAINED'!W82</f>
        <v>200183583.24224252</v>
      </c>
      <c r="L12" s="367"/>
      <c r="M12" s="369">
        <v>0</v>
      </c>
      <c r="N12" s="367"/>
      <c r="O12" s="369">
        <f>K12+M12</f>
        <v>200183583.24224252</v>
      </c>
      <c r="P12" s="371"/>
      <c r="Q12" s="369">
        <f>'C-2 - CONSTRAINED'!AI82</f>
        <v>197193170.8206079</v>
      </c>
      <c r="R12" s="367"/>
      <c r="S12" s="369">
        <v>0</v>
      </c>
      <c r="T12" s="367"/>
      <c r="U12" s="370">
        <f>Q12+S12</f>
        <v>197193170.8206079</v>
      </c>
    </row>
    <row r="13" spans="1:21" s="79" customFormat="1" ht="15">
      <c r="A13" s="91">
        <f t="shared" si="4"/>
        <v>11</v>
      </c>
      <c r="B13"/>
      <c r="C13" s="752" t="s">
        <v>368</v>
      </c>
      <c r="D13"/>
      <c r="E13" s="756">
        <f>SUM(E4:E12)</f>
        <v>4826992210.3395386</v>
      </c>
      <c r="F13" s="756"/>
      <c r="G13" s="756">
        <f>SUM(G4:G10)</f>
        <v>0</v>
      </c>
      <c r="H13" s="845"/>
      <c r="I13" s="846">
        <f>SUM(I4:I10)</f>
        <v>4539492715.687396</v>
      </c>
      <c r="J13" s="369"/>
      <c r="K13" s="756">
        <f>SUM(K4:K12)</f>
        <v>4969704216.3705578</v>
      </c>
      <c r="L13" s="756"/>
      <c r="M13" s="756">
        <f>SUM(M4:M10)</f>
        <v>0</v>
      </c>
      <c r="N13" s="756"/>
      <c r="O13" s="756">
        <f>SUM(O4:O10)</f>
        <v>4639987762.364315</v>
      </c>
      <c r="P13" s="371"/>
      <c r="Q13" s="756">
        <f>SUM(Q4:Q12)</f>
        <v>4994321201.5182705</v>
      </c>
      <c r="R13" s="756"/>
      <c r="S13" s="756">
        <f>SUM(S4:S10)</f>
        <v>0</v>
      </c>
      <c r="T13" s="756"/>
      <c r="U13" s="847">
        <f>SUM(U4:U10)</f>
        <v>6087541810.7799406</v>
      </c>
    </row>
    <row r="14" spans="1:21" s="79" customFormat="1" ht="15">
      <c r="A14" s="91" t="str">
        <f>IF(C14&lt;&gt;"",MAX(A9:A13)+1,"")</f>
        <v/>
      </c>
      <c r="B14"/>
      <c r="C14" s="29"/>
      <c r="D14" s="29"/>
      <c r="E14" s="365"/>
      <c r="F14" s="365"/>
      <c r="G14" s="365"/>
      <c r="H14" s="365"/>
      <c r="I14" s="848"/>
      <c r="J14" s="369"/>
      <c r="K14" s="366"/>
      <c r="L14" s="366"/>
      <c r="M14" s="366"/>
      <c r="N14" s="366"/>
      <c r="O14" s="366"/>
      <c r="P14" s="369"/>
      <c r="Q14" s="366"/>
      <c r="R14" s="366"/>
      <c r="S14" s="366"/>
      <c r="T14" s="366"/>
      <c r="U14" s="849"/>
    </row>
    <row r="15" spans="1:21" s="79" customFormat="1" ht="15">
      <c r="A15" s="91">
        <f>IF(C15&lt;&gt;"",MAX(A10:A14)+1,"")</f>
        <v>12</v>
      </c>
      <c r="B15"/>
      <c r="C15" s="29" t="s">
        <v>369</v>
      </c>
      <c r="D15"/>
      <c r="E15" s="310"/>
      <c r="F15" s="365"/>
      <c r="G15" s="310"/>
      <c r="H15" s="365"/>
      <c r="I15" s="373"/>
      <c r="J15" s="369"/>
      <c r="K15" s="371"/>
      <c r="L15" s="366"/>
      <c r="M15" s="371"/>
      <c r="N15" s="366"/>
      <c r="O15" s="371"/>
      <c r="P15" s="791"/>
      <c r="Q15" s="371"/>
      <c r="R15" s="366"/>
      <c r="S15" s="371"/>
      <c r="T15" s="366"/>
      <c r="U15" s="373"/>
    </row>
    <row r="16" spans="1:21" s="79" customFormat="1" ht="15">
      <c r="A16" s="91">
        <f t="shared" si="0"/>
        <v>13</v>
      </c>
      <c r="B16"/>
      <c r="C16" s="80" t="s">
        <v>370</v>
      </c>
      <c r="D16"/>
      <c r="E16" s="850">
        <f>-'B-2'!K14</f>
        <v>279076694</v>
      </c>
      <c r="F16" s="315"/>
      <c r="G16" s="369">
        <v>0</v>
      </c>
      <c r="H16" s="315"/>
      <c r="I16" s="372">
        <f>E16+G16</f>
        <v>279076694</v>
      </c>
      <c r="J16" s="369"/>
      <c r="K16" s="850">
        <f>-'B-2'!N14</f>
        <v>279076694</v>
      </c>
      <c r="L16" s="367"/>
      <c r="M16" s="369">
        <v>0</v>
      </c>
      <c r="N16" s="367"/>
      <c r="O16" s="369">
        <f>K16+M16</f>
        <v>279076694</v>
      </c>
      <c r="P16" s="371"/>
      <c r="Q16" s="850">
        <f>-'B-2'!P14</f>
        <v>279076694</v>
      </c>
      <c r="R16" s="367"/>
      <c r="S16" s="369">
        <v>0</v>
      </c>
      <c r="T16" s="367"/>
      <c r="U16" s="370">
        <f>Q16+S16</f>
        <v>279076694</v>
      </c>
    </row>
    <row r="17" spans="1:23" s="79" customFormat="1" ht="15">
      <c r="A17" s="91">
        <f t="shared" si="0"/>
        <v>14</v>
      </c>
      <c r="B17"/>
      <c r="C17" s="752" t="s">
        <v>371</v>
      </c>
      <c r="D17"/>
      <c r="E17" s="756">
        <f>SUM(E16:E16)</f>
        <v>279076694</v>
      </c>
      <c r="F17" s="756"/>
      <c r="G17" s="756">
        <f>SUM(G16:G16)</f>
        <v>0</v>
      </c>
      <c r="H17" s="845"/>
      <c r="I17" s="851">
        <f>SUM(I16:I16)</f>
        <v>279076694</v>
      </c>
      <c r="J17" s="369"/>
      <c r="K17" s="756">
        <f>SUM(K16:K16)</f>
        <v>279076694</v>
      </c>
      <c r="L17" s="756"/>
      <c r="M17" s="756">
        <f>SUM(M16:M16)</f>
        <v>0</v>
      </c>
      <c r="N17" s="756"/>
      <c r="O17" s="847">
        <f>SUM(O16:O16)</f>
        <v>279076694</v>
      </c>
      <c r="P17" s="369"/>
      <c r="Q17" s="756">
        <f>SUM(Q16:Q16)</f>
        <v>279076694</v>
      </c>
      <c r="R17" s="756"/>
      <c r="S17" s="756">
        <f>SUM(S16:S16)</f>
        <v>0</v>
      </c>
      <c r="T17" s="756"/>
      <c r="U17" s="847">
        <f>SUM(U16:U16)</f>
        <v>279076694</v>
      </c>
    </row>
    <row r="18" spans="1:23" s="79" customFormat="1" ht="15">
      <c r="A18" s="91" t="str">
        <f t="shared" si="0"/>
        <v/>
      </c>
      <c r="B18"/>
      <c r="C18"/>
      <c r="D18"/>
      <c r="E18" s="367"/>
      <c r="F18" s="367"/>
      <c r="G18" s="367"/>
      <c r="H18" s="315"/>
      <c r="I18" s="375"/>
      <c r="J18" s="369"/>
      <c r="K18" s="367"/>
      <c r="L18" s="367"/>
      <c r="M18" s="367"/>
      <c r="N18" s="367"/>
      <c r="O18" s="367"/>
      <c r="P18" s="791"/>
      <c r="Q18" s="367"/>
      <c r="R18" s="367"/>
      <c r="S18" s="367"/>
      <c r="T18" s="367"/>
      <c r="U18" s="375"/>
    </row>
    <row r="19" spans="1:23" s="79" customFormat="1" ht="15">
      <c r="A19" s="91">
        <f t="shared" si="0"/>
        <v>15</v>
      </c>
      <c r="B19"/>
      <c r="C19" s="752" t="s">
        <v>372</v>
      </c>
      <c r="D19" s="29"/>
      <c r="E19" s="756">
        <f>E13+E17</f>
        <v>5106068904.3395386</v>
      </c>
      <c r="F19" s="756"/>
      <c r="G19" s="756">
        <f>G13+G17</f>
        <v>0</v>
      </c>
      <c r="H19" s="845"/>
      <c r="I19" s="846">
        <f>I13+I17</f>
        <v>4818569409.687396</v>
      </c>
      <c r="J19" s="369"/>
      <c r="K19" s="756">
        <f>K13+K17</f>
        <v>5248780910.3705578</v>
      </c>
      <c r="L19" s="756"/>
      <c r="M19" s="756">
        <f>M13+M17</f>
        <v>0</v>
      </c>
      <c r="N19" s="756"/>
      <c r="O19" s="847">
        <f>O13+O17</f>
        <v>4919064456.364315</v>
      </c>
      <c r="P19" s="371"/>
      <c r="Q19" s="756">
        <f>Q13+Q17</f>
        <v>5273397895.5182705</v>
      </c>
      <c r="R19" s="756"/>
      <c r="S19" s="756">
        <f>S13+S17</f>
        <v>0</v>
      </c>
      <c r="T19" s="756"/>
      <c r="U19" s="847">
        <f>U13+U17</f>
        <v>6366618504.7799406</v>
      </c>
      <c r="W19" s="852"/>
    </row>
    <row r="20" spans="1:23" s="79" customFormat="1" ht="15">
      <c r="A20" s="91" t="str">
        <f t="shared" si="0"/>
        <v/>
      </c>
      <c r="B20"/>
      <c r="C20"/>
      <c r="D20"/>
      <c r="E20" s="315"/>
      <c r="F20" s="315"/>
      <c r="G20" s="315"/>
      <c r="H20" s="315"/>
      <c r="I20" s="374"/>
      <c r="J20" s="369"/>
      <c r="K20" s="367"/>
      <c r="L20" s="367"/>
      <c r="M20" s="367"/>
      <c r="N20" s="367"/>
      <c r="O20" s="367"/>
      <c r="P20" s="369"/>
      <c r="Q20" s="367"/>
      <c r="R20" s="367"/>
      <c r="S20" s="367"/>
      <c r="T20" s="367"/>
      <c r="U20" s="375"/>
    </row>
    <row r="21" spans="1:23" s="79" customFormat="1" ht="15">
      <c r="A21" s="91">
        <f t="shared" si="0"/>
        <v>16</v>
      </c>
      <c r="B21"/>
      <c r="C21" s="29" t="s">
        <v>373</v>
      </c>
      <c r="D21"/>
      <c r="E21" s="315"/>
      <c r="F21" s="315"/>
      <c r="G21" s="315"/>
      <c r="H21" s="315"/>
      <c r="I21" s="375"/>
      <c r="J21" s="369"/>
      <c r="K21" s="367"/>
      <c r="L21" s="367"/>
      <c r="M21" s="367"/>
      <c r="N21" s="367"/>
      <c r="O21" s="367"/>
      <c r="P21" s="791"/>
      <c r="Q21" s="367"/>
      <c r="R21" s="367"/>
      <c r="S21" s="367"/>
      <c r="T21" s="367"/>
      <c r="U21" s="375"/>
    </row>
    <row r="22" spans="1:23" s="79" customFormat="1" ht="15">
      <c r="A22" s="91">
        <f t="shared" si="0"/>
        <v>17</v>
      </c>
      <c r="B22"/>
      <c r="C22" s="80" t="s">
        <v>374</v>
      </c>
      <c r="D22"/>
      <c r="E22" s="369">
        <f>'B-2'!K8</f>
        <v>1179202426.8818486</v>
      </c>
      <c r="F22" s="315"/>
      <c r="G22" s="369">
        <v>0</v>
      </c>
      <c r="H22" s="315"/>
      <c r="I22" s="370">
        <f>E22+G22</f>
        <v>1179202426.8818486</v>
      </c>
      <c r="J22" s="369"/>
      <c r="K22" s="369">
        <f>'B-2'!N8</f>
        <v>1153897329.9670923</v>
      </c>
      <c r="L22" s="367"/>
      <c r="M22" s="369">
        <v>0</v>
      </c>
      <c r="N22" s="367"/>
      <c r="O22" s="369">
        <f>K22+M22</f>
        <v>1153897329.9670923</v>
      </c>
      <c r="P22" s="371"/>
      <c r="Q22" s="369">
        <f>'B-2'!P8</f>
        <v>1138445034.8482292</v>
      </c>
      <c r="R22" s="367"/>
      <c r="S22" s="369">
        <v>0</v>
      </c>
      <c r="T22" s="367"/>
      <c r="U22" s="370">
        <f>Q22+S22</f>
        <v>1138445034.8482292</v>
      </c>
      <c r="W22" s="852"/>
    </row>
    <row r="23" spans="1:23" s="79" customFormat="1" ht="15">
      <c r="A23" s="91">
        <f t="shared" si="0"/>
        <v>18</v>
      </c>
      <c r="B23"/>
      <c r="C23" s="80" t="s">
        <v>375</v>
      </c>
      <c r="D23"/>
      <c r="E23" s="369">
        <f>'B-2'!K7</f>
        <v>2436713299.8406897</v>
      </c>
      <c r="F23" s="315"/>
      <c r="G23" s="369">
        <v>0</v>
      </c>
      <c r="H23" s="315"/>
      <c r="I23" s="370">
        <f>E23+G23</f>
        <v>2436713299.8406897</v>
      </c>
      <c r="J23" s="369"/>
      <c r="K23" s="369">
        <f>K4</f>
        <v>2363810018.072628</v>
      </c>
      <c r="L23" s="367"/>
      <c r="M23" s="369">
        <v>0</v>
      </c>
      <c r="N23" s="367"/>
      <c r="O23" s="369">
        <f>K23+M23</f>
        <v>2363810018.072628</v>
      </c>
      <c r="P23" s="369"/>
      <c r="Q23" s="369">
        <f>Q4</f>
        <v>2312631997.3431683</v>
      </c>
      <c r="R23" s="367"/>
      <c r="S23" s="369">
        <v>0</v>
      </c>
      <c r="T23" s="367"/>
      <c r="U23" s="370">
        <f>Q23+S23</f>
        <v>2312631997.3431683</v>
      </c>
    </row>
    <row r="24" spans="1:23" s="79" customFormat="1" ht="15">
      <c r="A24" s="91">
        <f t="shared" si="0"/>
        <v>19</v>
      </c>
      <c r="B24"/>
      <c r="C24" s="80" t="s">
        <v>283</v>
      </c>
      <c r="D24" s="29"/>
      <c r="E24" s="369">
        <f>'B-2'!K9</f>
        <v>320077800</v>
      </c>
      <c r="F24" s="315"/>
      <c r="G24" s="369">
        <v>0</v>
      </c>
      <c r="H24" s="315"/>
      <c r="I24" s="370">
        <f t="shared" ref="I24" si="5">E24+G24</f>
        <v>320077800</v>
      </c>
      <c r="J24" s="369"/>
      <c r="K24" s="369">
        <f>K16</f>
        <v>279076694</v>
      </c>
      <c r="L24" s="367"/>
      <c r="M24" s="369">
        <v>0</v>
      </c>
      <c r="N24" s="367"/>
      <c r="O24" s="369">
        <f t="shared" ref="O24" si="6">K24+M24</f>
        <v>279076694</v>
      </c>
      <c r="P24" s="791"/>
      <c r="Q24" s="369">
        <f>Q16</f>
        <v>279076694</v>
      </c>
      <c r="R24" s="367"/>
      <c r="S24" s="369">
        <v>0</v>
      </c>
      <c r="T24" s="367"/>
      <c r="U24" s="370">
        <f t="shared" ref="U24" si="7">Q24+S24</f>
        <v>279076694</v>
      </c>
    </row>
    <row r="25" spans="1:23" s="79" customFormat="1" ht="15">
      <c r="A25" s="91">
        <f t="shared" si="0"/>
        <v>20</v>
      </c>
      <c r="B25"/>
      <c r="C25" s="80" t="s">
        <v>286</v>
      </c>
      <c r="D25"/>
      <c r="E25" s="369">
        <f>'B-2'!K12</f>
        <v>56501060.585000008</v>
      </c>
      <c r="F25" s="315"/>
      <c r="G25" s="369">
        <v>0</v>
      </c>
      <c r="H25" s="315"/>
      <c r="I25" s="372">
        <f>E25+G25</f>
        <v>56501060.585000008</v>
      </c>
      <c r="J25" s="369"/>
      <c r="K25" s="369">
        <f>'B-2'!N12</f>
        <v>56695460.585000008</v>
      </c>
      <c r="L25" s="367"/>
      <c r="M25" s="369">
        <v>0</v>
      </c>
      <c r="N25" s="367"/>
      <c r="O25" s="369">
        <f>K25+M25</f>
        <v>56695460.585000008</v>
      </c>
      <c r="P25" s="371"/>
      <c r="Q25" s="369">
        <f>'B-2'!P12</f>
        <v>56370898.120000005</v>
      </c>
      <c r="R25" s="367"/>
      <c r="S25" s="369">
        <v>0</v>
      </c>
      <c r="T25" s="367"/>
      <c r="U25" s="370">
        <f>Q25+S25</f>
        <v>56370898.120000005</v>
      </c>
    </row>
    <row r="26" spans="1:23" s="79" customFormat="1" ht="15">
      <c r="A26" s="91">
        <f>IF(C26&lt;&gt;"",MAX(A24:A25)+1,"")</f>
        <v>21</v>
      </c>
      <c r="B26"/>
      <c r="C26" s="752" t="s">
        <v>376</v>
      </c>
      <c r="D26"/>
      <c r="E26" s="756">
        <f>SUM(E22:E25)</f>
        <v>3992494587.307538</v>
      </c>
      <c r="F26" s="756"/>
      <c r="G26" s="756">
        <f>SUM(G22:G25)</f>
        <v>0</v>
      </c>
      <c r="H26" s="845"/>
      <c r="I26" s="847">
        <f>SUM(I22:I25)</f>
        <v>3992494587.307538</v>
      </c>
      <c r="J26" s="369"/>
      <c r="K26" s="756">
        <f>SUM(K22:K25)</f>
        <v>3853479502.6247206</v>
      </c>
      <c r="L26" s="756"/>
      <c r="M26" s="756">
        <f>SUM(M22:M25)</f>
        <v>0</v>
      </c>
      <c r="N26" s="756"/>
      <c r="O26" s="756">
        <f>SUM(O22:O25)</f>
        <v>3853479502.6247206</v>
      </c>
      <c r="P26" s="369"/>
      <c r="Q26" s="853">
        <f>SUM(Q22:Q25)</f>
        <v>3786524624.3113976</v>
      </c>
      <c r="R26" s="756"/>
      <c r="S26" s="756">
        <f>SUM(S22:S25)</f>
        <v>0</v>
      </c>
      <c r="T26" s="756"/>
      <c r="U26" s="847">
        <f>SUM(U22:U25)</f>
        <v>3786524624.3113976</v>
      </c>
    </row>
    <row r="27" spans="1:23" s="79" customFormat="1" ht="15">
      <c r="A27" s="91" t="str">
        <f>IF(C27&lt;&gt;"",MAX(A25:A26)+1,"")</f>
        <v/>
      </c>
      <c r="B27"/>
      <c r="C27" s="29"/>
      <c r="D27"/>
      <c r="E27" s="366"/>
      <c r="F27" s="367"/>
      <c r="G27" s="366"/>
      <c r="H27" s="315"/>
      <c r="I27" s="849"/>
      <c r="J27" s="369"/>
      <c r="K27" s="366"/>
      <c r="L27" s="367"/>
      <c r="M27" s="366"/>
      <c r="N27" s="367"/>
      <c r="O27" s="366"/>
      <c r="P27" s="791"/>
      <c r="Q27" s="366"/>
      <c r="R27" s="367"/>
      <c r="S27" s="366"/>
      <c r="T27" s="367"/>
      <c r="U27" s="849"/>
    </row>
    <row r="28" spans="1:23" s="79" customFormat="1" ht="15">
      <c r="A28" s="91">
        <f>IF(C28&lt;&gt;"",MAX(A26:A27)+1,"")</f>
        <v>22</v>
      </c>
      <c r="B28"/>
      <c r="C28" s="29" t="s">
        <v>377</v>
      </c>
      <c r="D28"/>
      <c r="E28" s="761">
        <f>E26-E19</f>
        <v>-1113574317.0320005</v>
      </c>
      <c r="F28" s="767"/>
      <c r="G28" s="761"/>
      <c r="H28" s="767"/>
      <c r="I28" s="849">
        <f>E28</f>
        <v>-1113574317.0320005</v>
      </c>
      <c r="J28" s="377"/>
      <c r="K28" s="761">
        <f>K26-K19</f>
        <v>-1395301407.7458372</v>
      </c>
      <c r="L28" s="767"/>
      <c r="M28" s="761"/>
      <c r="N28" s="767"/>
      <c r="O28" s="849">
        <f>K28</f>
        <v>-1395301407.7458372</v>
      </c>
      <c r="P28" s="377"/>
      <c r="Q28" s="761">
        <f>Q26-Q19</f>
        <v>-1486873271.2068729</v>
      </c>
      <c r="R28" s="767"/>
      <c r="S28" s="761"/>
      <c r="T28" s="767"/>
      <c r="U28" s="849">
        <f>Q28</f>
        <v>-1486873271.2068729</v>
      </c>
    </row>
    <row r="29" spans="1:23" s="79" customFormat="1" ht="15">
      <c r="A29" s="91"/>
      <c r="B29"/>
      <c r="C29" s="29"/>
      <c r="D29"/>
      <c r="E29" s="761"/>
      <c r="F29" s="767"/>
      <c r="G29" s="761"/>
      <c r="H29" s="767"/>
      <c r="I29" s="849"/>
      <c r="J29" s="377"/>
      <c r="K29" s="761"/>
      <c r="L29" s="767"/>
      <c r="M29" s="761"/>
      <c r="N29" s="767"/>
      <c r="O29" s="849"/>
      <c r="P29" s="377"/>
      <c r="Q29" s="761"/>
      <c r="R29" s="767"/>
      <c r="S29" s="761"/>
      <c r="T29" s="767"/>
      <c r="U29" s="849"/>
    </row>
    <row r="30" spans="1:23" s="79" customFormat="1" ht="15">
      <c r="A30" s="91">
        <f>IF(C30&lt;&gt;"",MAX(A26:A28)+1,"")</f>
        <v>23</v>
      </c>
      <c r="B30"/>
      <c r="C30" s="29" t="s">
        <v>378</v>
      </c>
      <c r="D30"/>
      <c r="E30" s="761">
        <f>'B-4'!F19</f>
        <v>177670927.43338946</v>
      </c>
      <c r="F30" s="767"/>
      <c r="G30" s="761"/>
      <c r="H30" s="767"/>
      <c r="I30" s="849">
        <f>E30</f>
        <v>177670927.43338946</v>
      </c>
      <c r="J30" s="377"/>
      <c r="K30" s="761">
        <f>'B-4'!H19</f>
        <v>174538616.65049714</v>
      </c>
      <c r="L30" s="767"/>
      <c r="M30" s="761"/>
      <c r="N30" s="767"/>
      <c r="O30" s="849">
        <f>K30</f>
        <v>174538616.65049714</v>
      </c>
      <c r="P30" s="377"/>
      <c r="Q30" s="761">
        <f>'B-4'!J19</f>
        <v>164416886.79613808</v>
      </c>
      <c r="R30" s="767"/>
      <c r="S30" s="761"/>
      <c r="T30" s="767"/>
      <c r="U30" s="849">
        <f>Q30</f>
        <v>164416886.79613808</v>
      </c>
    </row>
    <row r="31" spans="1:23" s="79" customFormat="1" ht="15">
      <c r="A31" s="91"/>
      <c r="B31"/>
      <c r="C31" s="29"/>
      <c r="D31"/>
      <c r="E31" s="761"/>
      <c r="F31" s="767"/>
      <c r="G31" s="761"/>
      <c r="H31" s="767"/>
      <c r="I31" s="849"/>
      <c r="J31" s="377"/>
      <c r="K31" s="761"/>
      <c r="L31" s="767"/>
      <c r="M31" s="761"/>
      <c r="N31" s="767"/>
      <c r="O31" s="761"/>
      <c r="P31" s="377"/>
      <c r="Q31" s="761"/>
      <c r="R31" s="767"/>
      <c r="S31" s="761"/>
      <c r="T31" s="767"/>
      <c r="U31" s="849"/>
    </row>
    <row r="32" spans="1:23" s="79" customFormat="1" ht="17.25">
      <c r="A32" s="91">
        <f>IF(C32&lt;&gt;"",MAX(A11:A27)+1,"")</f>
        <v>22</v>
      </c>
      <c r="C32" s="854" t="s">
        <v>379</v>
      </c>
      <c r="D32"/>
      <c r="E32" s="855">
        <f>E28-E30</f>
        <v>-1291245244.46539</v>
      </c>
      <c r="F32" s="855"/>
      <c r="G32" s="855">
        <f>G26-G19</f>
        <v>0</v>
      </c>
      <c r="H32" s="856"/>
      <c r="I32" s="855">
        <f>I28-I30</f>
        <v>-1291245244.46539</v>
      </c>
      <c r="J32" s="369"/>
      <c r="K32" s="855">
        <f>K28-K30</f>
        <v>-1569840024.3963344</v>
      </c>
      <c r="L32" s="855"/>
      <c r="M32" s="855">
        <f>M26-M19</f>
        <v>0</v>
      </c>
      <c r="N32" s="855"/>
      <c r="O32" s="855">
        <f>O28-O30</f>
        <v>-1569840024.3963344</v>
      </c>
      <c r="P32" s="371"/>
      <c r="Q32" s="855">
        <f>Q28-Q30</f>
        <v>-1651290158.003011</v>
      </c>
      <c r="R32" s="855"/>
      <c r="S32" s="855">
        <f>S26-S19</f>
        <v>0</v>
      </c>
      <c r="T32" s="855"/>
      <c r="U32" s="855">
        <f>U28-U30</f>
        <v>-1651290158.003011</v>
      </c>
      <c r="W32" s="857"/>
    </row>
    <row r="33" spans="1:21" s="79" customFormat="1" ht="17.25">
      <c r="A33" s="91">
        <f>IF(C33&lt;&gt;"",MAX(A13:A32)+1,"")</f>
        <v>24</v>
      </c>
      <c r="C33" s="782" t="s">
        <v>380</v>
      </c>
      <c r="D33"/>
      <c r="E33" s="858">
        <f>-E32/E26</f>
        <v>0.32341815780298427</v>
      </c>
      <c r="F33" s="859"/>
      <c r="G33" s="859"/>
      <c r="H33" s="859"/>
      <c r="I33" s="858">
        <f>-I32/I26</f>
        <v>0.32341815780298427</v>
      </c>
      <c r="J33" s="377"/>
      <c r="K33" s="858">
        <f>-K32/K26</f>
        <v>0.40738247688279366</v>
      </c>
      <c r="L33" s="859"/>
      <c r="M33" s="859"/>
      <c r="N33" s="859"/>
      <c r="O33" s="858">
        <f>-O32/O26</f>
        <v>0.40738247688279366</v>
      </c>
      <c r="P33" s="860"/>
      <c r="Q33" s="858">
        <f>-Q32/Q26</f>
        <v>0.43609650585682064</v>
      </c>
      <c r="R33" s="859"/>
      <c r="S33" s="859"/>
      <c r="T33" s="859"/>
      <c r="U33" s="858">
        <f>-U32/U26</f>
        <v>0.43609650585682064</v>
      </c>
    </row>
    <row r="34" spans="1:21" s="79" customFormat="1" ht="15">
      <c r="A34" s="91" t="str">
        <f>IF(C34&lt;&gt;"",MAX(A26:A32)+1,"")</f>
        <v/>
      </c>
      <c r="B34"/>
      <c r="C34"/>
      <c r="D34" s="29"/>
      <c r="E34" s="315"/>
      <c r="F34" s="315"/>
      <c r="G34" s="315"/>
      <c r="H34" s="315"/>
      <c r="I34" s="368"/>
      <c r="J34" s="369"/>
      <c r="K34" s="367"/>
      <c r="L34" s="367"/>
      <c r="M34" s="367"/>
      <c r="N34" s="367"/>
      <c r="O34" s="368"/>
      <c r="P34" s="369"/>
      <c r="Q34" s="367"/>
      <c r="R34" s="367"/>
      <c r="S34" s="367"/>
      <c r="T34" s="367"/>
      <c r="U34" s="861"/>
    </row>
    <row r="35" spans="1:21" ht="15">
      <c r="A35" s="91">
        <f>IF(C35&lt;&gt;"",MAX(A27:A34)+1,"")</f>
        <v>25</v>
      </c>
      <c r="C35" s="29" t="s">
        <v>381</v>
      </c>
      <c r="E35" s="315"/>
      <c r="F35" s="315"/>
      <c r="G35" s="315"/>
      <c r="H35" s="315"/>
      <c r="I35" s="375"/>
      <c r="J35" s="369"/>
      <c r="K35" s="367"/>
      <c r="L35" s="367"/>
      <c r="M35" s="367"/>
      <c r="N35" s="367"/>
      <c r="O35" s="367"/>
      <c r="P35" s="791"/>
      <c r="Q35" s="367"/>
      <c r="R35" s="367"/>
      <c r="S35" s="367"/>
      <c r="T35" s="367"/>
      <c r="U35" s="375"/>
    </row>
    <row r="36" spans="1:21" ht="15">
      <c r="A36" s="91">
        <f>IF(C36&lt;&gt;"",MAX(A32:A35)+1,"")</f>
        <v>26</v>
      </c>
      <c r="C36" s="80" t="s">
        <v>382</v>
      </c>
      <c r="E36" s="369">
        <f>'B-3'!E30</f>
        <v>254658456</v>
      </c>
      <c r="F36" s="367"/>
      <c r="G36" s="369">
        <v>0</v>
      </c>
      <c r="H36" s="367"/>
      <c r="I36" s="370">
        <f>E36+G36</f>
        <v>254658456</v>
      </c>
      <c r="J36" s="369"/>
      <c r="K36" s="369">
        <f>'B-3'!G30</f>
        <v>251885568</v>
      </c>
      <c r="L36" s="367"/>
      <c r="M36" s="369">
        <v>0</v>
      </c>
      <c r="N36" s="367"/>
      <c r="O36" s="370">
        <f>K36+M36</f>
        <v>251885568</v>
      </c>
      <c r="P36" s="369"/>
      <c r="Q36" s="369">
        <f>'B-3'!I30</f>
        <v>248307648</v>
      </c>
      <c r="R36" s="367"/>
      <c r="S36" s="369">
        <v>0</v>
      </c>
      <c r="T36" s="367"/>
      <c r="U36" s="370">
        <f>Q36+S36</f>
        <v>248307648</v>
      </c>
    </row>
    <row r="37" spans="1:21" ht="15">
      <c r="A37" s="91">
        <f t="shared" si="0"/>
        <v>27</v>
      </c>
      <c r="C37" s="80" t="s">
        <v>383</v>
      </c>
      <c r="E37" s="369">
        <f>'B-3'!E55</f>
        <v>337577968.77796483</v>
      </c>
      <c r="F37" s="367"/>
      <c r="G37" s="369">
        <v>0</v>
      </c>
      <c r="H37" s="367"/>
      <c r="I37" s="370">
        <f>E37+G37</f>
        <v>337577968.77796483</v>
      </c>
      <c r="J37" s="369"/>
      <c r="K37" s="369">
        <f>'B-3'!G55</f>
        <v>329909820.8349905</v>
      </c>
      <c r="L37" s="367"/>
      <c r="M37" s="369">
        <v>0</v>
      </c>
      <c r="N37" s="367"/>
      <c r="O37" s="370">
        <f>K37+M37</f>
        <v>329909820.8349905</v>
      </c>
      <c r="P37" s="369"/>
      <c r="Q37" s="369">
        <f>'B-3'!I55</f>
        <v>299748641.32046038</v>
      </c>
      <c r="R37" s="367"/>
      <c r="S37" s="369">
        <v>0</v>
      </c>
      <c r="T37" s="367"/>
      <c r="U37" s="370">
        <f>Q37+S37</f>
        <v>299748641.32046038</v>
      </c>
    </row>
    <row r="38" spans="1:21" ht="17.25">
      <c r="A38" s="91">
        <f t="shared" si="0"/>
        <v>28</v>
      </c>
      <c r="B38" s="79"/>
      <c r="C38" s="854" t="s">
        <v>384</v>
      </c>
      <c r="E38" s="855">
        <f>-SUM(E36:E37)</f>
        <v>-592236424.77796483</v>
      </c>
      <c r="F38" s="855"/>
      <c r="G38" s="855">
        <v>0</v>
      </c>
      <c r="H38" s="856"/>
      <c r="I38" s="855">
        <f>-SUM(I36:I37)</f>
        <v>-592236424.77796483</v>
      </c>
      <c r="J38" s="369"/>
      <c r="K38" s="855">
        <f>-SUM(K36:K37)</f>
        <v>-581795388.8349905</v>
      </c>
      <c r="L38" s="855"/>
      <c r="M38" s="855">
        <f>-SUM(M36:M37)</f>
        <v>0</v>
      </c>
      <c r="N38" s="855"/>
      <c r="O38" s="855">
        <f>-SUM(O36:O37)</f>
        <v>-581795388.8349905</v>
      </c>
      <c r="P38" s="371"/>
      <c r="Q38" s="855">
        <f>-SUM(Q36:Q37)</f>
        <v>-548056289.32046032</v>
      </c>
      <c r="R38" s="855"/>
      <c r="S38" s="855">
        <f>-SUM(S36:S37)</f>
        <v>0</v>
      </c>
      <c r="T38" s="855"/>
      <c r="U38" s="855">
        <f>-SUM(U36:U37)</f>
        <v>-548056289.32046032</v>
      </c>
    </row>
    <row r="39" spans="1:21" ht="15">
      <c r="A39" s="91" t="str">
        <f>IF(C39&lt;&gt;"",MAX(A38:A38)+1,"")</f>
        <v/>
      </c>
      <c r="C39" s="651"/>
      <c r="E39" s="369"/>
      <c r="F39" s="367"/>
      <c r="G39" s="369"/>
      <c r="H39" s="315"/>
      <c r="I39" s="370"/>
      <c r="J39" s="369"/>
      <c r="K39" s="369"/>
      <c r="L39" s="367"/>
      <c r="M39" s="369"/>
      <c r="N39" s="367"/>
      <c r="O39" s="369"/>
      <c r="P39" s="371"/>
      <c r="Q39" s="369"/>
      <c r="R39" s="367"/>
      <c r="S39" s="369"/>
      <c r="T39" s="367"/>
      <c r="U39" s="370"/>
    </row>
    <row r="40" spans="1:21" ht="15">
      <c r="A40" s="91">
        <f>IF(C40&lt;&gt;"",MAX(A38:A39)+1,"")</f>
        <v>29</v>
      </c>
      <c r="C40" s="29" t="s">
        <v>385</v>
      </c>
      <c r="E40" s="369"/>
      <c r="F40" s="367"/>
      <c r="G40" s="369"/>
      <c r="H40" s="315"/>
      <c r="I40" s="370"/>
      <c r="J40" s="369"/>
      <c r="K40" s="369"/>
      <c r="L40" s="367"/>
      <c r="M40" s="369"/>
      <c r="N40" s="367"/>
      <c r="O40" s="369"/>
      <c r="P40" s="369"/>
      <c r="Q40" s="369"/>
      <c r="R40" s="367"/>
      <c r="S40" s="369"/>
      <c r="T40" s="367"/>
      <c r="U40" s="370"/>
    </row>
    <row r="41" spans="1:21" ht="15">
      <c r="A41" s="91">
        <f>IF(C41&lt;&gt;"",MAX(A39:A40)+1,"")</f>
        <v>30</v>
      </c>
      <c r="C41" s="80" t="s">
        <v>386</v>
      </c>
      <c r="E41" s="369">
        <f>'D-1-Constrained'!H92</f>
        <v>1533755685.2136185</v>
      </c>
      <c r="F41" s="367"/>
      <c r="G41" s="369">
        <v>0</v>
      </c>
      <c r="H41" s="315"/>
      <c r="I41" s="370">
        <f t="shared" ref="I41" si="8">E41+G41</f>
        <v>1533755685.2136185</v>
      </c>
      <c r="J41" s="369"/>
      <c r="K41" s="369">
        <f>'D-1-Constrained'!L92</f>
        <v>2055482497.8424253</v>
      </c>
      <c r="L41" s="367"/>
      <c r="M41" s="369">
        <v>0</v>
      </c>
      <c r="N41" s="367"/>
      <c r="O41" s="369">
        <f t="shared" ref="O41" si="9">K41+M41</f>
        <v>2055482497.8424253</v>
      </c>
      <c r="P41" s="791"/>
      <c r="Q41" s="369">
        <f>'D-1-Constrained'!P92</f>
        <v>2022518272.416079</v>
      </c>
      <c r="R41" s="367"/>
      <c r="S41" s="369">
        <v>0</v>
      </c>
      <c r="T41" s="367"/>
      <c r="U41" s="370">
        <f t="shared" ref="U41" si="10">Q41+S41</f>
        <v>2022518272.416079</v>
      </c>
    </row>
    <row r="42" spans="1:21" ht="15">
      <c r="A42" s="91" t="str">
        <f>IF(C42&lt;&gt;"",MAX(A41:A41)+1,"")</f>
        <v/>
      </c>
      <c r="E42" s="312"/>
      <c r="F42" s="312"/>
      <c r="G42" s="312"/>
      <c r="H42" s="312"/>
      <c r="I42" s="862"/>
      <c r="J42" s="312"/>
      <c r="K42" s="312"/>
      <c r="L42" s="312"/>
      <c r="M42" s="312"/>
      <c r="N42" s="312"/>
      <c r="O42" s="312"/>
      <c r="P42" s="313"/>
      <c r="Q42" s="312"/>
      <c r="R42" s="312"/>
      <c r="S42" s="312"/>
      <c r="T42" s="312"/>
      <c r="U42" s="862"/>
    </row>
    <row r="43" spans="1:21" s="2" customFormat="1" ht="15">
      <c r="A43" s="91" t="str">
        <f>IF(C43&lt;&gt;"",MAX(A32:A32)+1,"")</f>
        <v/>
      </c>
      <c r="B43"/>
      <c r="C43"/>
      <c r="D43"/>
      <c r="E43"/>
      <c r="F43"/>
      <c r="G43"/>
      <c r="H43"/>
      <c r="I43" s="359"/>
      <c r="J43" s="316"/>
      <c r="K43"/>
      <c r="L43"/>
      <c r="M43"/>
      <c r="N43"/>
      <c r="O43" s="316"/>
      <c r="P43" s="316"/>
      <c r="Q43"/>
      <c r="R43"/>
      <c r="S43"/>
      <c r="T43"/>
      <c r="U43" s="359"/>
    </row>
    <row r="44" spans="1:21" s="2" customFormat="1" ht="15">
      <c r="A44" s="91"/>
      <c r="B44"/>
      <c r="C44"/>
      <c r="D44"/>
      <c r="E44" s="768"/>
      <c r="F44"/>
      <c r="G44"/>
      <c r="H44"/>
      <c r="I44" s="359"/>
      <c r="J44" s="316"/>
      <c r="K44" s="768"/>
      <c r="L44"/>
      <c r="M44"/>
      <c r="N44"/>
      <c r="O44" s="316"/>
      <c r="P44" s="316"/>
      <c r="Q44" s="768"/>
      <c r="R44"/>
      <c r="S44"/>
      <c r="T44"/>
      <c r="U44" s="359"/>
    </row>
    <row r="45" spans="1:21" ht="15">
      <c r="A45" s="91"/>
      <c r="E45" s="360"/>
      <c r="I45" s="863"/>
      <c r="K45" s="360"/>
      <c r="Q45" s="360"/>
      <c r="U45" s="863"/>
    </row>
    <row r="46" spans="1:21" ht="15">
      <c r="A46" s="91"/>
      <c r="E46" s="360"/>
      <c r="I46" s="863"/>
      <c r="K46" s="360"/>
      <c r="Q46" s="360"/>
      <c r="U46" s="863"/>
    </row>
    <row r="47" spans="1:21" ht="15">
      <c r="A47" s="91"/>
      <c r="E47" s="360"/>
      <c r="I47" s="863"/>
      <c r="K47" s="360"/>
      <c r="Q47" s="360"/>
      <c r="U47" s="863"/>
    </row>
    <row r="48" spans="1:21" ht="14.25" customHeight="1">
      <c r="A48" s="91"/>
      <c r="E48" s="360"/>
      <c r="I48" s="863"/>
      <c r="K48" s="360"/>
      <c r="Q48" s="360"/>
      <c r="U48" s="863"/>
    </row>
    <row r="49" spans="1:1" ht="15">
      <c r="A49"/>
    </row>
    <row r="50" spans="1:1" ht="14.25" customHeight="1">
      <c r="A50"/>
    </row>
    <row r="51" spans="1:1" ht="15">
      <c r="A51"/>
    </row>
    <row r="52" spans="1:1" ht="15">
      <c r="A52"/>
    </row>
    <row r="53" spans="1:1" ht="14.25" customHeight="1">
      <c r="A53"/>
    </row>
    <row r="54" spans="1:1" ht="14.25" customHeight="1">
      <c r="A54"/>
    </row>
    <row r="55" spans="1:1" ht="14.25" customHeight="1">
      <c r="A55"/>
    </row>
    <row r="56" spans="1:1" ht="14.25" customHeight="1">
      <c r="A56"/>
    </row>
    <row r="57" spans="1:1" ht="14.25" customHeight="1">
      <c r="A57"/>
    </row>
    <row r="58" spans="1:1" ht="15">
      <c r="A58"/>
    </row>
    <row r="59" spans="1:1" ht="14.25" customHeight="1">
      <c r="A59"/>
    </row>
    <row r="60" spans="1:1" ht="15">
      <c r="A60"/>
    </row>
    <row r="61" spans="1:1" ht="15">
      <c r="A61"/>
    </row>
    <row r="62" spans="1:1" ht="15">
      <c r="A62"/>
    </row>
    <row r="63" spans="1:1" ht="14.25" customHeight="1">
      <c r="A63"/>
    </row>
    <row r="64" spans="1:1" ht="15">
      <c r="A64"/>
    </row>
    <row r="65" spans="1:17" ht="15">
      <c r="A65"/>
    </row>
    <row r="66" spans="1:17" ht="15">
      <c r="A66"/>
    </row>
    <row r="67" spans="1:17" ht="15">
      <c r="A67"/>
    </row>
    <row r="68" spans="1:17" ht="15">
      <c r="A68"/>
    </row>
    <row r="69" spans="1:17" ht="15">
      <c r="E69" s="864"/>
      <c r="K69" s="864"/>
      <c r="Q69" s="864"/>
    </row>
    <row r="73" spans="1:17" ht="15">
      <c r="E73" s="864"/>
      <c r="K73" s="864"/>
      <c r="Q73" s="864"/>
    </row>
    <row r="74" spans="1:17" ht="15">
      <c r="E74" s="864"/>
      <c r="K74" s="864"/>
      <c r="Q74" s="864"/>
    </row>
    <row r="75" spans="1:17" ht="15">
      <c r="E75" s="864"/>
      <c r="K75" s="864"/>
      <c r="Q75" s="864"/>
    </row>
    <row r="76" spans="1:17" ht="15">
      <c r="E76" s="864"/>
      <c r="K76" s="864"/>
      <c r="Q76" s="864"/>
    </row>
    <row r="77" spans="1:17" ht="15">
      <c r="E77" s="864"/>
      <c r="K77" s="864"/>
      <c r="Q77" s="864"/>
    </row>
    <row r="78" spans="1:17" ht="15">
      <c r="E78" s="864"/>
      <c r="K78" s="864"/>
      <c r="Q78" s="864"/>
    </row>
  </sheetData>
  <pageMargins left="0.7" right="0.7" top="0.75" bottom="0.75" header="0.3" footer="0.3"/>
  <pageSetup scale="62" orientation="landscape" r:id="rId1"/>
  <headerFooter>
    <oddHeader xml:space="preserve">&amp;LPuerto Rico Electric Power Authority 
Docket NEPR-AP-2023-0003
Determination of Base Rates Revenue Requirement
&amp;RSchedule B-1.1 (Constrained)
Page &amp;P of &amp;N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10A64-5003-430F-B8F3-85231BCD08AD}">
  <sheetPr>
    <tabColor rgb="FFFF0000"/>
  </sheetPr>
  <dimension ref="B2:H31"/>
  <sheetViews>
    <sheetView workbookViewId="0"/>
    <sheetView workbookViewId="1"/>
    <sheetView workbookViewId="2"/>
  </sheetViews>
  <sheetFormatPr defaultRowHeight="15"/>
  <cols>
    <col min="2" max="2" width="19.42578125" bestFit="1" customWidth="1"/>
    <col min="5" max="9" width="21.85546875" customWidth="1"/>
  </cols>
  <sheetData>
    <row r="2" spans="2:8" ht="15.75" thickBot="1"/>
    <row r="3" spans="2:8" ht="15.75" thickBot="1">
      <c r="B3" s="884" t="s">
        <v>391</v>
      </c>
      <c r="C3" s="885">
        <v>2.9700000000000001E-2</v>
      </c>
      <c r="D3" s="886"/>
      <c r="E3" s="886"/>
      <c r="F3" s="886"/>
      <c r="G3" s="886"/>
      <c r="H3" s="886"/>
    </row>
    <row r="4" spans="2:8">
      <c r="B4" s="886"/>
      <c r="C4" s="886"/>
      <c r="D4" s="886"/>
      <c r="E4" s="886"/>
      <c r="F4" s="886"/>
      <c r="G4" s="886"/>
      <c r="H4" s="886"/>
    </row>
    <row r="5" spans="2:8" ht="15.75" thickBot="1">
      <c r="B5" s="886"/>
      <c r="C5" s="886"/>
      <c r="D5" s="886"/>
      <c r="E5" s="886"/>
      <c r="F5" s="886"/>
      <c r="G5" s="886"/>
      <c r="H5" s="886"/>
    </row>
    <row r="6" spans="2:8" ht="16.5" thickBot="1">
      <c r="B6" s="886"/>
      <c r="C6" s="886"/>
      <c r="D6" s="886"/>
      <c r="E6" s="1193" t="s">
        <v>392</v>
      </c>
      <c r="F6" s="1194"/>
      <c r="G6" s="1194"/>
      <c r="H6" s="1195"/>
    </row>
    <row r="7" spans="2:8">
      <c r="B7" s="886"/>
      <c r="C7" s="886"/>
      <c r="D7" s="886"/>
      <c r="E7" s="887"/>
      <c r="F7" s="888" t="s">
        <v>393</v>
      </c>
      <c r="G7" s="888" t="s">
        <v>394</v>
      </c>
      <c r="H7" s="889" t="s">
        <v>395</v>
      </c>
    </row>
    <row r="8" spans="2:8">
      <c r="B8" s="886"/>
      <c r="C8" s="886"/>
      <c r="D8" s="886"/>
      <c r="E8" s="890" t="s">
        <v>396</v>
      </c>
      <c r="F8" s="897">
        <f>SUM('B-1 - OPTIMAL'!E4:E10)+'B-1 - OPTIMAL'!E12+'B-1 - OPTIMAL'!E16</f>
        <v>5572817622.9539967</v>
      </c>
      <c r="G8" s="897">
        <f>SUM('B-1 - OPTIMAL'!K4:K10)+'B-1 - OPTIMAL'!K12+'B-1 - OPTIMAL'!K16</f>
        <v>5779502956.1464319</v>
      </c>
      <c r="H8" s="898">
        <f>SUM('B-1 - OPTIMAL'!Q4:Q10)+'B-1 - OPTIMAL'!Q12+'B-1 - OPTIMAL'!Q16</f>
        <v>5889955832.3596649</v>
      </c>
    </row>
    <row r="9" spans="2:8">
      <c r="B9" s="886"/>
      <c r="C9" s="886"/>
      <c r="D9" s="886"/>
      <c r="E9" s="890" t="s">
        <v>397</v>
      </c>
      <c r="F9" s="891">
        <v>2.9700000000000001E-2</v>
      </c>
      <c r="G9" s="891">
        <v>2.9700000000000001E-2</v>
      </c>
      <c r="H9" s="892">
        <v>2.9700000000000001E-2</v>
      </c>
    </row>
    <row r="10" spans="2:8">
      <c r="B10" s="886"/>
      <c r="C10" s="886"/>
      <c r="D10" s="886"/>
      <c r="E10" s="890"/>
      <c r="F10" s="886"/>
      <c r="G10" s="886"/>
      <c r="H10" s="893"/>
    </row>
    <row r="11" spans="2:8" ht="15.75" thickBot="1">
      <c r="B11" s="886"/>
      <c r="C11" s="886"/>
      <c r="D11" s="886"/>
      <c r="E11" s="894" t="s">
        <v>398</v>
      </c>
      <c r="F11" s="895">
        <f>F8*F9</f>
        <v>165512683.4017337</v>
      </c>
      <c r="G11" s="895">
        <f t="shared" ref="G11:H11" si="0">G8*G9</f>
        <v>171651237.79754904</v>
      </c>
      <c r="H11" s="896">
        <f t="shared" si="0"/>
        <v>174931688.22108206</v>
      </c>
    </row>
    <row r="12" spans="2:8">
      <c r="B12" s="886"/>
      <c r="C12" s="886"/>
      <c r="D12" s="886"/>
      <c r="E12" s="886" t="s">
        <v>399</v>
      </c>
      <c r="F12" s="886"/>
      <c r="G12" s="886"/>
      <c r="H12" s="886"/>
    </row>
    <row r="13" spans="2:8" ht="15.75" thickBot="1">
      <c r="B13" s="886"/>
      <c r="C13" s="886"/>
      <c r="D13" s="886"/>
      <c r="E13" s="886"/>
      <c r="F13" s="886"/>
      <c r="G13" s="886"/>
      <c r="H13" s="886"/>
    </row>
    <row r="14" spans="2:8" ht="16.5" thickBot="1">
      <c r="B14" s="886"/>
      <c r="C14" s="886"/>
      <c r="D14" s="886"/>
      <c r="E14" s="1193" t="s">
        <v>400</v>
      </c>
      <c r="F14" s="1194"/>
      <c r="G14" s="1194"/>
      <c r="H14" s="1194"/>
    </row>
    <row r="15" spans="2:8">
      <c r="B15" s="886"/>
      <c r="C15" s="886"/>
      <c r="D15" s="886"/>
      <c r="E15" s="887"/>
      <c r="F15" s="888" t="s">
        <v>393</v>
      </c>
      <c r="G15" s="888" t="s">
        <v>394</v>
      </c>
      <c r="H15" s="889" t="s">
        <v>395</v>
      </c>
    </row>
    <row r="16" spans="2:8">
      <c r="B16" s="886"/>
      <c r="C16" s="886"/>
      <c r="D16" s="886"/>
      <c r="E16" s="890" t="s">
        <v>401</v>
      </c>
      <c r="F16" s="899">
        <f>SUM('B-1 - CONSTRAINED'!E4:E10)+'B-1 - CONSTRAINED'!E12+'B-1 - CONSTRAINED'!E16</f>
        <v>4976111469.7589388</v>
      </c>
      <c r="G16" s="900">
        <f>SUM('B-1 - CONSTRAINED'!K4:K10)+'B-1 - CONSTRAINED'!K12+'B-1 - CONSTRAINED'!K16</f>
        <v>5119248039.6065578</v>
      </c>
      <c r="H16" s="901">
        <f>SUM('B-1 - CONSTRAINED'!Q4:Q10)+'B-1 - CONSTRAINED'!Q12+'B-1 - CONSTRAINED'!Q16</f>
        <v>5148249839.5853701</v>
      </c>
    </row>
    <row r="17" spans="2:8">
      <c r="B17" s="886"/>
      <c r="C17" s="886"/>
      <c r="D17" s="886"/>
      <c r="E17" s="890" t="s">
        <v>397</v>
      </c>
      <c r="F17" s="891">
        <v>2.9700000000000001E-2</v>
      </c>
      <c r="G17" s="891">
        <v>2.9700000000000001E-2</v>
      </c>
      <c r="H17" s="892">
        <v>2.9700000000000001E-2</v>
      </c>
    </row>
    <row r="18" spans="2:8">
      <c r="B18" s="886"/>
      <c r="C18" s="886"/>
      <c r="D18" s="886"/>
      <c r="E18" s="890"/>
      <c r="F18" s="886"/>
      <c r="G18" s="886"/>
      <c r="H18" s="893"/>
    </row>
    <row r="19" spans="2:8" ht="15.75" thickBot="1">
      <c r="B19" s="886"/>
      <c r="C19" s="886"/>
      <c r="D19" s="886"/>
      <c r="E19" s="894" t="s">
        <v>398</v>
      </c>
      <c r="F19" s="895">
        <f>F16*F17</f>
        <v>147790510.65184048</v>
      </c>
      <c r="G19" s="895">
        <f>G16*G17</f>
        <v>152041666.77631477</v>
      </c>
      <c r="H19" s="896">
        <f>H16*H17</f>
        <v>152903020.2356855</v>
      </c>
    </row>
    <row r="20" spans="2:8">
      <c r="B20" s="886"/>
      <c r="C20" s="886"/>
      <c r="D20" s="886"/>
      <c r="E20" s="886" t="s">
        <v>402</v>
      </c>
      <c r="F20" s="886"/>
      <c r="G20" s="886"/>
      <c r="H20" s="886"/>
    </row>
    <row r="22" spans="2:8">
      <c r="E22" s="902" t="s">
        <v>403</v>
      </c>
    </row>
    <row r="23" spans="2:8">
      <c r="E23" s="62" t="s">
        <v>361</v>
      </c>
    </row>
    <row r="24" spans="2:8">
      <c r="E24" s="62" t="s">
        <v>362</v>
      </c>
    </row>
    <row r="25" spans="2:8">
      <c r="E25" s="80" t="s">
        <v>363</v>
      </c>
    </row>
    <row r="26" spans="2:8">
      <c r="E26" s="80" t="s">
        <v>364</v>
      </c>
    </row>
    <row r="27" spans="2:8">
      <c r="E27" s="80" t="s">
        <v>365</v>
      </c>
    </row>
    <row r="28" spans="2:8">
      <c r="E28" s="80" t="s">
        <v>366</v>
      </c>
    </row>
    <row r="29" spans="2:8">
      <c r="E29" s="80" t="s">
        <v>367</v>
      </c>
    </row>
    <row r="30" spans="2:8">
      <c r="E30" s="80" t="s">
        <v>339</v>
      </c>
    </row>
    <row r="31" spans="2:8">
      <c r="E31" s="80" t="s">
        <v>370</v>
      </c>
    </row>
  </sheetData>
  <mergeCells count="2">
    <mergeCell ref="E6:H6"/>
    <mergeCell ref="E14:H14"/>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828AE-D2FF-4F6E-A14C-5A6F0B935546}">
  <sheetPr>
    <tabColor theme="5" tint="0.79998168889431442"/>
  </sheetPr>
  <dimension ref="A1:CZ1"/>
  <sheetViews>
    <sheetView workbookViewId="0"/>
    <sheetView workbookViewId="1"/>
    <sheetView workbookViewId="2"/>
  </sheetViews>
  <sheetFormatPr defaultRowHeight="15"/>
  <sheetData>
    <row r="1" spans="1:104">
      <c r="A1" t="s">
        <v>404</v>
      </c>
      <c r="B1" t="s">
        <v>405</v>
      </c>
      <c r="C1" t="s">
        <v>406</v>
      </c>
      <c r="D1" t="s">
        <v>407</v>
      </c>
      <c r="E1" t="s">
        <v>408</v>
      </c>
      <c r="F1" t="s">
        <v>409</v>
      </c>
      <c r="G1" t="s">
        <v>410</v>
      </c>
      <c r="H1" t="s">
        <v>411</v>
      </c>
      <c r="I1" t="s">
        <v>412</v>
      </c>
      <c r="J1" t="s">
        <v>413</v>
      </c>
      <c r="K1" t="s">
        <v>414</v>
      </c>
      <c r="L1" t="s">
        <v>415</v>
      </c>
      <c r="M1" t="s">
        <v>416</v>
      </c>
      <c r="N1" t="s">
        <v>417</v>
      </c>
      <c r="O1" t="s">
        <v>418</v>
      </c>
      <c r="Q1" t="s">
        <v>419</v>
      </c>
      <c r="R1" t="s">
        <v>420</v>
      </c>
      <c r="S1" t="s">
        <v>421</v>
      </c>
      <c r="T1" t="s">
        <v>422</v>
      </c>
      <c r="U1" t="s">
        <v>423</v>
      </c>
      <c r="V1" t="s">
        <v>424</v>
      </c>
      <c r="W1" t="s">
        <v>425</v>
      </c>
      <c r="X1" t="s">
        <v>426</v>
      </c>
      <c r="Z1" t="s">
        <v>427</v>
      </c>
      <c r="AA1" t="s">
        <v>428</v>
      </c>
      <c r="AB1" t="s">
        <v>429</v>
      </c>
      <c r="AC1" t="s">
        <v>430</v>
      </c>
      <c r="AD1" t="s">
        <v>431</v>
      </c>
      <c r="AE1" t="s">
        <v>432</v>
      </c>
      <c r="AG1" t="s">
        <v>433</v>
      </c>
      <c r="CV1" t="b">
        <v>1</v>
      </c>
      <c r="CW1" t="s">
        <v>434</v>
      </c>
      <c r="CX1" t="s">
        <v>435</v>
      </c>
      <c r="CY1" t="s">
        <v>436</v>
      </c>
      <c r="CZ1" t="s">
        <v>437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8DEF3-0E24-418B-933B-E42969CB859F}">
  <sheetPr>
    <tabColor theme="5" tint="0.79998168889431442"/>
  </sheetPr>
  <dimension ref="A1:R71"/>
  <sheetViews>
    <sheetView workbookViewId="0"/>
    <sheetView workbookViewId="1"/>
    <sheetView workbookViewId="2"/>
  </sheetViews>
  <sheetFormatPr defaultColWidth="9.140625" defaultRowHeight="15"/>
  <cols>
    <col min="1" max="1" width="5.85546875" customWidth="1"/>
    <col min="2" max="2" width="8.42578125" customWidth="1"/>
    <col min="3" max="3" width="58.42578125" customWidth="1"/>
    <col min="4" max="4" width="8.5703125" customWidth="1"/>
    <col min="5" max="5" width="16.85546875" bestFit="1" customWidth="1"/>
    <col min="6" max="6" width="16.140625" customWidth="1"/>
    <col min="7" max="7" width="16.42578125" bestFit="1" customWidth="1"/>
    <col min="8" max="8" width="20" bestFit="1" customWidth="1"/>
    <col min="9" max="9" width="8.5703125" customWidth="1"/>
    <col min="10" max="10" width="15.5703125" bestFit="1" customWidth="1"/>
    <col min="11" max="11" width="20.85546875" customWidth="1"/>
    <col min="13" max="13" width="15.5703125" customWidth="1"/>
    <col min="14" max="14" width="19.140625" customWidth="1"/>
    <col min="16" max="16" width="16.42578125" customWidth="1"/>
    <col min="17" max="17" width="20" customWidth="1"/>
  </cols>
  <sheetData>
    <row r="1" spans="1:18">
      <c r="B1" s="805"/>
      <c r="C1" s="1" t="s">
        <v>7</v>
      </c>
      <c r="D1" s="1"/>
      <c r="I1" s="1"/>
      <c r="J1" s="1196"/>
      <c r="K1" s="1196"/>
      <c r="L1" s="1196"/>
      <c r="M1" s="1196"/>
      <c r="N1" s="1196"/>
      <c r="O1" s="1196"/>
      <c r="P1" s="1196"/>
      <c r="Q1" s="1196"/>
      <c r="R1" s="1"/>
    </row>
    <row r="2" spans="1:18" ht="26.25">
      <c r="A2" s="806" t="s">
        <v>242</v>
      </c>
      <c r="C2" s="806" t="s">
        <v>5</v>
      </c>
      <c r="D2" s="1"/>
      <c r="E2" s="1199" t="s">
        <v>438</v>
      </c>
      <c r="F2" s="1199"/>
      <c r="G2" s="1199"/>
      <c r="H2" s="1199"/>
      <c r="I2" s="1"/>
      <c r="J2" s="1198" t="s">
        <v>439</v>
      </c>
      <c r="K2" s="1198"/>
      <c r="L2" s="1"/>
      <c r="M2" s="1198" t="s">
        <v>440</v>
      </c>
      <c r="N2" s="1198"/>
      <c r="O2" s="230"/>
      <c r="P2" s="1198" t="s">
        <v>441</v>
      </c>
      <c r="Q2" s="1198"/>
      <c r="R2" s="1"/>
    </row>
    <row r="3" spans="1:18" ht="26.25">
      <c r="D3" s="807"/>
      <c r="E3" s="230" t="s">
        <v>442</v>
      </c>
      <c r="F3" s="230" t="s">
        <v>443</v>
      </c>
      <c r="G3" s="230" t="s">
        <v>444</v>
      </c>
      <c r="H3" s="230" t="s">
        <v>445</v>
      </c>
      <c r="I3" s="807"/>
      <c r="J3" s="807" t="s">
        <v>446</v>
      </c>
      <c r="K3" s="807" t="s">
        <v>447</v>
      </c>
      <c r="L3" s="28"/>
      <c r="M3" s="807" t="s">
        <v>446</v>
      </c>
      <c r="N3" s="807" t="s">
        <v>447</v>
      </c>
      <c r="O3" s="1"/>
      <c r="P3" s="807" t="s">
        <v>446</v>
      </c>
      <c r="Q3" s="807" t="s">
        <v>447</v>
      </c>
      <c r="R3" s="807"/>
    </row>
    <row r="4" spans="1:18">
      <c r="B4" s="230"/>
      <c r="C4" s="1"/>
      <c r="D4" s="230"/>
      <c r="E4" s="230" t="s">
        <v>448</v>
      </c>
      <c r="F4" s="230" t="s">
        <v>449</v>
      </c>
      <c r="G4" s="230" t="s">
        <v>449</v>
      </c>
      <c r="H4" s="230" t="s">
        <v>449</v>
      </c>
      <c r="I4" s="230"/>
      <c r="J4" s="230"/>
      <c r="K4" s="230"/>
      <c r="L4" s="1"/>
      <c r="M4" s="230"/>
      <c r="N4" s="230"/>
      <c r="O4" s="1"/>
      <c r="P4" s="230"/>
      <c r="Q4" s="230"/>
      <c r="R4" s="230"/>
    </row>
    <row r="5" spans="1:18">
      <c r="A5" s="2">
        <v>1</v>
      </c>
      <c r="B5" s="230"/>
      <c r="C5" s="824" t="s">
        <v>450</v>
      </c>
      <c r="D5" s="824"/>
      <c r="E5" s="824"/>
      <c r="F5" s="824"/>
      <c r="G5" s="824"/>
      <c r="H5" s="824"/>
      <c r="I5" s="824"/>
      <c r="J5" s="824"/>
      <c r="K5" s="824"/>
      <c r="M5" s="824"/>
      <c r="N5" s="824"/>
      <c r="P5" s="824"/>
      <c r="Q5" s="824"/>
      <c r="R5" s="824" t="s">
        <v>279</v>
      </c>
    </row>
    <row r="6" spans="1:18">
      <c r="A6" s="2">
        <v>2</v>
      </c>
      <c r="B6" s="230"/>
      <c r="C6" s="824" t="s">
        <v>451</v>
      </c>
      <c r="D6" s="825"/>
      <c r="E6" s="826" t="s">
        <v>7</v>
      </c>
      <c r="F6" s="826"/>
      <c r="G6" s="826"/>
      <c r="H6" s="826"/>
      <c r="I6" s="826"/>
      <c r="J6" s="826"/>
      <c r="K6" s="826"/>
      <c r="L6" s="368"/>
      <c r="M6" s="826"/>
      <c r="N6" s="826"/>
      <c r="O6" s="368"/>
      <c r="P6" s="826"/>
      <c r="Q6" s="826"/>
      <c r="R6" s="825"/>
    </row>
    <row r="7" spans="1:18">
      <c r="A7" s="2">
        <v>3</v>
      </c>
      <c r="B7" s="230"/>
      <c r="C7" s="827" t="s">
        <v>281</v>
      </c>
      <c r="D7" s="825"/>
      <c r="E7" s="828">
        <v>2735195727</v>
      </c>
      <c r="F7" s="826">
        <v>2950612663.8499999</v>
      </c>
      <c r="G7" s="826">
        <v>2498030937.0900002</v>
      </c>
      <c r="H7" s="826">
        <v>1337085213.77</v>
      </c>
      <c r="I7" s="826"/>
      <c r="J7" s="826">
        <f>J22</f>
        <v>2436713299.8406897</v>
      </c>
      <c r="K7" s="826">
        <f>J7</f>
        <v>2436713299.8406897</v>
      </c>
      <c r="L7" s="368"/>
      <c r="M7" s="826">
        <f>M22</f>
        <v>2363810018.072628</v>
      </c>
      <c r="N7" s="826">
        <f>N22</f>
        <v>2363810018.072628</v>
      </c>
      <c r="O7" s="368"/>
      <c r="P7" s="826">
        <f>P22</f>
        <v>2312631997.3431683</v>
      </c>
      <c r="Q7" s="826">
        <f>Q22</f>
        <v>2312631997.3431683</v>
      </c>
      <c r="R7" s="825"/>
    </row>
    <row r="8" spans="1:18">
      <c r="A8" s="2">
        <v>4</v>
      </c>
      <c r="B8" s="230"/>
      <c r="C8" s="827" t="s">
        <v>282</v>
      </c>
      <c r="D8" s="825"/>
      <c r="E8" s="828">
        <v>1156698974</v>
      </c>
      <c r="F8" s="826">
        <v>1024048130.48</v>
      </c>
      <c r="G8" s="826">
        <v>1172973523.0999999</v>
      </c>
      <c r="H8" s="826">
        <v>603287978.64999998</v>
      </c>
      <c r="I8" s="826"/>
      <c r="J8" s="826">
        <f>'E-1'!E33</f>
        <v>1179202426.8818486</v>
      </c>
      <c r="K8" s="826">
        <f>J8</f>
        <v>1179202426.8818486</v>
      </c>
      <c r="L8" s="368"/>
      <c r="M8" s="826">
        <f>'E-1'!H33</f>
        <v>1153897329.9670923</v>
      </c>
      <c r="N8" s="826">
        <f>M8</f>
        <v>1153897329.9670923</v>
      </c>
      <c r="O8" s="368"/>
      <c r="P8" s="826">
        <f>'E-1'!K33</f>
        <v>1138445034.8482292</v>
      </c>
      <c r="Q8" s="826">
        <f>P8</f>
        <v>1138445034.8482292</v>
      </c>
      <c r="R8" s="825"/>
    </row>
    <row r="9" spans="1:18" ht="16.5">
      <c r="A9" s="2">
        <v>5</v>
      </c>
      <c r="B9" s="230"/>
      <c r="C9" s="827" t="s">
        <v>283</v>
      </c>
      <c r="D9" s="825"/>
      <c r="E9" s="829">
        <v>238774297</v>
      </c>
      <c r="F9" s="830">
        <v>327670589.23000002</v>
      </c>
      <c r="G9" s="830">
        <v>357429944.14999998</v>
      </c>
      <c r="H9" s="830">
        <v>144207251.09999999</v>
      </c>
      <c r="I9" s="826"/>
      <c r="J9" s="831">
        <f>SUM('E-2 Riders'!G19,'E-2 Riders'!G24,'E-2 Riders'!G29,'E-2 Riders'!G34)</f>
        <v>320077800</v>
      </c>
      <c r="K9" s="826">
        <f>J9</f>
        <v>320077800</v>
      </c>
      <c r="L9" s="368"/>
      <c r="M9" s="826">
        <f>K9</f>
        <v>320077800</v>
      </c>
      <c r="N9" s="826">
        <f>M9</f>
        <v>320077800</v>
      </c>
      <c r="O9" s="368"/>
      <c r="P9" s="826">
        <f>N9</f>
        <v>320077800</v>
      </c>
      <c r="Q9" s="826">
        <f>P9</f>
        <v>320077800</v>
      </c>
      <c r="R9" s="825"/>
    </row>
    <row r="10" spans="1:18">
      <c r="A10" s="2">
        <v>6</v>
      </c>
      <c r="B10" s="230"/>
      <c r="C10" s="824" t="s">
        <v>284</v>
      </c>
      <c r="D10" s="825"/>
      <c r="E10" s="832">
        <f t="shared" ref="E10:H10" si="0">SUM(E7:E9)</f>
        <v>4130668998</v>
      </c>
      <c r="F10" s="832">
        <f t="shared" si="0"/>
        <v>4302331383.5599995</v>
      </c>
      <c r="G10" s="832">
        <f t="shared" si="0"/>
        <v>4028434404.3400002</v>
      </c>
      <c r="H10" s="832">
        <f t="shared" si="0"/>
        <v>2084580443.52</v>
      </c>
      <c r="I10" s="826"/>
      <c r="J10" s="833">
        <f>SUM(J7:J9)</f>
        <v>3935993526.722538</v>
      </c>
      <c r="K10" s="833">
        <f>SUM(K7:K9)</f>
        <v>3935993526.722538</v>
      </c>
      <c r="L10" s="368"/>
      <c r="M10" s="833">
        <f>SUM(M7:M9)</f>
        <v>3837785148.0397205</v>
      </c>
      <c r="N10" s="833">
        <f>SUM(N7:N9)</f>
        <v>3837785148.0397205</v>
      </c>
      <c r="O10" s="368"/>
      <c r="P10" s="833">
        <f>SUM(P7:P9)</f>
        <v>3771154832.1913977</v>
      </c>
      <c r="Q10" s="833">
        <f>SUM(Q7:Q9)</f>
        <v>3771154832.1913977</v>
      </c>
      <c r="R10" s="825"/>
    </row>
    <row r="11" spans="1:18">
      <c r="A11" s="2">
        <v>7</v>
      </c>
      <c r="B11" s="230"/>
      <c r="C11" s="827" t="s">
        <v>285</v>
      </c>
      <c r="D11" s="825"/>
      <c r="E11" s="826">
        <v>0</v>
      </c>
      <c r="F11" s="826">
        <v>0</v>
      </c>
      <c r="G11" s="826">
        <v>0</v>
      </c>
      <c r="H11" s="826">
        <v>0</v>
      </c>
      <c r="I11" s="826"/>
      <c r="J11" s="826"/>
      <c r="K11" s="826"/>
      <c r="L11" s="368"/>
      <c r="M11" s="826"/>
      <c r="N11" s="826"/>
      <c r="O11" s="368"/>
      <c r="P11" s="826"/>
      <c r="Q11" s="826"/>
      <c r="R11" s="825"/>
    </row>
    <row r="12" spans="1:18" ht="16.5">
      <c r="A12" s="2">
        <v>8</v>
      </c>
      <c r="B12" s="230"/>
      <c r="C12" s="827" t="s">
        <v>286</v>
      </c>
      <c r="D12" s="825"/>
      <c r="E12" s="830">
        <v>35763783.07</v>
      </c>
      <c r="F12" s="830">
        <v>78982655.400000006</v>
      </c>
      <c r="G12" s="830">
        <v>117349618.67999999</v>
      </c>
      <c r="H12" s="830">
        <v>140729777.13</v>
      </c>
      <c r="I12" s="826"/>
      <c r="J12" s="834">
        <f>'B-7'!F15</f>
        <v>56501060.585000008</v>
      </c>
      <c r="K12" s="834">
        <f>J12</f>
        <v>56501060.585000008</v>
      </c>
      <c r="L12" s="368"/>
      <c r="M12" s="834">
        <f>'B-7'!H15</f>
        <v>56695460.585000008</v>
      </c>
      <c r="N12" s="834">
        <f>M12</f>
        <v>56695460.585000008</v>
      </c>
      <c r="O12" s="368"/>
      <c r="P12" s="834">
        <f>'B-7'!J15</f>
        <v>56370898.120000005</v>
      </c>
      <c r="Q12" s="834">
        <f>P12</f>
        <v>56370898.120000005</v>
      </c>
      <c r="R12" s="825"/>
    </row>
    <row r="13" spans="1:18">
      <c r="A13" s="2">
        <v>9</v>
      </c>
      <c r="B13" s="230"/>
      <c r="C13" s="824" t="s">
        <v>287</v>
      </c>
      <c r="D13" s="825"/>
      <c r="E13" s="832">
        <f>SUM(E10:E12)</f>
        <v>4166432781.0700002</v>
      </c>
      <c r="F13" s="832">
        <f>SUM(F10:F12)</f>
        <v>4381314038.9599991</v>
      </c>
      <c r="G13" s="832">
        <f>SUM(G10:G12)</f>
        <v>4145784023.02</v>
      </c>
      <c r="H13" s="832">
        <f>SUM(H10:H12)</f>
        <v>2225310220.6500001</v>
      </c>
      <c r="I13" s="826"/>
      <c r="J13" s="832">
        <f>SUM(J10:J12)</f>
        <v>3992494587.307538</v>
      </c>
      <c r="K13" s="832">
        <f>SUM(K10:K12)</f>
        <v>3992494587.307538</v>
      </c>
      <c r="L13" s="368"/>
      <c r="M13" s="832">
        <f>SUM(M10:M12)</f>
        <v>3894480608.6247206</v>
      </c>
      <c r="N13" s="832">
        <f>SUM(N10:N12)</f>
        <v>3894480608.6247206</v>
      </c>
      <c r="O13" s="368"/>
      <c r="P13" s="832">
        <f>SUM(P10:P12)</f>
        <v>3827525730.3113976</v>
      </c>
      <c r="Q13" s="832">
        <f>SUM(Q10:Q12)</f>
        <v>3827525730.3113976</v>
      </c>
      <c r="R13" s="825"/>
    </row>
    <row r="14" spans="1:18" ht="16.5">
      <c r="A14" s="2">
        <v>11</v>
      </c>
      <c r="B14" s="230"/>
      <c r="C14" s="827" t="s">
        <v>289</v>
      </c>
      <c r="D14" s="825"/>
      <c r="E14" s="830">
        <v>-293137365</v>
      </c>
      <c r="F14" s="830">
        <v>-311240569</v>
      </c>
      <c r="G14" s="830">
        <v>-285673383</v>
      </c>
      <c r="H14" s="830">
        <v>-207327284</v>
      </c>
      <c r="I14" s="826"/>
      <c r="J14" s="831">
        <f>-SUM('E-2 Riders'!G19,'E-2 Riders'!G24,'E-2 Riders'!G29)</f>
        <v>-279076694</v>
      </c>
      <c r="K14" s="831">
        <f>J14</f>
        <v>-279076694</v>
      </c>
      <c r="L14" s="368"/>
      <c r="M14" s="831">
        <f>J14</f>
        <v>-279076694</v>
      </c>
      <c r="N14" s="831">
        <f>J14</f>
        <v>-279076694</v>
      </c>
      <c r="O14" s="368"/>
      <c r="P14" s="831">
        <f>M14</f>
        <v>-279076694</v>
      </c>
      <c r="Q14" s="831">
        <f>N14</f>
        <v>-279076694</v>
      </c>
      <c r="R14" s="825"/>
    </row>
    <row r="15" spans="1:18">
      <c r="A15" s="2">
        <v>12</v>
      </c>
      <c r="B15" s="230"/>
      <c r="C15" s="824" t="s">
        <v>452</v>
      </c>
      <c r="D15" s="825"/>
      <c r="E15" s="832">
        <f>SUM(E13:E14)</f>
        <v>3873295416.0700002</v>
      </c>
      <c r="F15" s="832">
        <f>SUM(F13:F14)</f>
        <v>4070073469.9599991</v>
      </c>
      <c r="G15" s="832">
        <f>SUM(G13:G14)</f>
        <v>3860110640.02</v>
      </c>
      <c r="H15" s="832">
        <f>SUM(H13:H14)</f>
        <v>2017982936.6500001</v>
      </c>
      <c r="I15" s="826"/>
      <c r="J15" s="833">
        <f>SUM(J13:J14)</f>
        <v>3713417893.307538</v>
      </c>
      <c r="K15" s="833">
        <f>SUM(K13:K14)</f>
        <v>3713417893.307538</v>
      </c>
      <c r="L15" s="368"/>
      <c r="M15" s="833">
        <f>SUM(M13:M14)</f>
        <v>3615403914.6247206</v>
      </c>
      <c r="N15" s="833">
        <f>SUM(N13:N14)</f>
        <v>3615403914.6247206</v>
      </c>
      <c r="O15" s="368"/>
      <c r="P15" s="833">
        <f>SUM(P13:P14)</f>
        <v>3548449036.3113976</v>
      </c>
      <c r="Q15" s="833">
        <f>SUM(Q13:Q14)</f>
        <v>3548449036.3113976</v>
      </c>
      <c r="R15" s="825"/>
    </row>
    <row r="16" spans="1:18">
      <c r="A16" s="2"/>
      <c r="B16" s="230"/>
      <c r="C16" s="824"/>
      <c r="D16" s="825"/>
      <c r="E16" s="832"/>
      <c r="F16" s="832"/>
      <c r="G16" s="832"/>
      <c r="H16" s="832"/>
      <c r="I16" s="826"/>
      <c r="J16" s="826"/>
      <c r="K16" s="826"/>
      <c r="L16" s="368"/>
      <c r="M16" s="826"/>
      <c r="N16" s="826"/>
      <c r="O16" s="368"/>
      <c r="P16" s="826"/>
      <c r="Q16" s="826"/>
      <c r="R16" s="825"/>
    </row>
    <row r="17" spans="1:18">
      <c r="A17" s="2">
        <v>13</v>
      </c>
      <c r="B17" s="230"/>
      <c r="C17" s="824" t="s">
        <v>291</v>
      </c>
      <c r="D17" s="825"/>
      <c r="E17" s="826"/>
      <c r="F17" s="826"/>
      <c r="G17" s="826" t="s">
        <v>453</v>
      </c>
      <c r="H17" s="826"/>
      <c r="I17" s="826"/>
      <c r="J17" s="826"/>
      <c r="K17" s="826"/>
      <c r="L17" s="368"/>
      <c r="M17" s="826"/>
      <c r="N17" s="826"/>
      <c r="O17" s="368"/>
      <c r="P17" s="826"/>
      <c r="Q17" s="826"/>
      <c r="R17" s="825"/>
    </row>
    <row r="18" spans="1:18">
      <c r="A18" s="2">
        <v>14</v>
      </c>
      <c r="B18" s="230"/>
      <c r="C18" s="835" t="s">
        <v>292</v>
      </c>
      <c r="D18" s="808"/>
      <c r="E18" s="809" t="s">
        <v>7</v>
      </c>
      <c r="F18" s="809" t="s">
        <v>7</v>
      </c>
      <c r="G18" s="809" t="s">
        <v>7</v>
      </c>
      <c r="H18" s="809" t="s">
        <v>7</v>
      </c>
      <c r="I18" s="809"/>
      <c r="J18" s="809"/>
      <c r="K18" s="809"/>
      <c r="L18" s="368"/>
      <c r="M18" s="809"/>
      <c r="N18" s="809"/>
      <c r="O18" s="368"/>
      <c r="P18" s="809"/>
      <c r="Q18" s="809"/>
      <c r="R18" s="808"/>
    </row>
    <row r="19" spans="1:18">
      <c r="A19" s="2">
        <v>15</v>
      </c>
      <c r="B19" s="230"/>
      <c r="C19" s="827" t="s">
        <v>293</v>
      </c>
      <c r="D19" s="808"/>
      <c r="E19" s="826">
        <v>2361763427.6799998</v>
      </c>
      <c r="F19" s="826">
        <v>2435201138.9400001</v>
      </c>
      <c r="G19" s="826">
        <v>1986602417.9300001</v>
      </c>
      <c r="H19" s="826">
        <v>1092818237.04</v>
      </c>
      <c r="I19" s="809"/>
      <c r="J19" s="809">
        <f>'C-2 - OPTIMAL'!F21</f>
        <v>1710960028.6206896</v>
      </c>
      <c r="K19" s="809">
        <f>'C-2 - CONSTRAINED'!F21</f>
        <v>1710960028.6206896</v>
      </c>
      <c r="L19" s="368"/>
      <c r="M19" s="809">
        <f>'C-2 - OPTIMAL'!Q21</f>
        <v>1659770337.5443616</v>
      </c>
      <c r="N19" s="809">
        <f>M19</f>
        <v>1659770337.5443616</v>
      </c>
      <c r="O19" s="368"/>
      <c r="P19" s="809">
        <f>'C-2 - OPTIMAL'!AC21</f>
        <v>1623835232.7383296</v>
      </c>
      <c r="Q19" s="809">
        <f>P19</f>
        <v>1623835232.7383296</v>
      </c>
      <c r="R19" s="808"/>
    </row>
    <row r="20" spans="1:18">
      <c r="A20" s="2">
        <v>16</v>
      </c>
      <c r="B20" s="230"/>
      <c r="C20" s="827" t="s">
        <v>294</v>
      </c>
      <c r="D20" s="808"/>
      <c r="E20" s="826">
        <v>460665519.58999997</v>
      </c>
      <c r="F20" s="826">
        <v>420167683.87</v>
      </c>
      <c r="G20" s="826">
        <v>459473147.95999998</v>
      </c>
      <c r="H20" s="826">
        <v>303076413.60000002</v>
      </c>
      <c r="I20" s="809"/>
      <c r="J20" s="809">
        <f>'C-2 - OPTIMAL'!F22</f>
        <v>575691701.22000003</v>
      </c>
      <c r="K20" s="809">
        <f>'C-2 - CONSTRAINED'!F22</f>
        <v>575691701.22000003</v>
      </c>
      <c r="L20" s="368"/>
      <c r="M20" s="809">
        <f>'C-2 - OPTIMAL'!Q22</f>
        <v>558467756.85677922</v>
      </c>
      <c r="N20" s="809">
        <f>M20</f>
        <v>558467756.85677922</v>
      </c>
      <c r="O20" s="368"/>
      <c r="P20" s="809">
        <f>'C-2 - OPTIMAL'!AC22</f>
        <v>546376567.54011166</v>
      </c>
      <c r="Q20" s="809">
        <f>P20</f>
        <v>546376567.54011166</v>
      </c>
      <c r="R20" s="808"/>
    </row>
    <row r="21" spans="1:18" ht="16.5">
      <c r="A21" s="2">
        <v>17</v>
      </c>
      <c r="B21" s="230"/>
      <c r="C21" s="827" t="s">
        <v>295</v>
      </c>
      <c r="D21" s="808"/>
      <c r="E21" s="830">
        <v>74865070.629999995</v>
      </c>
      <c r="F21" s="830">
        <v>66581680.32</v>
      </c>
      <c r="G21" s="830">
        <v>67501473.950000003</v>
      </c>
      <c r="H21" s="830">
        <v>33234724.170000002</v>
      </c>
      <c r="I21" s="809"/>
      <c r="J21" s="810">
        <f>'C-2 - OPTIMAL'!F23</f>
        <v>150061570</v>
      </c>
      <c r="K21" s="809">
        <f>'C-2 - CONSTRAINED'!F23</f>
        <v>150061570</v>
      </c>
      <c r="L21" s="368"/>
      <c r="M21" s="809">
        <f>'C-2 - OPTIMAL'!Q23</f>
        <v>145571923.67148736</v>
      </c>
      <c r="N21" s="809">
        <f>M21</f>
        <v>145571923.67148736</v>
      </c>
      <c r="O21" s="368"/>
      <c r="P21" s="809">
        <f>'C-2 - OPTIMAL'!AC23</f>
        <v>142420197.06472677</v>
      </c>
      <c r="Q21" s="809">
        <f>P21</f>
        <v>142420197.06472677</v>
      </c>
      <c r="R21" s="808"/>
    </row>
    <row r="22" spans="1:18">
      <c r="A22" s="2">
        <v>18</v>
      </c>
      <c r="B22" s="230"/>
      <c r="C22" s="824" t="s">
        <v>296</v>
      </c>
      <c r="D22" s="811"/>
      <c r="E22" s="832">
        <f>SUM(E18:E21)</f>
        <v>2897294017.9000001</v>
      </c>
      <c r="F22" s="832">
        <f t="shared" ref="F22:H22" si="1">SUM(F18:F21)</f>
        <v>2921950503.1300001</v>
      </c>
      <c r="G22" s="832">
        <f t="shared" si="1"/>
        <v>2513577039.8399997</v>
      </c>
      <c r="H22" s="832">
        <f t="shared" si="1"/>
        <v>1429129374.8099999</v>
      </c>
      <c r="I22" s="809"/>
      <c r="J22" s="812">
        <f>SUM(J19:J21)</f>
        <v>2436713299.8406897</v>
      </c>
      <c r="K22" s="812">
        <f>SUM(K19:K21)</f>
        <v>2436713299.8406897</v>
      </c>
      <c r="L22" s="368"/>
      <c r="M22" s="812">
        <f>SUM(M19:M21)</f>
        <v>2363810018.072628</v>
      </c>
      <c r="N22" s="812">
        <f>SUM(N19:N21)</f>
        <v>2363810018.072628</v>
      </c>
      <c r="O22" s="368"/>
      <c r="P22" s="812">
        <f>SUM(P19:P21)</f>
        <v>2312631997.3431683</v>
      </c>
      <c r="Q22" s="812">
        <f>SUM(Q19:Q21)</f>
        <v>2312631997.3431683</v>
      </c>
      <c r="R22" s="811"/>
    </row>
    <row r="23" spans="1:18">
      <c r="A23" s="2">
        <v>19</v>
      </c>
      <c r="B23" s="230"/>
      <c r="C23" s="836" t="s">
        <v>297</v>
      </c>
      <c r="D23" s="811"/>
      <c r="E23" s="809"/>
      <c r="F23" s="809"/>
      <c r="G23" s="809"/>
      <c r="H23" s="809"/>
      <c r="I23" s="809"/>
      <c r="J23" s="813"/>
      <c r="K23" s="809"/>
      <c r="L23" s="368"/>
      <c r="M23" s="809"/>
      <c r="N23" s="809"/>
      <c r="O23" s="368"/>
      <c r="P23" s="809"/>
      <c r="Q23" s="809"/>
      <c r="R23" s="811"/>
    </row>
    <row r="24" spans="1:18">
      <c r="A24" s="2">
        <v>20</v>
      </c>
      <c r="B24" s="230"/>
      <c r="C24" s="824" t="s">
        <v>298</v>
      </c>
      <c r="D24" s="837"/>
      <c r="E24" s="832"/>
      <c r="F24" s="832"/>
      <c r="G24" s="832"/>
      <c r="H24" s="832"/>
      <c r="I24" s="832"/>
      <c r="J24" s="832"/>
      <c r="K24" s="832"/>
      <c r="L24" s="368"/>
      <c r="M24" s="832"/>
      <c r="N24" s="832"/>
      <c r="O24" s="368"/>
      <c r="P24" s="832"/>
      <c r="Q24" s="832"/>
      <c r="R24" s="837"/>
    </row>
    <row r="25" spans="1:18">
      <c r="A25" s="2">
        <v>21</v>
      </c>
      <c r="B25" s="230"/>
      <c r="C25" s="827" t="s">
        <v>299</v>
      </c>
      <c r="D25" s="837"/>
      <c r="E25" s="809">
        <v>217074819.64000002</v>
      </c>
      <c r="F25" s="809">
        <v>221164796.50999999</v>
      </c>
      <c r="G25" s="809">
        <v>173302686.22999996</v>
      </c>
      <c r="H25" s="809">
        <v>123268255.93000001</v>
      </c>
      <c r="I25" s="832"/>
      <c r="J25" s="826">
        <f>'C-2 - OPTIMAL'!L29</f>
        <v>345901386.40971309</v>
      </c>
      <c r="K25" s="826">
        <f>'C-2 - CONSTRAINED'!L29</f>
        <v>291029471.92799997</v>
      </c>
      <c r="L25" s="368"/>
      <c r="M25" s="826">
        <f>'C-2 - OPTIMAL'!W29</f>
        <v>379164341.00493717</v>
      </c>
      <c r="N25" s="826">
        <f>'C-2 - CONSTRAINED'!W29</f>
        <v>305002654.78584003</v>
      </c>
      <c r="O25" s="368"/>
      <c r="P25" s="826">
        <f>'C-2 - OPTIMAL'!AI29</f>
        <v>405471672.48733211</v>
      </c>
      <c r="Q25" s="826">
        <f>'C-2 - CONSTRAINED'!AI29</f>
        <v>320353162.61941516</v>
      </c>
      <c r="R25" s="837"/>
    </row>
    <row r="26" spans="1:18">
      <c r="A26" s="2">
        <v>22</v>
      </c>
      <c r="B26" s="230"/>
      <c r="C26" s="827" t="s">
        <v>300</v>
      </c>
      <c r="D26" s="837"/>
      <c r="E26" s="809">
        <v>478288089.65999997</v>
      </c>
      <c r="F26" s="809">
        <v>47690760.069999948</v>
      </c>
      <c r="G26" s="809">
        <v>67679289.010000005</v>
      </c>
      <c r="H26" s="809">
        <v>28459180.260000002</v>
      </c>
      <c r="I26" s="832"/>
      <c r="J26" s="826">
        <f>'C-2 - OPTIMAL'!L30</f>
        <v>138525225.43712765</v>
      </c>
      <c r="K26" s="826">
        <f>'C-2 - CONSTRAINED'!L30</f>
        <v>119248747.536</v>
      </c>
      <c r="L26" s="368"/>
      <c r="M26" s="826">
        <f>'C-2 - OPTIMAL'!W30</f>
        <v>152210205.8018342</v>
      </c>
      <c r="N26" s="826">
        <f>'C-2 - CONSTRAINED'!W30</f>
        <v>125037957.47207999</v>
      </c>
      <c r="O26" s="368"/>
      <c r="P26" s="826">
        <f>'C-2 - OPTIMAL'!AI30</f>
        <v>163048464.11630324</v>
      </c>
      <c r="Q26" s="826">
        <f>'C-2 - CONSTRAINED'!AI30</f>
        <v>131420287.50624239</v>
      </c>
      <c r="R26" s="837"/>
    </row>
    <row r="27" spans="1:18">
      <c r="A27" s="2">
        <v>23</v>
      </c>
      <c r="B27" s="230"/>
      <c r="C27" s="827" t="s">
        <v>301</v>
      </c>
      <c r="D27" s="837"/>
      <c r="E27" s="809">
        <v>31319641.219999991</v>
      </c>
      <c r="F27" s="809">
        <v>34664695.100000001</v>
      </c>
      <c r="G27" s="809">
        <v>22496185.809999999</v>
      </c>
      <c r="H27" s="809">
        <v>15591411.1</v>
      </c>
      <c r="I27" s="832"/>
      <c r="J27" s="826">
        <f>'C-2 - OPTIMAL'!L31</f>
        <v>35449402.599540055</v>
      </c>
      <c r="K27" s="826">
        <f>'C-2 - CONSTRAINED'!L31</f>
        <v>27756515.535999998</v>
      </c>
      <c r="L27" s="368"/>
      <c r="M27" s="826">
        <f>'C-2 - OPTIMAL'!W31</f>
        <v>38756343.640065253</v>
      </c>
      <c r="N27" s="826">
        <f>'C-2 - CONSTRAINED'!W31</f>
        <v>29078045.342080001</v>
      </c>
      <c r="O27" s="368"/>
      <c r="P27" s="826">
        <f>'C-2 - OPTIMAL'!AI31</f>
        <v>41460966.47527048</v>
      </c>
      <c r="Q27" s="826">
        <f>'C-2 - CONSTRAINED'!AI31</f>
        <v>30531925.832342401</v>
      </c>
      <c r="R27" s="837"/>
    </row>
    <row r="28" spans="1:18" ht="16.5">
      <c r="A28" s="2">
        <v>24</v>
      </c>
      <c r="B28" s="230"/>
      <c r="C28" s="827" t="s">
        <v>302</v>
      </c>
      <c r="D28" s="837"/>
      <c r="E28" s="838">
        <v>1244813.9400000002</v>
      </c>
      <c r="F28" s="838">
        <v>6012961.6700000009</v>
      </c>
      <c r="G28" s="838">
        <v>5228198.2299999995</v>
      </c>
      <c r="H28" s="838">
        <v>3338407.44</v>
      </c>
      <c r="I28" s="832"/>
      <c r="J28" s="834">
        <f>'C-2 - OPTIMAL'!L32</f>
        <v>0</v>
      </c>
      <c r="K28" s="834">
        <f>'C-2 - CONSTRAINED'!L32</f>
        <v>0</v>
      </c>
      <c r="L28" s="368"/>
      <c r="M28" s="834">
        <f>'C-2 - OPTIMAL'!W32</f>
        <v>0</v>
      </c>
      <c r="N28" s="834">
        <f>'C-2 - CONSTRAINED'!W32</f>
        <v>0</v>
      </c>
      <c r="O28" s="368"/>
      <c r="P28" s="834">
        <f>'C-2 - OPTIMAL'!AI32</f>
        <v>0</v>
      </c>
      <c r="Q28" s="834">
        <f>'C-2 - CONSTRAINED'!AI32</f>
        <v>0</v>
      </c>
      <c r="R28" s="837"/>
    </row>
    <row r="29" spans="1:18">
      <c r="A29" s="2">
        <v>25</v>
      </c>
      <c r="B29" s="230"/>
      <c r="C29" s="835" t="s">
        <v>303</v>
      </c>
      <c r="D29" s="811"/>
      <c r="E29" s="814">
        <f>SUM(E25:E28)</f>
        <v>727927364.46000004</v>
      </c>
      <c r="F29" s="814">
        <f>SUM(F25:F28)</f>
        <v>309533213.34999996</v>
      </c>
      <c r="G29" s="814">
        <f>SUM(G25:G28)</f>
        <v>268706359.27999997</v>
      </c>
      <c r="H29" s="814">
        <f>SUM(H25:H28)</f>
        <v>170657254.72999999</v>
      </c>
      <c r="I29" s="809"/>
      <c r="J29" s="814">
        <f>SUM(J25:J28)</f>
        <v>519876014.44638079</v>
      </c>
      <c r="K29" s="814">
        <f>SUM(K25:K28)</f>
        <v>438034735</v>
      </c>
      <c r="L29" s="368"/>
      <c r="M29" s="814">
        <f>SUM(M25:M28)</f>
        <v>570130890.44683671</v>
      </c>
      <c r="N29" s="814">
        <f>SUM(N25:N28)</f>
        <v>459118657.60000002</v>
      </c>
      <c r="O29" s="368"/>
      <c r="P29" s="814">
        <f>SUM(P25:P28)</f>
        <v>609981103.07890582</v>
      </c>
      <c r="Q29" s="814">
        <f>SUM(Q25:Q28)</f>
        <v>482305375.95799994</v>
      </c>
      <c r="R29" s="811"/>
    </row>
    <row r="30" spans="1:18">
      <c r="A30" s="2">
        <v>26</v>
      </c>
      <c r="B30" s="230"/>
      <c r="C30" s="824" t="s">
        <v>454</v>
      </c>
      <c r="D30" s="811"/>
      <c r="E30" s="809"/>
      <c r="F30" s="809"/>
      <c r="G30" s="809"/>
      <c r="H30" s="809"/>
      <c r="I30" s="809"/>
      <c r="J30" s="809"/>
      <c r="K30" s="809"/>
      <c r="L30" s="368"/>
      <c r="M30" s="809"/>
      <c r="N30" s="809"/>
      <c r="O30" s="368"/>
      <c r="P30" s="809"/>
      <c r="Q30" s="809"/>
      <c r="R30" s="811"/>
    </row>
    <row r="31" spans="1:18">
      <c r="A31" s="2">
        <v>27</v>
      </c>
      <c r="B31" s="230"/>
      <c r="C31" s="827" t="s">
        <v>305</v>
      </c>
      <c r="D31" s="811"/>
      <c r="E31" s="809">
        <v>84503631.359999999</v>
      </c>
      <c r="F31" s="809">
        <v>59455920.439999998</v>
      </c>
      <c r="G31" s="809">
        <v>32973417.110000003</v>
      </c>
      <c r="H31" s="809">
        <v>11997882.68</v>
      </c>
      <c r="I31" s="809"/>
      <c r="J31" s="809">
        <f>'C-2 - OPTIMAL'!L36</f>
        <v>85782727.969999999</v>
      </c>
      <c r="K31" s="809">
        <f>'C-2 - CONSTRAINED'!L36</f>
        <v>66358991.898000002</v>
      </c>
      <c r="L31" s="368"/>
      <c r="M31" s="809">
        <f>'C-2 - OPTIMAL'!W36</f>
        <v>80997699</v>
      </c>
      <c r="N31" s="809">
        <f>'C-2 - CONSTRAINED'!W36</f>
        <v>60496103.640000001</v>
      </c>
      <c r="O31" s="368"/>
      <c r="P31" s="809">
        <f>'C-2 - OPTIMAL'!AI36</f>
        <v>84792506.825000003</v>
      </c>
      <c r="Q31" s="809">
        <f>'C-2 - CONSTRAINED'!AI36</f>
        <v>62578959.562250003</v>
      </c>
      <c r="R31" s="811"/>
    </row>
    <row r="32" spans="1:18">
      <c r="A32" s="2">
        <v>28</v>
      </c>
      <c r="B32" s="230"/>
      <c r="C32" s="827" t="s">
        <v>306</v>
      </c>
      <c r="D32" s="811"/>
      <c r="E32" s="809">
        <v>27821429.450000003</v>
      </c>
      <c r="F32" s="809">
        <v>27053246.25</v>
      </c>
      <c r="G32" s="809">
        <v>17335911.57</v>
      </c>
      <c r="H32" s="809">
        <v>12351614.75</v>
      </c>
      <c r="I32" s="809"/>
      <c r="J32" s="809">
        <f>'C-2 - OPTIMAL'!L37</f>
        <v>32956755</v>
      </c>
      <c r="K32" s="809">
        <f>'C-2 - CONSTRAINED'!L37</f>
        <v>19557896</v>
      </c>
      <c r="L32" s="368"/>
      <c r="M32" s="809">
        <f>'C-2 - OPTIMAL'!W37</f>
        <v>37260970</v>
      </c>
      <c r="N32" s="809">
        <f>'C-2 - CONSTRAINED'!W37</f>
        <v>20454216</v>
      </c>
      <c r="O32" s="368"/>
      <c r="P32" s="809">
        <f>'C-2 - OPTIMAL'!AI37</f>
        <v>40037231</v>
      </c>
      <c r="Q32" s="809">
        <f>'C-2 - CONSTRAINED'!AI37</f>
        <v>20587372</v>
      </c>
      <c r="R32" s="811"/>
    </row>
    <row r="33" spans="1:18">
      <c r="A33" s="2">
        <v>29</v>
      </c>
      <c r="B33" s="230"/>
      <c r="C33" s="827" t="s">
        <v>307</v>
      </c>
      <c r="D33" s="811"/>
      <c r="E33" s="809">
        <v>17642952.039999999</v>
      </c>
      <c r="F33" s="809">
        <v>16350163.209999999</v>
      </c>
      <c r="G33" s="809">
        <v>19091917.379999999</v>
      </c>
      <c r="H33" s="809">
        <v>8927130</v>
      </c>
      <c r="I33" s="809"/>
      <c r="J33" s="809">
        <f>'C-2 - OPTIMAL'!L38</f>
        <v>67993442</v>
      </c>
      <c r="K33" s="809">
        <f>'C-2 - CONSTRAINED'!L38</f>
        <v>67993442</v>
      </c>
      <c r="L33" s="368"/>
      <c r="M33" s="809">
        <f>'C-2 - OPTIMAL'!W38</f>
        <v>74158614</v>
      </c>
      <c r="N33" s="809">
        <f>'C-2 - CONSTRAINED'!W38</f>
        <v>74148114</v>
      </c>
      <c r="O33" s="368"/>
      <c r="P33" s="809">
        <f>'C-2 - OPTIMAL'!AI38</f>
        <v>75359045</v>
      </c>
      <c r="Q33" s="809">
        <f>'C-2 - CONSTRAINED'!AI38</f>
        <v>75348020</v>
      </c>
      <c r="R33" s="811"/>
    </row>
    <row r="34" spans="1:18">
      <c r="A34" s="2">
        <v>30</v>
      </c>
      <c r="B34" s="230"/>
      <c r="C34" s="827" t="s">
        <v>308</v>
      </c>
      <c r="D34" s="811"/>
      <c r="E34" s="809">
        <v>4166187.2</v>
      </c>
      <c r="F34" s="809">
        <v>6607113.1799999997</v>
      </c>
      <c r="G34" s="809">
        <v>6710554.3700000001</v>
      </c>
      <c r="H34" s="809">
        <v>4668506.66</v>
      </c>
      <c r="I34" s="809"/>
      <c r="J34" s="809">
        <f>'C-2 - OPTIMAL'!L39</f>
        <v>0</v>
      </c>
      <c r="K34" s="809">
        <f>'C-2 - CONSTRAINED'!L39</f>
        <v>0</v>
      </c>
      <c r="L34" s="368"/>
      <c r="M34" s="809">
        <f>'C-2 - OPTIMAL'!W39</f>
        <v>0</v>
      </c>
      <c r="N34" s="809">
        <f>'C-2 - CONSTRAINED'!W39</f>
        <v>0</v>
      </c>
      <c r="O34" s="368"/>
      <c r="P34" s="809">
        <f>'C-2 - OPTIMAL'!AI39</f>
        <v>0</v>
      </c>
      <c r="Q34" s="809">
        <f>'C-2 - CONSTRAINED'!AI39</f>
        <v>0</v>
      </c>
      <c r="R34" s="811"/>
    </row>
    <row r="35" spans="1:18">
      <c r="A35" s="2">
        <v>31</v>
      </c>
      <c r="B35" s="230"/>
      <c r="C35" s="827" t="s">
        <v>309</v>
      </c>
      <c r="D35" s="811"/>
      <c r="E35" s="809">
        <v>13292620.160000002</v>
      </c>
      <c r="F35" s="809">
        <v>20727857.390000001</v>
      </c>
      <c r="G35" s="809">
        <v>9185573.0700000003</v>
      </c>
      <c r="H35" s="809">
        <v>7329477.4100000001</v>
      </c>
      <c r="I35" s="809"/>
      <c r="J35" s="809">
        <f>'C-2 - OPTIMAL'!L40</f>
        <v>14607371</v>
      </c>
      <c r="K35" s="809">
        <f>'C-2 - CONSTRAINED'!L40</f>
        <v>14607371</v>
      </c>
      <c r="L35" s="368"/>
      <c r="M35" s="809">
        <f>'C-2 - OPTIMAL'!W40</f>
        <v>15188129.75</v>
      </c>
      <c r="N35" s="809">
        <f>'C-2 - CONSTRAINED'!W40</f>
        <v>15337739.75</v>
      </c>
      <c r="O35" s="368"/>
      <c r="P35" s="809">
        <f>'C-2 - OPTIMAL'!AI40</f>
        <v>15793437.4375</v>
      </c>
      <c r="Q35" s="809">
        <f>'C-2 - CONSTRAINED'!AI40</f>
        <v>16104626.4375</v>
      </c>
      <c r="R35" s="811"/>
    </row>
    <row r="36" spans="1:18">
      <c r="A36" s="2">
        <v>32</v>
      </c>
      <c r="B36" s="230"/>
      <c r="C36" s="827" t="s">
        <v>310</v>
      </c>
      <c r="D36" s="811"/>
      <c r="E36" s="809">
        <v>9833243.25</v>
      </c>
      <c r="F36" s="809">
        <v>23204300.18</v>
      </c>
      <c r="G36" s="809">
        <v>28073597.149999999</v>
      </c>
      <c r="H36" s="809">
        <v>12951229</v>
      </c>
      <c r="I36" s="809"/>
      <c r="J36" s="809">
        <f>'C-2 - OPTIMAL'!L41</f>
        <v>65729318.75</v>
      </c>
      <c r="K36" s="809">
        <f>'C-2 - CONSTRAINED'!L41</f>
        <v>57225916</v>
      </c>
      <c r="L36" s="368"/>
      <c r="M36" s="809">
        <f>'C-2 - OPTIMAL'!W41</f>
        <v>94754979.349999994</v>
      </c>
      <c r="N36" s="809">
        <f>'C-2 - CONSTRAINED'!W41</f>
        <v>88785738</v>
      </c>
      <c r="O36" s="368"/>
      <c r="P36" s="809">
        <f>'C-2 - OPTIMAL'!AI41</f>
        <v>113659613.11</v>
      </c>
      <c r="Q36" s="809">
        <f>'C-2 - CONSTRAINED'!AI41</f>
        <v>107222346.75</v>
      </c>
      <c r="R36" s="811"/>
    </row>
    <row r="37" spans="1:18">
      <c r="A37" s="2">
        <v>33</v>
      </c>
      <c r="B37" s="230"/>
      <c r="C37" s="827" t="s">
        <v>311</v>
      </c>
      <c r="D37" s="811"/>
      <c r="E37" s="809">
        <v>65965.19</v>
      </c>
      <c r="F37" s="809">
        <v>-872031.66</v>
      </c>
      <c r="G37" s="809">
        <v>651.5</v>
      </c>
      <c r="H37" s="809">
        <v>541.15</v>
      </c>
      <c r="I37" s="809"/>
      <c r="J37" s="809">
        <f>'C-2 - OPTIMAL'!L42</f>
        <v>2050000</v>
      </c>
      <c r="K37" s="809">
        <f>'C-2 - CONSTRAINED'!L42</f>
        <v>2050000</v>
      </c>
      <c r="L37" s="368"/>
      <c r="M37" s="809">
        <f>'C-2 - OPTIMAL'!W42</f>
        <v>2152500</v>
      </c>
      <c r="N37" s="809">
        <f>'C-2 - CONSTRAINED'!W42</f>
        <v>2152500</v>
      </c>
      <c r="O37" s="368"/>
      <c r="P37" s="809">
        <f>'C-2 - OPTIMAL'!AI42</f>
        <v>2260125</v>
      </c>
      <c r="Q37" s="809">
        <f>'C-2 - CONSTRAINED'!AI42</f>
        <v>2260125</v>
      </c>
      <c r="R37" s="811"/>
    </row>
    <row r="38" spans="1:18">
      <c r="A38" s="2">
        <v>34</v>
      </c>
      <c r="B38" s="230"/>
      <c r="C38" s="827" t="s">
        <v>312</v>
      </c>
      <c r="D38" s="811"/>
      <c r="E38" s="809">
        <v>28481760.159999996</v>
      </c>
      <c r="F38" s="809">
        <v>29335353.909999996</v>
      </c>
      <c r="G38" s="809">
        <v>7689508.7199999997</v>
      </c>
      <c r="H38" s="809">
        <v>5269360.88</v>
      </c>
      <c r="I38" s="809"/>
      <c r="J38" s="809">
        <f>'C-2 - OPTIMAL'!L43</f>
        <v>44255632</v>
      </c>
      <c r="K38" s="809">
        <f>'C-2 - CONSTRAINED'!L43</f>
        <v>37976344</v>
      </c>
      <c r="L38" s="368"/>
      <c r="M38" s="809">
        <f>'C-2 - OPTIMAL'!W43</f>
        <v>45253144.879999995</v>
      </c>
      <c r="N38" s="809">
        <f>'C-2 - CONSTRAINED'!W43</f>
        <v>38948820.879999995</v>
      </c>
      <c r="O38" s="368"/>
      <c r="P38" s="809">
        <f>'C-2 - OPTIMAL'!AI43</f>
        <v>46466292.439999998</v>
      </c>
      <c r="Q38" s="809">
        <f>'C-2 - CONSTRAINED'!AI43</f>
        <v>39969354.439999998</v>
      </c>
      <c r="R38" s="811"/>
    </row>
    <row r="39" spans="1:18">
      <c r="A39" s="2">
        <v>35</v>
      </c>
      <c r="B39" s="230"/>
      <c r="C39" s="827" t="s">
        <v>313</v>
      </c>
      <c r="D39" s="811"/>
      <c r="E39" s="809">
        <v>14336552.080000002</v>
      </c>
      <c r="F39" s="809">
        <v>6087354.8200000022</v>
      </c>
      <c r="G39" s="809">
        <v>9130153.3000000007</v>
      </c>
      <c r="H39" s="809">
        <v>3578281</v>
      </c>
      <c r="I39" s="809"/>
      <c r="J39" s="809">
        <f>'C-2 - OPTIMAL'!L44</f>
        <v>22432197</v>
      </c>
      <c r="K39" s="809">
        <f>'C-2 - CONSTRAINED'!L44</f>
        <v>17801324</v>
      </c>
      <c r="L39" s="368"/>
      <c r="M39" s="809">
        <f>'C-2 - OPTIMAL'!W44</f>
        <v>23475283</v>
      </c>
      <c r="N39" s="809">
        <f>'C-2 - CONSTRAINED'!W44</f>
        <v>18578890</v>
      </c>
      <c r="O39" s="368"/>
      <c r="P39" s="809">
        <f>'C-2 - OPTIMAL'!AI44</f>
        <v>24973827</v>
      </c>
      <c r="Q39" s="809">
        <f>'C-2 - CONSTRAINED'!AI44</f>
        <v>19792835</v>
      </c>
      <c r="R39" s="811"/>
    </row>
    <row r="40" spans="1:18">
      <c r="A40" s="2">
        <v>36</v>
      </c>
      <c r="B40" s="230"/>
      <c r="C40" s="827" t="s">
        <v>314</v>
      </c>
      <c r="D40" s="811"/>
      <c r="E40" s="809">
        <v>2188840.96</v>
      </c>
      <c r="F40" s="809">
        <v>57501.199999999983</v>
      </c>
      <c r="G40" s="809">
        <v>195684.78000000003</v>
      </c>
      <c r="H40" s="809">
        <v>46394</v>
      </c>
      <c r="I40" s="809"/>
      <c r="J40" s="809">
        <f>'C-2 - OPTIMAL'!L45</f>
        <v>3559177</v>
      </c>
      <c r="K40" s="809">
        <f>'C-2 - CONSTRAINED'!L45</f>
        <v>2881177</v>
      </c>
      <c r="L40" s="368"/>
      <c r="M40" s="809">
        <f>'C-2 - OPTIMAL'!W45</f>
        <v>2966872</v>
      </c>
      <c r="N40" s="809">
        <f>'C-2 - CONSTRAINED'!W45</f>
        <v>2983636</v>
      </c>
      <c r="O40" s="368"/>
      <c r="P40" s="809">
        <f>'C-2 - OPTIMAL'!AI45</f>
        <v>3120702</v>
      </c>
      <c r="Q40" s="809">
        <f>'C-2 - CONSTRAINED'!AI45</f>
        <v>3091218</v>
      </c>
      <c r="R40" s="811"/>
    </row>
    <row r="41" spans="1:18">
      <c r="A41" s="2">
        <f t="shared" ref="A41:A65" si="2">IF(C41&lt;&gt;"",MAX(A38:A40)+1,"")</f>
        <v>37</v>
      </c>
      <c r="B41" s="230"/>
      <c r="C41" s="827" t="s">
        <v>315</v>
      </c>
      <c r="D41" s="811"/>
      <c r="E41" s="809">
        <v>84348176.25999999</v>
      </c>
      <c r="F41" s="809">
        <v>191541936.79000008</v>
      </c>
      <c r="G41" s="809">
        <v>397707953.60000002</v>
      </c>
      <c r="H41" s="809">
        <v>211580771</v>
      </c>
      <c r="I41" s="809"/>
      <c r="J41" s="809">
        <f>'C-2 - OPTIMAL'!L46</f>
        <v>292934786.44</v>
      </c>
      <c r="K41" s="809">
        <f>'C-2 - CONSTRAINED'!L46</f>
        <v>229319025.345</v>
      </c>
      <c r="L41" s="368"/>
      <c r="M41" s="809">
        <f>'C-2 - OPTIMAL'!W46</f>
        <v>331358126.4325</v>
      </c>
      <c r="N41" s="809">
        <f>'C-2 - CONSTRAINED'!W46</f>
        <v>264725888.68274999</v>
      </c>
      <c r="O41" s="368"/>
      <c r="P41" s="809">
        <f>'C-2 - OPTIMAL'!AI46</f>
        <v>354957052.09612501</v>
      </c>
      <c r="Q41" s="809">
        <f>'C-2 - CONSTRAINED'!AI46</f>
        <v>285373517.36688751</v>
      </c>
      <c r="R41" s="811"/>
    </row>
    <row r="42" spans="1:18">
      <c r="A42" s="2">
        <f t="shared" si="2"/>
        <v>38</v>
      </c>
      <c r="B42" s="230"/>
      <c r="C42" s="827" t="s">
        <v>316</v>
      </c>
      <c r="D42" s="811"/>
      <c r="E42" s="809">
        <v>50925745.409999996</v>
      </c>
      <c r="F42" s="809">
        <v>62746188.530000098</v>
      </c>
      <c r="G42" s="809">
        <v>55720887.349999994</v>
      </c>
      <c r="H42" s="809">
        <v>25629665</v>
      </c>
      <c r="I42" s="809"/>
      <c r="J42" s="809">
        <f>'C-2 - OPTIMAL'!L47</f>
        <v>125000000</v>
      </c>
      <c r="K42" s="809">
        <f>'C-2 - CONSTRAINED'!L47</f>
        <v>70700000</v>
      </c>
      <c r="L42" s="368"/>
      <c r="M42" s="809">
        <f>'C-2 - OPTIMAL'!W47</f>
        <v>131250000</v>
      </c>
      <c r="N42" s="809">
        <f>'C-2 - CONSTRAINED'!W47</f>
        <v>125000000</v>
      </c>
      <c r="O42" s="368"/>
      <c r="P42" s="809">
        <f>'C-2 - OPTIMAL'!AI47</f>
        <v>137812500</v>
      </c>
      <c r="Q42" s="809">
        <f>'C-2 - CONSTRAINED'!AI47</f>
        <v>131250000</v>
      </c>
      <c r="R42" s="811"/>
    </row>
    <row r="43" spans="1:18">
      <c r="A43" s="2">
        <f t="shared" si="2"/>
        <v>39</v>
      </c>
      <c r="B43" s="230"/>
      <c r="C43" s="827" t="s">
        <v>317</v>
      </c>
      <c r="D43" s="811"/>
      <c r="E43" s="809">
        <v>4744973.9000000004</v>
      </c>
      <c r="F43" s="809">
        <v>7079710.9100000001</v>
      </c>
      <c r="G43" s="809">
        <v>1967019.71</v>
      </c>
      <c r="H43" s="809">
        <v>49138.75</v>
      </c>
      <c r="I43" s="809"/>
      <c r="J43" s="809">
        <f>'C-2 - OPTIMAL'!L48</f>
        <v>5172500</v>
      </c>
      <c r="K43" s="809">
        <f>'C-2 - CONSTRAINED'!L48</f>
        <v>5172500</v>
      </c>
      <c r="L43" s="368"/>
      <c r="M43" s="809">
        <f>'C-2 - OPTIMAL'!W48</f>
        <v>5206625</v>
      </c>
      <c r="N43" s="809">
        <f>'C-2 - CONSTRAINED'!W48</f>
        <v>5206625</v>
      </c>
      <c r="O43" s="368"/>
      <c r="P43" s="809">
        <f>'C-2 - OPTIMAL'!AI48</f>
        <v>5206625</v>
      </c>
      <c r="Q43" s="809">
        <f>'C-2 - CONSTRAINED'!AI48</f>
        <v>5206625</v>
      </c>
      <c r="R43" s="811"/>
    </row>
    <row r="44" spans="1:18">
      <c r="A44" s="2">
        <f t="shared" si="2"/>
        <v>40</v>
      </c>
      <c r="B44" s="230"/>
      <c r="C44" s="827" t="s">
        <v>318</v>
      </c>
      <c r="D44" s="811"/>
      <c r="E44" s="809">
        <v>-509751.75</v>
      </c>
      <c r="F44" s="809">
        <v>5213592.6399999997</v>
      </c>
      <c r="G44" s="809">
        <v>1400152.22</v>
      </c>
      <c r="H44" s="809">
        <v>0</v>
      </c>
      <c r="I44" s="809"/>
      <c r="J44" s="809">
        <f>'C-2 - OPTIMAL'!L49</f>
        <v>800000</v>
      </c>
      <c r="K44" s="809">
        <f>'C-2 - CONSTRAINED'!L49</f>
        <v>800000</v>
      </c>
      <c r="L44" s="368"/>
      <c r="M44" s="809">
        <f>'C-2 - OPTIMAL'!W49</f>
        <v>825000</v>
      </c>
      <c r="N44" s="809">
        <f>'C-2 - CONSTRAINED'!W49</f>
        <v>825000</v>
      </c>
      <c r="O44" s="368"/>
      <c r="P44" s="809">
        <f>'C-2 - OPTIMAL'!AI49</f>
        <v>850200</v>
      </c>
      <c r="Q44" s="809">
        <f>'C-2 - CONSTRAINED'!AI49</f>
        <v>850950</v>
      </c>
      <c r="R44" s="811"/>
    </row>
    <row r="45" spans="1:18">
      <c r="A45" s="2">
        <f t="shared" si="2"/>
        <v>41</v>
      </c>
      <c r="B45" s="230"/>
      <c r="C45" s="827" t="s">
        <v>455</v>
      </c>
      <c r="D45" s="811"/>
      <c r="E45" s="809">
        <v>0</v>
      </c>
      <c r="F45" s="809">
        <v>0</v>
      </c>
      <c r="G45" s="809">
        <v>0</v>
      </c>
      <c r="H45" s="809">
        <v>0</v>
      </c>
      <c r="I45" s="809"/>
      <c r="J45" s="809">
        <f>'C-2 - OPTIMAL'!L50</f>
        <v>30256411.579999998</v>
      </c>
      <c r="K45" s="809">
        <f>'C-2 - CONSTRAINED'!L50</f>
        <v>22692308.684999999</v>
      </c>
      <c r="L45" s="368"/>
      <c r="M45" s="809">
        <f>'C-2 - OPTIMAL'!W50</f>
        <v>31450746.938000001</v>
      </c>
      <c r="N45" s="809">
        <f>'C-2 - CONSTRAINED'!W50</f>
        <v>23588060.203499999</v>
      </c>
      <c r="O45" s="368"/>
      <c r="P45" s="809">
        <f>'C-2 - OPTIMAL'!AI50</f>
        <v>33295260.624299999</v>
      </c>
      <c r="Q45" s="809">
        <f>'C-2 - CONSTRAINED'!AI50</f>
        <v>24971445.468224999</v>
      </c>
      <c r="R45" s="811"/>
    </row>
    <row r="46" spans="1:18">
      <c r="A46" s="2">
        <f t="shared" si="2"/>
        <v>42</v>
      </c>
      <c r="B46" s="230"/>
      <c r="C46" s="827" t="s">
        <v>319</v>
      </c>
      <c r="D46" s="811"/>
      <c r="E46" s="809">
        <v>0</v>
      </c>
      <c r="F46" s="809">
        <v>0</v>
      </c>
      <c r="G46" s="809">
        <v>0</v>
      </c>
      <c r="H46" s="809">
        <v>0</v>
      </c>
      <c r="I46" s="809"/>
      <c r="J46" s="809">
        <f>'C-2 - OPTIMAL'!L51</f>
        <v>0</v>
      </c>
      <c r="K46" s="809">
        <f>'C-2 - CONSTRAINED'!L51</f>
        <v>0</v>
      </c>
      <c r="L46" s="368"/>
      <c r="M46" s="809">
        <f>'C-2 - OPTIMAL'!W51</f>
        <v>0</v>
      </c>
      <c r="N46" s="809">
        <f>'C-2 - CONSTRAINED'!W51</f>
        <v>0</v>
      </c>
      <c r="O46" s="368"/>
      <c r="P46" s="809">
        <f>'C-2 - OPTIMAL'!AI51</f>
        <v>0</v>
      </c>
      <c r="Q46" s="809">
        <f>'C-2 - CONSTRAINED'!AI51</f>
        <v>0</v>
      </c>
      <c r="R46" s="811"/>
    </row>
    <row r="47" spans="1:18">
      <c r="A47" s="2">
        <f t="shared" si="2"/>
        <v>43</v>
      </c>
      <c r="B47" s="230"/>
      <c r="C47" s="827" t="s">
        <v>320</v>
      </c>
      <c r="D47" s="811"/>
      <c r="E47" s="809">
        <v>101126021.04000001</v>
      </c>
      <c r="F47" s="809">
        <v>48208140.450000003</v>
      </c>
      <c r="G47" s="809">
        <v>58586319.359999999</v>
      </c>
      <c r="H47" s="809">
        <v>-28388484.25</v>
      </c>
      <c r="I47" s="809"/>
      <c r="J47" s="809">
        <f>'C-2 - OPTIMAL'!L52</f>
        <v>18700000</v>
      </c>
      <c r="K47" s="809">
        <f>'C-2 - CONSTRAINED'!L52</f>
        <v>18700000</v>
      </c>
      <c r="L47" s="368"/>
      <c r="M47" s="809">
        <f>'C-2 - OPTIMAL'!W52</f>
        <v>11150000</v>
      </c>
      <c r="N47" s="809">
        <f>'C-2 - CONSTRAINED'!W52</f>
        <v>11150000</v>
      </c>
      <c r="O47" s="368"/>
      <c r="P47" s="809">
        <f>'C-2 - OPTIMAL'!AI52</f>
        <v>7050000</v>
      </c>
      <c r="Q47" s="809">
        <f>'C-2 - CONSTRAINED'!AI52</f>
        <v>7050000</v>
      </c>
      <c r="R47" s="811"/>
    </row>
    <row r="48" spans="1:18">
      <c r="A48" s="2">
        <f t="shared" si="2"/>
        <v>44</v>
      </c>
      <c r="B48" s="230"/>
      <c r="C48" s="827" t="s">
        <v>321</v>
      </c>
      <c r="D48" s="811"/>
      <c r="E48" s="809">
        <v>0</v>
      </c>
      <c r="F48" s="809">
        <v>0</v>
      </c>
      <c r="G48" s="809">
        <v>0</v>
      </c>
      <c r="H48" s="809">
        <v>0</v>
      </c>
      <c r="I48" s="809"/>
      <c r="J48" s="809">
        <f>'C-2 - OPTIMAL'!L53</f>
        <v>32964202.225740001</v>
      </c>
      <c r="K48" s="809">
        <f>'C-2 - CONSTRAINED'!L53</f>
        <v>32964202.225740001</v>
      </c>
      <c r="L48" s="368"/>
      <c r="M48" s="809">
        <f>'C-2 - OPTIMAL'!W53</f>
        <v>19778521.335444</v>
      </c>
      <c r="N48" s="809">
        <f>'C-2 - CONSTRAINED'!W53</f>
        <v>19778521.335444</v>
      </c>
      <c r="O48" s="368"/>
      <c r="P48" s="809">
        <f>'C-2 - OPTIMAL'!AI53</f>
        <v>8241050.5564350002</v>
      </c>
      <c r="Q48" s="809">
        <f>'C-2 - CONSTRAINED'!AI53</f>
        <v>8241050.5564350002</v>
      </c>
      <c r="R48" s="811"/>
    </row>
    <row r="49" spans="1:18">
      <c r="A49" s="2">
        <f t="shared" si="2"/>
        <v>45</v>
      </c>
      <c r="B49" s="230"/>
      <c r="C49" s="827" t="s">
        <v>322</v>
      </c>
      <c r="D49" s="811"/>
      <c r="E49" s="809">
        <v>0</v>
      </c>
      <c r="F49" s="809">
        <v>0</v>
      </c>
      <c r="G49" s="809">
        <v>0</v>
      </c>
      <c r="H49" s="809">
        <v>0</v>
      </c>
      <c r="I49" s="809"/>
      <c r="J49" s="809">
        <f>'C-2 - OPTIMAL'!L54</f>
        <v>0</v>
      </c>
      <c r="K49" s="809">
        <f>'C-2 - CONSTRAINED'!L54</f>
        <v>0</v>
      </c>
      <c r="L49" s="368"/>
      <c r="M49" s="809">
        <f>'C-2 - OPTIMAL'!W54</f>
        <v>0</v>
      </c>
      <c r="N49" s="809">
        <f>'C-2 - CONSTRAINED'!W54</f>
        <v>0</v>
      </c>
      <c r="O49" s="368"/>
      <c r="P49" s="809">
        <f>'C-2 - OPTIMAL'!AI54</f>
        <v>0</v>
      </c>
      <c r="Q49" s="809">
        <f>'C-2 - CONSTRAINED'!AI54</f>
        <v>0</v>
      </c>
      <c r="R49" s="811"/>
    </row>
    <row r="50" spans="1:18" ht="16.5">
      <c r="A50" s="2">
        <f t="shared" si="2"/>
        <v>46</v>
      </c>
      <c r="B50" s="230"/>
      <c r="C50" s="827" t="s">
        <v>456</v>
      </c>
      <c r="D50" s="811"/>
      <c r="E50" s="838">
        <v>21901864.040000003</v>
      </c>
      <c r="F50" s="838">
        <v>27169671.690000001</v>
      </c>
      <c r="G50" s="838">
        <v>16679786.199999999</v>
      </c>
      <c r="H50" s="838">
        <v>-31131.179999999935</v>
      </c>
      <c r="I50" s="809"/>
      <c r="J50" s="815">
        <f>'C-2 - OPTIMAL'!L55</f>
        <v>46482075.200000003</v>
      </c>
      <c r="K50" s="815">
        <f>'C-2 - CONSTRAINED'!L55</f>
        <v>42815063.200000003</v>
      </c>
      <c r="L50" s="368"/>
      <c r="M50" s="815">
        <f>'C-2 - OPTIMAL'!W55</f>
        <v>47596134.140000001</v>
      </c>
      <c r="N50" s="815">
        <f>'C-2 - CONSTRAINED'!W55</f>
        <v>44051446.789999999</v>
      </c>
      <c r="O50" s="368"/>
      <c r="P50" s="815">
        <f>'C-2 - OPTIMAL'!AI55</f>
        <v>49872267.057700001</v>
      </c>
      <c r="Q50" s="815">
        <f>'C-2 - CONSTRAINED'!AI55</f>
        <v>46310270.268199995</v>
      </c>
      <c r="R50" s="811"/>
    </row>
    <row r="51" spans="1:18">
      <c r="A51" s="2">
        <f t="shared" si="2"/>
        <v>47</v>
      </c>
      <c r="B51" s="230"/>
      <c r="C51" s="824" t="s">
        <v>457</v>
      </c>
      <c r="D51" s="839"/>
      <c r="E51" s="832">
        <f>SUM(E31:E50)</f>
        <v>464870210.75</v>
      </c>
      <c r="F51" s="832">
        <f t="shared" ref="F51:H51" si="3">SUM(F31:F50)</f>
        <v>529966019.93000013</v>
      </c>
      <c r="G51" s="832">
        <f>SUM(G31:G50)</f>
        <v>662449087.3900001</v>
      </c>
      <c r="H51" s="832">
        <f t="shared" si="3"/>
        <v>275960376.84999996</v>
      </c>
      <c r="I51" s="832"/>
      <c r="J51" s="832">
        <f>SUM(J31:J50)</f>
        <v>891676596.16574013</v>
      </c>
      <c r="K51" s="832">
        <f>SUM(K31:K50)</f>
        <v>709615561.35373998</v>
      </c>
      <c r="L51" s="368"/>
      <c r="M51" s="832">
        <f>SUM(M31:M50)</f>
        <v>954823345.82594395</v>
      </c>
      <c r="N51" s="832">
        <f>SUM(N31:N50)</f>
        <v>816211300.28169394</v>
      </c>
      <c r="O51" s="368"/>
      <c r="P51" s="832">
        <f>SUM(P31:P50)</f>
        <v>1003747735.14706</v>
      </c>
      <c r="Q51" s="832">
        <f>SUM(Q31:Q50)</f>
        <v>856208715.84949756</v>
      </c>
      <c r="R51" s="839"/>
    </row>
    <row r="52" spans="1:18">
      <c r="A52" s="2" t="str">
        <f t="shared" si="2"/>
        <v/>
      </c>
      <c r="B52" s="230"/>
      <c r="C52" s="824"/>
      <c r="D52" s="839"/>
      <c r="E52" s="832"/>
      <c r="F52" s="832"/>
      <c r="G52" s="832"/>
      <c r="H52" s="832"/>
      <c r="I52" s="832"/>
      <c r="J52" s="832"/>
      <c r="K52" s="832"/>
      <c r="L52" s="368"/>
      <c r="M52" s="832"/>
      <c r="N52" s="832"/>
      <c r="O52" s="368"/>
      <c r="P52" s="832"/>
      <c r="Q52" s="832"/>
      <c r="R52" s="839"/>
    </row>
    <row r="53" spans="1:18">
      <c r="A53" s="2">
        <f t="shared" si="2"/>
        <v>48</v>
      </c>
      <c r="B53" s="230"/>
      <c r="C53" s="827" t="s">
        <v>458</v>
      </c>
      <c r="D53" s="839"/>
      <c r="E53" s="832">
        <v>60359745.840000004</v>
      </c>
      <c r="F53" s="832">
        <v>66802525.82</v>
      </c>
      <c r="G53" s="832">
        <v>64184669.039999999</v>
      </c>
      <c r="H53" s="832">
        <v>29795399.75</v>
      </c>
      <c r="I53" s="832"/>
      <c r="J53" s="826">
        <f>'C-2 - OPTIMAL'!L60</f>
        <v>6342000</v>
      </c>
      <c r="K53" s="826">
        <f>+'C-2 - CONSTRAINED'!L60</f>
        <v>6342000</v>
      </c>
      <c r="L53" s="368"/>
      <c r="M53" s="826">
        <f>+'C-2 - OPTIMAL'!W60</f>
        <v>6659100</v>
      </c>
      <c r="N53" s="826">
        <f>+'C-2 - CONSTRAINED'!W60</f>
        <v>6659100</v>
      </c>
      <c r="O53" s="368"/>
      <c r="P53" s="826">
        <f>'C-2 - OPTIMAL'!AI60</f>
        <v>6992055</v>
      </c>
      <c r="Q53" s="826">
        <f>'C-2 - CONSTRAINED'!AI60</f>
        <v>6992055</v>
      </c>
      <c r="R53" s="839"/>
    </row>
    <row r="54" spans="1:18">
      <c r="A54" s="2">
        <f t="shared" si="2"/>
        <v>49</v>
      </c>
      <c r="B54" s="230"/>
      <c r="C54" s="827" t="s">
        <v>323</v>
      </c>
      <c r="D54" s="839"/>
      <c r="E54" s="832"/>
      <c r="F54" s="832"/>
      <c r="G54" s="832"/>
      <c r="H54" s="832"/>
      <c r="I54" s="832"/>
      <c r="J54" s="809">
        <f>'C-2 - OPTIMAL'!L70-'C-2 - OPTIMAL'!L64</f>
        <v>348257302.52721107</v>
      </c>
      <c r="K54" s="809">
        <f>'C-2 - CONSTRAINED'!L70-'C-2 - CONSTRAINED'!W64</f>
        <v>310509633.02922451</v>
      </c>
      <c r="L54" s="368"/>
      <c r="M54" s="809">
        <f>'C-2 - OPTIMAL'!W70-'C-2 - OPTIMAL'!W64</f>
        <v>289510983.195252</v>
      </c>
      <c r="N54" s="809">
        <f>'C-2 - CONSTRAINED'!W70-'C-2 - CONSTRAINED'!W64</f>
        <v>280517332.45168102</v>
      </c>
      <c r="O54" s="368"/>
      <c r="P54" s="809">
        <f>'C-2 - OPTIMAL'!AI70-'C-2 - OPTIMAL'!AI64</f>
        <v>209816551.69927344</v>
      </c>
      <c r="Q54" s="809">
        <f>'C-2 - CONSTRAINED'!AI70-'C-2 - CONSTRAINED'!AI64</f>
        <v>199012642.54981273</v>
      </c>
      <c r="R54" s="839"/>
    </row>
    <row r="55" spans="1:18" ht="16.5">
      <c r="A55" s="2">
        <f t="shared" si="2"/>
        <v>50</v>
      </c>
      <c r="B55" s="230"/>
      <c r="C55" s="827" t="s">
        <v>288</v>
      </c>
      <c r="D55" s="825"/>
      <c r="E55" s="830">
        <v>147341943.31</v>
      </c>
      <c r="F55" s="830">
        <v>64426158.909999996</v>
      </c>
      <c r="G55" s="830">
        <v>137287845.11000001</v>
      </c>
      <c r="H55" s="830">
        <v>42854634.600000001</v>
      </c>
      <c r="I55" s="826"/>
      <c r="J55" s="834">
        <f>'C-2 - OPTIMAL'!L64</f>
        <v>158980998.42899999</v>
      </c>
      <c r="K55" s="834">
        <f>'C-2 - CONSTRAINED'!L64</f>
        <v>129957434.58060001</v>
      </c>
      <c r="L55" s="368"/>
      <c r="M55" s="834">
        <f>'C-2 - OPTIMAL'!W64</f>
        <v>166713168.24360001</v>
      </c>
      <c r="N55" s="834">
        <f>'C-2 - CONSTRAINED'!W64</f>
        <v>129532870.764</v>
      </c>
      <c r="O55" s="368"/>
      <c r="P55" s="834">
        <f>'C-2 - OPTIMAL'!AI64</f>
        <v>167782434.44490001</v>
      </c>
      <c r="Q55" s="834">
        <f>'C-2 - CONSTRAINED'!AI64</f>
        <v>125148055.9329</v>
      </c>
      <c r="R55" s="825"/>
    </row>
    <row r="56" spans="1:18" ht="14.25" customHeight="1">
      <c r="A56" s="2">
        <f t="shared" si="2"/>
        <v>51</v>
      </c>
      <c r="B56" s="840"/>
      <c r="C56" s="824" t="s">
        <v>325</v>
      </c>
      <c r="D56" s="839"/>
      <c r="E56" s="832">
        <f>E22+E29+E51+E53+E54+E55</f>
        <v>4297793282.2600002</v>
      </c>
      <c r="F56" s="832">
        <f>F22+F29+F51+F53+F54+F55</f>
        <v>3892678421.1400003</v>
      </c>
      <c r="G56" s="832">
        <f>G22+G29+G51+G53+G54+G55</f>
        <v>3646205000.6600003</v>
      </c>
      <c r="H56" s="832">
        <f>H22+H29+H51+H53+H54+H55</f>
        <v>1948397040.7399998</v>
      </c>
      <c r="I56" s="832"/>
      <c r="J56" s="832">
        <f>J22+J29+J51+J54+J55+J53</f>
        <v>4361846211.4090214</v>
      </c>
      <c r="K56" s="832">
        <f>K22+K29+K51+K54+K55+K53</f>
        <v>4031172663.8042536</v>
      </c>
      <c r="L56" s="368"/>
      <c r="M56" s="832">
        <f>M22+M29+M51+M54+M55+M53</f>
        <v>4351647505.7842607</v>
      </c>
      <c r="N56" s="832">
        <f>N22+N29+N51+N54+N55+N53</f>
        <v>4055849279.1700029</v>
      </c>
      <c r="O56" s="368"/>
      <c r="P56" s="832">
        <f>P22+P29+P51+P54+P55+P53</f>
        <v>4310951876.7133074</v>
      </c>
      <c r="Q56" s="832">
        <f>Q22+Q29+Q51+Q54+Q55+Q53</f>
        <v>3982298842.633379</v>
      </c>
      <c r="R56" s="839"/>
    </row>
    <row r="57" spans="1:18">
      <c r="A57" s="2" t="str">
        <f t="shared" ref="A57:A62" si="4">IF(C57&lt;&gt;"",MAX(A55:A56)+1,"")</f>
        <v/>
      </c>
      <c r="B57" s="230"/>
      <c r="C57" s="824"/>
      <c r="D57" s="824"/>
      <c r="E57" s="832"/>
      <c r="F57" s="832"/>
      <c r="G57" s="832"/>
      <c r="H57" s="832"/>
      <c r="I57" s="832"/>
      <c r="J57" s="832"/>
      <c r="K57" s="832"/>
      <c r="L57" s="368"/>
      <c r="M57" s="832"/>
      <c r="N57" s="832"/>
      <c r="O57" s="368"/>
      <c r="P57" s="832"/>
      <c r="Q57" s="832"/>
      <c r="R57" s="824"/>
    </row>
    <row r="58" spans="1:18">
      <c r="A58" s="2">
        <f t="shared" si="4"/>
        <v>52</v>
      </c>
      <c r="B58" s="230"/>
      <c r="C58" s="824" t="s">
        <v>333</v>
      </c>
      <c r="D58" s="824"/>
      <c r="E58" s="832">
        <v>255054036.07999998</v>
      </c>
      <c r="F58" s="832">
        <v>184206072.74000001</v>
      </c>
      <c r="G58" s="832">
        <v>169606013.97040707</v>
      </c>
      <c r="H58" s="832">
        <v>77362502.089999974</v>
      </c>
      <c r="I58" s="832"/>
      <c r="J58" s="832">
        <f>'D-1-Optimal'!I93</f>
        <v>933333655.90243268</v>
      </c>
      <c r="K58" s="832">
        <f>'D-1-Constrained'!I92</f>
        <v>638277486.46374106</v>
      </c>
      <c r="L58" s="832"/>
      <c r="M58" s="832">
        <f>'D-1-Optimal'!M93</f>
        <v>1115308341.3635294</v>
      </c>
      <c r="N58" s="832">
        <f>'D-1-Constrained'!M92</f>
        <v>713671353.95831192</v>
      </c>
      <c r="O58" s="832"/>
      <c r="P58" s="832">
        <f>'D-1-Optimal'!Q93</f>
        <v>1270516525.2706497</v>
      </c>
      <c r="Q58" s="832">
        <f>'D-1-Constrained'!Q92</f>
        <v>814829188.06428349</v>
      </c>
      <c r="R58" s="824"/>
    </row>
    <row r="59" spans="1:18">
      <c r="A59" s="2">
        <f t="shared" si="4"/>
        <v>53</v>
      </c>
      <c r="B59" s="230"/>
      <c r="C59" s="824" t="s">
        <v>338</v>
      </c>
      <c r="D59" s="839"/>
      <c r="E59" s="832" t="s">
        <v>7</v>
      </c>
      <c r="F59" s="832" t="s">
        <v>7</v>
      </c>
      <c r="G59" s="832" t="s">
        <v>7</v>
      </c>
      <c r="H59" s="832" t="s">
        <v>7</v>
      </c>
      <c r="I59" s="832" t="s">
        <v>7</v>
      </c>
      <c r="J59" s="832"/>
      <c r="K59" s="832"/>
      <c r="L59" s="368"/>
      <c r="M59" s="832"/>
      <c r="N59" s="832"/>
      <c r="O59" s="368"/>
      <c r="P59" s="832"/>
      <c r="Q59" s="832"/>
      <c r="R59" s="839"/>
    </row>
    <row r="60" spans="1:18">
      <c r="A60" s="2" t="str">
        <f t="shared" si="4"/>
        <v/>
      </c>
      <c r="B60" s="230"/>
      <c r="C60" s="824"/>
      <c r="D60" s="841"/>
      <c r="E60" s="832"/>
      <c r="F60" s="832"/>
      <c r="G60" s="832"/>
      <c r="H60" s="832"/>
      <c r="I60" s="832"/>
      <c r="J60" s="832"/>
      <c r="K60" s="832"/>
      <c r="L60" s="368"/>
      <c r="M60" s="832"/>
      <c r="N60" s="832"/>
      <c r="O60" s="368"/>
      <c r="P60" s="832"/>
      <c r="Q60" s="832"/>
      <c r="R60" s="841"/>
    </row>
    <row r="61" spans="1:18">
      <c r="A61" s="2">
        <f t="shared" si="4"/>
        <v>54</v>
      </c>
      <c r="B61" s="230"/>
      <c r="C61" s="827" t="s">
        <v>459</v>
      </c>
      <c r="D61" s="811"/>
      <c r="E61" s="809"/>
      <c r="F61" s="809"/>
      <c r="G61" s="809"/>
      <c r="H61" s="809"/>
      <c r="I61" s="809"/>
      <c r="J61" s="809">
        <f>'C-2 - OPTIMAL'!L82</f>
        <v>157542060.0715428</v>
      </c>
      <c r="K61" s="809">
        <f>J61</f>
        <v>157542060.0715428</v>
      </c>
      <c r="L61" s="368"/>
      <c r="M61" s="809">
        <f>'C-2 - OPTIMAL'!W82</f>
        <v>200183583.24224252</v>
      </c>
      <c r="N61" s="809">
        <f>M61</f>
        <v>200183583.24224252</v>
      </c>
      <c r="O61" s="368"/>
      <c r="P61" s="809">
        <f>'C-2 - OPTIMAL'!AI82</f>
        <v>197193170.8206079</v>
      </c>
      <c r="Q61" s="809">
        <f>P61</f>
        <v>197193170.8206079</v>
      </c>
      <c r="R61" s="811"/>
    </row>
    <row r="62" spans="1:18">
      <c r="A62" s="2">
        <f t="shared" si="4"/>
        <v>55</v>
      </c>
      <c r="B62" s="230"/>
      <c r="C62" s="824" t="s">
        <v>344</v>
      </c>
      <c r="D62" s="816"/>
      <c r="E62" s="817"/>
      <c r="F62" s="817"/>
      <c r="G62" s="817"/>
      <c r="H62" s="817"/>
      <c r="I62" s="817"/>
      <c r="J62" s="817">
        <f>J15-J56-J58-J61</f>
        <v>-1739304034.0754588</v>
      </c>
      <c r="K62" s="817">
        <f>K15-K56-K58-K61</f>
        <v>-1113574317.0319993</v>
      </c>
      <c r="L62" s="368"/>
      <c r="M62" s="817">
        <f>M15-M56-M58-M61</f>
        <v>-2051735515.7653122</v>
      </c>
      <c r="N62" s="817">
        <f>N15-N56-N58-N61</f>
        <v>-1354300301.745837</v>
      </c>
      <c r="O62" s="368"/>
      <c r="P62" s="817">
        <f>P15-P56-P58-P61</f>
        <v>-2230212536.4931674</v>
      </c>
      <c r="Q62" s="817">
        <f>Q15-Q56-Q58-Q61</f>
        <v>-1445872165.2068727</v>
      </c>
      <c r="R62" s="816"/>
    </row>
    <row r="63" spans="1:18" ht="17.25">
      <c r="A63" s="2">
        <f t="shared" si="2"/>
        <v>56</v>
      </c>
      <c r="B63" s="230"/>
      <c r="C63" s="824" t="s">
        <v>345</v>
      </c>
      <c r="D63" s="818"/>
      <c r="E63" s="819"/>
      <c r="F63" s="819"/>
      <c r="G63" s="819"/>
      <c r="H63" s="819"/>
      <c r="I63" s="819"/>
      <c r="J63" s="820">
        <f>'B-4'!F9</f>
        <v>177670927.43338946</v>
      </c>
      <c r="K63" s="820">
        <f>'B-4'!F19</f>
        <v>177670927.43338946</v>
      </c>
      <c r="L63" s="368"/>
      <c r="M63" s="820">
        <f>'B-4'!H9</f>
        <v>174538616.65049714</v>
      </c>
      <c r="N63" s="820">
        <f>'B-4'!H19</f>
        <v>174538616.65049714</v>
      </c>
      <c r="O63" s="368"/>
      <c r="P63" s="820">
        <f>'B-4'!J9</f>
        <v>164416886.79613808</v>
      </c>
      <c r="Q63" s="820">
        <f>'B-4'!J19</f>
        <v>164416886.79613808</v>
      </c>
      <c r="R63" s="816"/>
    </row>
    <row r="64" spans="1:18" ht="17.25">
      <c r="A64" s="2">
        <f t="shared" si="2"/>
        <v>57</v>
      </c>
      <c r="B64" s="230"/>
      <c r="C64" s="824" t="s">
        <v>346</v>
      </c>
      <c r="D64" s="818"/>
      <c r="E64" s="819"/>
      <c r="F64" s="819"/>
      <c r="G64" s="819"/>
      <c r="H64" s="819"/>
      <c r="I64" s="819"/>
      <c r="J64" s="817">
        <f>J62-J63</f>
        <v>-1916974961.5088482</v>
      </c>
      <c r="K64" s="821">
        <f>K62-K63</f>
        <v>-1291245244.4653888</v>
      </c>
      <c r="L64" s="368"/>
      <c r="M64" s="817">
        <f>M62-M63</f>
        <v>-2226274132.4158092</v>
      </c>
      <c r="N64" s="817">
        <f>N62-N63</f>
        <v>-1528838918.3963342</v>
      </c>
      <c r="O64" s="368"/>
      <c r="P64" s="817">
        <f>P62-P63</f>
        <v>-2394629423.2893057</v>
      </c>
      <c r="Q64" s="817">
        <f>Q62-Q63</f>
        <v>-1610289052.0030107</v>
      </c>
      <c r="R64" s="816"/>
    </row>
    <row r="65" spans="1:18" ht="17.25">
      <c r="A65" s="2">
        <f t="shared" si="2"/>
        <v>58</v>
      </c>
      <c r="B65" s="230"/>
      <c r="C65" s="824" t="s">
        <v>347</v>
      </c>
      <c r="D65" s="818"/>
      <c r="E65" s="819"/>
      <c r="F65" s="819"/>
      <c r="G65" s="819"/>
      <c r="H65" s="819"/>
      <c r="I65" s="819"/>
      <c r="J65" s="822">
        <f>-J64/J13</f>
        <v>0.48014466133606443</v>
      </c>
      <c r="K65" s="823">
        <f>-K64/K13</f>
        <v>0.323418157802984</v>
      </c>
      <c r="L65" s="368"/>
      <c r="M65" s="823">
        <f>-M64/M13</f>
        <v>0.57164853446323505</v>
      </c>
      <c r="N65" s="823">
        <f>-N64/N13</f>
        <v>0.39256554905179553</v>
      </c>
      <c r="O65" s="368"/>
      <c r="P65" s="823">
        <f>-P64/P13</f>
        <v>0.62563378851394025</v>
      </c>
      <c r="Q65" s="823">
        <f>-Q64/Q13</f>
        <v>0.4207127960631637</v>
      </c>
      <c r="R65" s="816"/>
    </row>
    <row r="66" spans="1:18">
      <c r="B66" s="230"/>
      <c r="C66" s="1"/>
      <c r="D66" s="1"/>
      <c r="E66" s="1"/>
      <c r="F66" s="1"/>
      <c r="G66" s="1"/>
      <c r="H66" s="1"/>
      <c r="I66" s="1"/>
      <c r="J66" s="1"/>
      <c r="K66" s="1"/>
      <c r="L66" s="1"/>
      <c r="M66" s="1"/>
      <c r="N66" s="1"/>
      <c r="O66" s="1"/>
      <c r="P66" s="1"/>
      <c r="Q66" s="1"/>
      <c r="R66" s="1"/>
    </row>
    <row r="67" spans="1:18">
      <c r="B67" s="230"/>
      <c r="C67" s="1"/>
      <c r="D67" s="1"/>
      <c r="E67" s="1"/>
      <c r="F67" s="1"/>
      <c r="G67" s="1"/>
      <c r="H67" s="1"/>
      <c r="I67" s="1"/>
      <c r="J67" s="1"/>
      <c r="K67" s="1"/>
      <c r="L67" s="1"/>
      <c r="M67" s="1"/>
      <c r="N67" s="1"/>
      <c r="O67" s="1"/>
      <c r="P67" s="1"/>
      <c r="Q67" s="1"/>
      <c r="R67" s="1"/>
    </row>
    <row r="68" spans="1:18" ht="409.6" customHeight="1">
      <c r="B68" s="1197" t="s">
        <v>460</v>
      </c>
      <c r="C68" s="1197"/>
      <c r="D68" s="1197"/>
      <c r="E68" s="1197"/>
      <c r="F68" s="1197"/>
      <c r="G68" s="1197"/>
      <c r="H68" s="1197"/>
      <c r="I68" s="811"/>
      <c r="J68" s="811">
        <v>0</v>
      </c>
      <c r="K68" s="811">
        <v>0</v>
      </c>
      <c r="M68" s="811">
        <v>0</v>
      </c>
      <c r="N68" s="811">
        <v>0</v>
      </c>
      <c r="O68" s="1"/>
      <c r="P68" s="811">
        <v>0</v>
      </c>
      <c r="Q68" s="811">
        <v>0</v>
      </c>
      <c r="R68" s="811">
        <f>SUM(P68:Q68)</f>
        <v>0</v>
      </c>
    </row>
    <row r="69" spans="1:18">
      <c r="B69" s="1197"/>
      <c r="C69" s="1197"/>
      <c r="D69" s="1197"/>
      <c r="E69" s="1197"/>
      <c r="F69" s="1197"/>
      <c r="G69" s="1197"/>
      <c r="H69" s="1197"/>
      <c r="I69" s="1"/>
      <c r="J69" s="1"/>
      <c r="K69" s="1"/>
      <c r="L69" s="1"/>
      <c r="M69" s="1"/>
      <c r="N69" s="1"/>
      <c r="O69" s="1"/>
      <c r="P69" s="1"/>
      <c r="Q69" s="1"/>
      <c r="R69" s="1"/>
    </row>
    <row r="70" spans="1:18">
      <c r="B70" s="1197"/>
      <c r="C70" s="1197"/>
      <c r="D70" s="1197"/>
      <c r="E70" s="1197"/>
      <c r="F70" s="1197"/>
      <c r="G70" s="1197"/>
      <c r="H70" s="1197"/>
    </row>
    <row r="71" spans="1:18">
      <c r="B71" s="1197"/>
      <c r="C71" s="1197"/>
      <c r="D71" s="1197"/>
      <c r="E71" s="1197"/>
      <c r="F71" s="1197"/>
      <c r="G71" s="1197"/>
      <c r="H71" s="1197"/>
    </row>
  </sheetData>
  <mergeCells count="6">
    <mergeCell ref="J1:Q1"/>
    <mergeCell ref="B68:H71"/>
    <mergeCell ref="J2:K2"/>
    <mergeCell ref="M2:N2"/>
    <mergeCell ref="P2:Q2"/>
    <mergeCell ref="E2:H2"/>
  </mergeCells>
  <phoneticPr fontId="67" type="noConversion"/>
  <pageMargins left="0.7" right="0.7" top="0.75" bottom="0.75" header="0.3" footer="0.3"/>
  <pageSetup scale="55" orientation="portrait" horizontalDpi="1200" verticalDpi="1200" r:id="rId1"/>
  <headerFooter>
    <oddHeader xml:space="preserve">&amp;LPuerto Rico Electric Power Authority 
Docket NEPR-AP-2023-0003
Results of Operation  with Pro Forma Adjustments
&amp;RSchedule B-2
Page &amp;P of &amp;N
</oddHeader>
  </headerFooter>
  <colBreaks count="1" manualBreakCount="1">
    <brk id="8" max="66"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EC103-9352-4597-A64A-0AEB29CEE8A6}">
  <sheetPr>
    <tabColor theme="5" tint="0.79998168889431442"/>
  </sheetPr>
  <dimension ref="A1:I85"/>
  <sheetViews>
    <sheetView workbookViewId="0"/>
    <sheetView workbookViewId="1"/>
    <sheetView workbookViewId="2"/>
  </sheetViews>
  <sheetFormatPr defaultColWidth="8.5703125" defaultRowHeight="15"/>
  <cols>
    <col min="1" max="2" width="5.5703125" customWidth="1"/>
    <col min="3" max="3" width="75.85546875" bestFit="1" customWidth="1"/>
    <col min="4" max="4" width="5.5703125" customWidth="1"/>
    <col min="5" max="5" width="16.5703125" customWidth="1"/>
    <col min="6" max="6" width="5.5703125" customWidth="1"/>
    <col min="7" max="7" width="16.5703125" customWidth="1"/>
    <col min="8" max="8" width="5.5703125" customWidth="1"/>
    <col min="9" max="9" width="16.5703125" customWidth="1"/>
    <col min="10" max="10" width="32.85546875" customWidth="1"/>
  </cols>
  <sheetData>
    <row r="1" spans="1:9">
      <c r="E1" s="1200" t="s">
        <v>461</v>
      </c>
      <c r="F1" s="1200"/>
      <c r="G1" s="1200"/>
      <c r="H1" s="1200"/>
      <c r="I1" s="1200"/>
    </row>
    <row r="2" spans="1:9" ht="30">
      <c r="A2" s="58" t="s">
        <v>242</v>
      </c>
      <c r="C2" s="58" t="s">
        <v>5</v>
      </c>
      <c r="D2" s="59"/>
      <c r="E2" s="58" t="s">
        <v>393</v>
      </c>
      <c r="F2" s="56"/>
      <c r="G2" s="58" t="s">
        <v>394</v>
      </c>
      <c r="I2" s="58" t="s">
        <v>395</v>
      </c>
    </row>
    <row r="3" spans="1:9">
      <c r="A3" s="2" t="str">
        <f>IF(C3&lt;&gt;"",MAX(#REF!)+1,"")</f>
        <v/>
      </c>
      <c r="E3" s="2" t="s">
        <v>358</v>
      </c>
      <c r="F3" s="56"/>
      <c r="G3" s="2" t="s">
        <v>462</v>
      </c>
      <c r="I3" s="2" t="s">
        <v>463</v>
      </c>
    </row>
    <row r="4" spans="1:9" ht="17.25">
      <c r="A4" s="2">
        <f>IF(C4&lt;&gt;"",MAX(A2:A3)+1,"")</f>
        <v>1</v>
      </c>
      <c r="C4" s="782" t="s">
        <v>464</v>
      </c>
    </row>
    <row r="5" spans="1:9">
      <c r="A5" s="2" t="str">
        <f>IF(C5&lt;&gt;"",MAX(A3:A4)+1,"")</f>
        <v/>
      </c>
      <c r="C5" s="783"/>
    </row>
    <row r="6" spans="1:9">
      <c r="A6" s="2">
        <f>IF(C6&lt;&gt;"",MAX(A4:A5)+1,"")</f>
        <v>2</v>
      </c>
      <c r="C6" s="80" t="s">
        <v>465</v>
      </c>
      <c r="E6" s="377">
        <v>0</v>
      </c>
      <c r="F6" s="368"/>
      <c r="G6" s="377">
        <v>0</v>
      </c>
      <c r="H6" s="368"/>
      <c r="I6" s="377">
        <v>0</v>
      </c>
    </row>
    <row r="7" spans="1:9">
      <c r="A7" s="2">
        <f>IF(C7&lt;&gt;"",MAX(A4:A6)+1,"")</f>
        <v>3</v>
      </c>
      <c r="C7" s="80" t="s">
        <v>466</v>
      </c>
      <c r="E7" s="377">
        <v>0</v>
      </c>
      <c r="F7" s="368"/>
      <c r="G7" s="377">
        <v>0</v>
      </c>
      <c r="H7" s="368"/>
      <c r="I7" s="377">
        <v>0</v>
      </c>
    </row>
    <row r="8" spans="1:9">
      <c r="A8" s="2">
        <f>IF(C8&lt;&gt;"",MAX(A5:A7)+1,"")</f>
        <v>4</v>
      </c>
      <c r="C8" s="80" t="s">
        <v>467</v>
      </c>
      <c r="E8" s="377">
        <v>0</v>
      </c>
      <c r="F8" s="368"/>
      <c r="G8" s="377">
        <v>0</v>
      </c>
      <c r="H8" s="368"/>
      <c r="I8" s="377">
        <v>0</v>
      </c>
    </row>
    <row r="9" spans="1:9">
      <c r="A9" s="2">
        <f t="shared" ref="A9:A36" si="0">IF(C9&lt;&gt;"",MAX(A7:A8)+1,"")</f>
        <v>5</v>
      </c>
      <c r="C9" s="80" t="s">
        <v>468</v>
      </c>
      <c r="E9" s="377">
        <v>0</v>
      </c>
      <c r="F9" s="368"/>
      <c r="G9" s="377">
        <v>0</v>
      </c>
      <c r="H9" s="368"/>
      <c r="I9" s="377">
        <v>0</v>
      </c>
    </row>
    <row r="10" spans="1:9" ht="17.25">
      <c r="A10" s="2">
        <f t="shared" si="0"/>
        <v>6</v>
      </c>
      <c r="C10" s="784" t="s">
        <v>469</v>
      </c>
      <c r="D10" s="785"/>
      <c r="E10" s="786">
        <f>SUM(E6:E9)</f>
        <v>0</v>
      </c>
      <c r="F10" s="786"/>
      <c r="G10" s="786">
        <f>SUM(G6:G9)</f>
        <v>0</v>
      </c>
      <c r="H10" s="786"/>
      <c r="I10" s="787">
        <f>SUM(I6:I9)</f>
        <v>0</v>
      </c>
    </row>
    <row r="11" spans="1:9" ht="17.25">
      <c r="A11" s="2" t="str">
        <f t="shared" si="0"/>
        <v/>
      </c>
      <c r="C11" s="788"/>
      <c r="D11" s="789"/>
      <c r="E11" s="790"/>
      <c r="F11" s="790"/>
      <c r="G11" s="790"/>
      <c r="H11" s="790"/>
      <c r="I11" s="790"/>
    </row>
    <row r="12" spans="1:9">
      <c r="A12" s="2">
        <f t="shared" si="0"/>
        <v>7</v>
      </c>
      <c r="C12" s="29" t="s">
        <v>470</v>
      </c>
      <c r="E12" s="791"/>
      <c r="F12" s="376"/>
      <c r="G12" s="791"/>
      <c r="H12" s="368"/>
      <c r="I12" s="791"/>
    </row>
    <row r="13" spans="1:9" ht="18.75">
      <c r="A13" s="2">
        <f t="shared" si="0"/>
        <v>8</v>
      </c>
      <c r="C13" s="799" t="s">
        <v>471</v>
      </c>
      <c r="E13" s="377"/>
      <c r="F13" s="368"/>
      <c r="G13" s="377"/>
      <c r="H13" s="368"/>
      <c r="I13" s="377"/>
    </row>
    <row r="14" spans="1:9">
      <c r="A14" s="2">
        <f t="shared" si="0"/>
        <v>9</v>
      </c>
      <c r="C14" s="361" t="s">
        <v>472</v>
      </c>
      <c r="E14" s="377"/>
      <c r="F14" s="368"/>
      <c r="G14" s="377"/>
      <c r="H14" s="368"/>
      <c r="I14" s="377"/>
    </row>
    <row r="15" spans="1:9">
      <c r="A15" s="2">
        <f t="shared" si="0"/>
        <v>10</v>
      </c>
      <c r="C15" s="80" t="s">
        <v>465</v>
      </c>
      <c r="E15" s="377">
        <v>650069869</v>
      </c>
      <c r="F15" s="368"/>
      <c r="G15" s="377">
        <v>565180194</v>
      </c>
      <c r="H15" s="368"/>
      <c r="I15" s="377">
        <v>477970026</v>
      </c>
    </row>
    <row r="16" spans="1:9">
      <c r="A16" s="2">
        <f t="shared" si="0"/>
        <v>11</v>
      </c>
      <c r="C16" s="80" t="s">
        <v>466</v>
      </c>
      <c r="E16" s="377">
        <v>84889675</v>
      </c>
      <c r="F16" s="368"/>
      <c r="G16" s="377">
        <v>87210168</v>
      </c>
      <c r="H16" s="368"/>
      <c r="I16" s="377">
        <v>88864858</v>
      </c>
    </row>
    <row r="17" spans="1:9">
      <c r="A17" s="2">
        <f t="shared" si="0"/>
        <v>12</v>
      </c>
      <c r="C17" s="80" t="s">
        <v>467</v>
      </c>
      <c r="E17" s="377">
        <v>39004192</v>
      </c>
      <c r="F17" s="368"/>
      <c r="G17" s="377">
        <v>33910812</v>
      </c>
      <c r="H17" s="368"/>
      <c r="I17" s="377">
        <v>28678202</v>
      </c>
    </row>
    <row r="18" spans="1:9">
      <c r="A18" s="2">
        <f>IF(C18&lt;&gt;"",MAX(A17:A17)+1,"")</f>
        <v>13</v>
      </c>
      <c r="C18" s="792" t="s">
        <v>473</v>
      </c>
      <c r="D18" s="793"/>
      <c r="E18" s="779">
        <f>SUM(E16:E17)</f>
        <v>123893867</v>
      </c>
      <c r="F18" s="779">
        <f t="shared" ref="F18:I18" si="1">SUM(F16:F17)</f>
        <v>0</v>
      </c>
      <c r="G18" s="779">
        <f t="shared" si="1"/>
        <v>121120980</v>
      </c>
      <c r="H18" s="779">
        <f t="shared" si="1"/>
        <v>0</v>
      </c>
      <c r="I18" s="779">
        <f t="shared" si="1"/>
        <v>117543060</v>
      </c>
    </row>
    <row r="19" spans="1:9">
      <c r="A19" s="2" t="str">
        <f>IF(C19&lt;&gt;"",MAX(A18:A18)+1,"")</f>
        <v/>
      </c>
      <c r="C19" s="80"/>
      <c r="E19" s="368"/>
      <c r="F19" s="368"/>
      <c r="G19" s="368"/>
      <c r="H19" s="368"/>
      <c r="I19" s="368"/>
    </row>
    <row r="20" spans="1:9">
      <c r="A20" s="2">
        <f t="shared" si="0"/>
        <v>14</v>
      </c>
      <c r="C20" s="361" t="s">
        <v>474</v>
      </c>
      <c r="E20" s="368"/>
      <c r="F20" s="368"/>
      <c r="G20" s="368"/>
      <c r="H20" s="368"/>
      <c r="I20" s="368"/>
    </row>
    <row r="21" spans="1:9">
      <c r="A21" s="2">
        <f t="shared" si="0"/>
        <v>15</v>
      </c>
      <c r="C21" s="80" t="s">
        <v>465</v>
      </c>
      <c r="E21" s="377">
        <v>1886292470</v>
      </c>
      <c r="F21" s="368"/>
      <c r="G21" s="377">
        <v>1886292470</v>
      </c>
      <c r="H21" s="368"/>
      <c r="I21" s="377">
        <v>1886292470</v>
      </c>
    </row>
    <row r="22" spans="1:9">
      <c r="A22" s="2">
        <f t="shared" si="0"/>
        <v>16</v>
      </c>
      <c r="C22" s="80" t="s">
        <v>466</v>
      </c>
      <c r="E22" s="377">
        <v>0</v>
      </c>
      <c r="F22" s="368"/>
      <c r="G22" s="377">
        <v>0</v>
      </c>
      <c r="H22" s="368"/>
      <c r="I22" s="377">
        <v>0</v>
      </c>
    </row>
    <row r="23" spans="1:9">
      <c r="A23" s="2">
        <f t="shared" si="0"/>
        <v>17</v>
      </c>
      <c r="C23" s="80" t="s">
        <v>467</v>
      </c>
      <c r="E23" s="377">
        <v>130764588</v>
      </c>
      <c r="F23" s="368"/>
      <c r="G23" s="377">
        <v>130764588</v>
      </c>
      <c r="H23" s="368"/>
      <c r="I23" s="377">
        <v>130764588</v>
      </c>
    </row>
    <row r="24" spans="1:9">
      <c r="A24" s="2">
        <f>IF(C24&lt;&gt;"",MAX(A23:A23)+1,"")</f>
        <v>18</v>
      </c>
      <c r="C24" s="792" t="s">
        <v>475</v>
      </c>
      <c r="D24" s="793"/>
      <c r="E24" s="779">
        <f>SUM(E22:E23)</f>
        <v>130764588</v>
      </c>
      <c r="F24" s="779">
        <f t="shared" ref="F24" si="2">SUM(F22:F23)</f>
        <v>0</v>
      </c>
      <c r="G24" s="779">
        <f t="shared" ref="G24" si="3">SUM(G22:G23)</f>
        <v>130764588</v>
      </c>
      <c r="H24" s="779">
        <f t="shared" ref="H24" si="4">SUM(H22:H23)</f>
        <v>0</v>
      </c>
      <c r="I24" s="779">
        <f t="shared" ref="I24" si="5">SUM(I22:I23)</f>
        <v>130764588</v>
      </c>
    </row>
    <row r="25" spans="1:9">
      <c r="A25" s="2" t="str">
        <f>IF(C25&lt;&gt;"",MAX(A24:A24)+1,"")</f>
        <v/>
      </c>
      <c r="C25" s="80"/>
      <c r="E25" s="368"/>
      <c r="F25" s="368"/>
      <c r="G25" s="368"/>
      <c r="H25" s="368"/>
      <c r="I25" s="368"/>
    </row>
    <row r="26" spans="1:9">
      <c r="A26" s="2">
        <f t="shared" si="0"/>
        <v>19</v>
      </c>
      <c r="C26" s="361" t="s">
        <v>476</v>
      </c>
      <c r="E26" s="368"/>
      <c r="F26" s="368"/>
      <c r="G26" s="368"/>
      <c r="H26" s="368"/>
      <c r="I26" s="368"/>
    </row>
    <row r="27" spans="1:9">
      <c r="A27" s="2">
        <f t="shared" si="0"/>
        <v>20</v>
      </c>
      <c r="C27" s="80" t="s">
        <v>465</v>
      </c>
      <c r="E27" s="377">
        <v>2536362339</v>
      </c>
      <c r="F27" s="368"/>
      <c r="G27" s="377">
        <v>2451472664</v>
      </c>
      <c r="H27" s="368"/>
      <c r="I27" s="377">
        <v>2364262496</v>
      </c>
    </row>
    <row r="28" spans="1:9">
      <c r="A28" s="2">
        <f t="shared" si="0"/>
        <v>21</v>
      </c>
      <c r="C28" s="80" t="s">
        <v>466</v>
      </c>
      <c r="E28" s="377">
        <v>84889675</v>
      </c>
      <c r="F28" s="368"/>
      <c r="G28" s="377">
        <v>87210168</v>
      </c>
      <c r="H28" s="368"/>
      <c r="I28" s="377">
        <v>88864858</v>
      </c>
    </row>
    <row r="29" spans="1:9">
      <c r="A29" s="2">
        <f t="shared" si="0"/>
        <v>22</v>
      </c>
      <c r="C29" s="80" t="s">
        <v>467</v>
      </c>
      <c r="E29" s="377">
        <v>169768781</v>
      </c>
      <c r="F29" s="368"/>
      <c r="G29" s="377">
        <v>164675400</v>
      </c>
      <c r="H29" s="368"/>
      <c r="I29" s="377">
        <v>159442790</v>
      </c>
    </row>
    <row r="30" spans="1:9" ht="17.25">
      <c r="A30" s="2">
        <f>IF(C30&lt;&gt;"",MAX(A29:A29)+1,"")</f>
        <v>23</v>
      </c>
      <c r="C30" s="784" t="s">
        <v>477</v>
      </c>
      <c r="D30" s="785"/>
      <c r="E30" s="786">
        <f>SUM(E28:E29)</f>
        <v>254658456</v>
      </c>
      <c r="F30" s="786">
        <f t="shared" ref="F30" si="6">SUM(F28:F29)</f>
        <v>0</v>
      </c>
      <c r="G30" s="786">
        <f t="shared" ref="G30" si="7">SUM(G28:G29)</f>
        <v>251885568</v>
      </c>
      <c r="H30" s="786">
        <f t="shared" ref="H30" si="8">SUM(H28:H29)</f>
        <v>0</v>
      </c>
      <c r="I30" s="786">
        <f t="shared" ref="I30" si="9">SUM(I28:I29)</f>
        <v>248307648</v>
      </c>
    </row>
    <row r="31" spans="1:9">
      <c r="A31" s="2" t="str">
        <f>IF(C31&lt;&gt;"",MAX(A30:A30)+1,"")</f>
        <v/>
      </c>
      <c r="C31" s="80"/>
      <c r="E31" s="368"/>
      <c r="F31" s="368"/>
      <c r="G31" s="368"/>
      <c r="H31" s="368"/>
      <c r="I31" s="368"/>
    </row>
    <row r="32" spans="1:9" ht="18.75">
      <c r="A32" s="2">
        <f t="shared" si="0"/>
        <v>24</v>
      </c>
      <c r="C32" s="799" t="s">
        <v>478</v>
      </c>
      <c r="E32" s="368"/>
      <c r="F32" s="368"/>
      <c r="G32" s="368"/>
      <c r="H32" s="368"/>
      <c r="I32" s="368"/>
    </row>
    <row r="33" spans="1:9">
      <c r="A33" s="2">
        <f t="shared" si="0"/>
        <v>25</v>
      </c>
      <c r="C33" s="800" t="s">
        <v>479</v>
      </c>
      <c r="E33" s="368"/>
      <c r="F33" s="368"/>
      <c r="G33" s="368"/>
      <c r="H33" s="368"/>
      <c r="I33" s="368"/>
    </row>
    <row r="34" spans="1:9">
      <c r="A34" s="2">
        <f t="shared" si="0"/>
        <v>26</v>
      </c>
      <c r="C34" s="80" t="s">
        <v>465</v>
      </c>
      <c r="E34" s="377">
        <v>700887093.58000004</v>
      </c>
      <c r="F34" s="368"/>
      <c r="G34" s="377">
        <v>680244368.43770647</v>
      </c>
      <c r="H34" s="368"/>
      <c r="I34" s="377">
        <v>658517900.22544241</v>
      </c>
    </row>
    <row r="35" spans="1:9">
      <c r="A35" s="2">
        <f t="shared" si="0"/>
        <v>27</v>
      </c>
      <c r="C35" s="80" t="s">
        <v>466</v>
      </c>
      <c r="E35" s="377">
        <v>20642725.142293617</v>
      </c>
      <c r="F35" s="368"/>
      <c r="G35" s="377">
        <v>21726468.212264031</v>
      </c>
      <c r="H35" s="368"/>
      <c r="I35" s="377">
        <v>22867107.793407895</v>
      </c>
    </row>
    <row r="36" spans="1:9">
      <c r="A36" s="2">
        <f t="shared" si="0"/>
        <v>28</v>
      </c>
      <c r="C36" s="80" t="s">
        <v>467</v>
      </c>
      <c r="E36" s="377">
        <v>36796572.412950002</v>
      </c>
      <c r="F36" s="368"/>
      <c r="G36" s="377">
        <v>35712829.342979588</v>
      </c>
      <c r="H36" s="368"/>
      <c r="I36" s="377">
        <v>34572189.761835724</v>
      </c>
    </row>
    <row r="37" spans="1:9">
      <c r="A37" s="2">
        <f>IF(C37&lt;&gt;"",MAX(A36:A36)+1,"")</f>
        <v>29</v>
      </c>
      <c r="C37" s="792" t="s">
        <v>473</v>
      </c>
      <c r="D37" s="793"/>
      <c r="E37" s="779">
        <f>SUM(E35:E36)</f>
        <v>57439297.555243619</v>
      </c>
      <c r="F37" s="779">
        <f t="shared" ref="F37" si="10">SUM(F35:F36)</f>
        <v>0</v>
      </c>
      <c r="G37" s="779">
        <f t="shared" ref="G37" si="11">SUM(G35:G36)</f>
        <v>57439297.555243619</v>
      </c>
      <c r="H37" s="779">
        <f t="shared" ref="H37" si="12">SUM(H35:H36)</f>
        <v>0</v>
      </c>
      <c r="I37" s="779">
        <f t="shared" ref="I37" si="13">SUM(I35:I36)</f>
        <v>57439297.555243619</v>
      </c>
    </row>
    <row r="38" spans="1:9">
      <c r="A38" s="2" t="str">
        <f>IF(C38&lt;&gt;"",MAX(A37:A37)+1,"")</f>
        <v/>
      </c>
      <c r="C38" s="80"/>
      <c r="E38" s="368"/>
      <c r="F38" s="368"/>
      <c r="G38" s="368"/>
      <c r="H38" s="368"/>
      <c r="I38" s="368"/>
    </row>
    <row r="39" spans="1:9">
      <c r="A39" s="2">
        <f t="shared" ref="A39:A55" si="14">IF(C39&lt;&gt;"",MAX(A37:A38)+1,"")</f>
        <v>30</v>
      </c>
      <c r="C39" s="800" t="s">
        <v>480</v>
      </c>
      <c r="E39" s="368"/>
      <c r="F39" s="368"/>
      <c r="G39" s="368"/>
      <c r="H39" s="368"/>
      <c r="I39" s="368"/>
    </row>
    <row r="40" spans="1:9">
      <c r="A40" s="2">
        <f t="shared" si="14"/>
        <v>31</v>
      </c>
      <c r="C40" s="80" t="s">
        <v>465</v>
      </c>
      <c r="E40" s="377">
        <v>8476517345</v>
      </c>
      <c r="F40" s="368"/>
      <c r="G40" s="377">
        <v>8226864555.9566717</v>
      </c>
      <c r="H40" s="368"/>
      <c r="I40" s="377">
        <v>7964104995.4885683</v>
      </c>
    </row>
    <row r="41" spans="1:9">
      <c r="A41" s="2">
        <f t="shared" si="14"/>
        <v>32</v>
      </c>
      <c r="C41" s="80" t="s">
        <v>466</v>
      </c>
      <c r="E41" s="377">
        <v>249652789.04332846</v>
      </c>
      <c r="F41" s="368"/>
      <c r="G41" s="377">
        <v>262759560.46810323</v>
      </c>
      <c r="H41" s="368"/>
      <c r="I41" s="377">
        <v>276554437.39267868</v>
      </c>
    </row>
    <row r="42" spans="1:9">
      <c r="A42" s="2">
        <f t="shared" si="14"/>
        <v>33</v>
      </c>
      <c r="C42" s="80" t="s">
        <v>467</v>
      </c>
      <c r="E42" s="377">
        <v>445017160.61250001</v>
      </c>
      <c r="F42" s="368"/>
      <c r="G42" s="377">
        <v>431910389.18772525</v>
      </c>
      <c r="H42" s="368"/>
      <c r="I42" s="377">
        <v>418115512.2631498</v>
      </c>
    </row>
    <row r="43" spans="1:9">
      <c r="A43" s="2">
        <f>IF(C43&lt;&gt;"",MAX(A42:A42)+1,"")</f>
        <v>34</v>
      </c>
      <c r="C43" s="792" t="s">
        <v>475</v>
      </c>
      <c r="D43" s="793"/>
      <c r="E43" s="779">
        <f>SUM(E41:E42)</f>
        <v>694669949.65582848</v>
      </c>
      <c r="F43" s="779">
        <f t="shared" ref="F43" si="15">SUM(F41:F42)</f>
        <v>0</v>
      </c>
      <c r="G43" s="779">
        <f t="shared" ref="G43" si="16">SUM(G41:G42)</f>
        <v>694669949.65582848</v>
      </c>
      <c r="H43" s="779">
        <f t="shared" ref="H43" si="17">SUM(H41:H42)</f>
        <v>0</v>
      </c>
      <c r="I43" s="779">
        <f t="shared" ref="I43" si="18">SUM(I41:I42)</f>
        <v>694669949.65582848</v>
      </c>
    </row>
    <row r="44" spans="1:9">
      <c r="A44" s="2" t="str">
        <f>IF(C44&lt;&gt;"",MAX(A43:A43)+1,"")</f>
        <v/>
      </c>
      <c r="C44" s="80"/>
      <c r="E44" s="368"/>
      <c r="F44" s="368"/>
      <c r="G44" s="368"/>
      <c r="H44" s="368"/>
      <c r="I44" s="368"/>
    </row>
    <row r="45" spans="1:9">
      <c r="A45" s="2">
        <f t="shared" si="14"/>
        <v>35</v>
      </c>
      <c r="C45" s="361" t="s">
        <v>476</v>
      </c>
      <c r="E45" s="368"/>
      <c r="F45" s="368"/>
      <c r="G45" s="368"/>
      <c r="H45" s="368"/>
      <c r="I45" s="368"/>
    </row>
    <row r="46" spans="1:9">
      <c r="A46" s="2">
        <f t="shared" si="14"/>
        <v>36</v>
      </c>
      <c r="C46" s="80" t="s">
        <v>465</v>
      </c>
      <c r="E46" s="377">
        <v>9177404438.5799999</v>
      </c>
      <c r="F46" s="368"/>
      <c r="G46" s="377">
        <v>8907108924.3943787</v>
      </c>
      <c r="H46" s="368"/>
      <c r="I46" s="377">
        <v>8622622895.7140102</v>
      </c>
    </row>
    <row r="47" spans="1:9">
      <c r="A47" s="2">
        <f t="shared" si="14"/>
        <v>37</v>
      </c>
      <c r="C47" s="80" t="s">
        <v>466</v>
      </c>
      <c r="E47" s="377">
        <v>270295514.1856221</v>
      </c>
      <c r="F47" s="368"/>
      <c r="G47" s="377">
        <v>284486028.68036723</v>
      </c>
      <c r="H47" s="368"/>
      <c r="I47" s="377">
        <v>299421545.1860866</v>
      </c>
    </row>
    <row r="48" spans="1:9">
      <c r="A48" s="2">
        <f t="shared" si="14"/>
        <v>38</v>
      </c>
      <c r="C48" s="80" t="s">
        <v>467</v>
      </c>
      <c r="E48" s="377">
        <v>481813733.02544999</v>
      </c>
      <c r="F48" s="368"/>
      <c r="G48" s="377">
        <v>467623218.53070486</v>
      </c>
      <c r="H48" s="368"/>
      <c r="I48" s="377">
        <v>452687702.02498555</v>
      </c>
    </row>
    <row r="49" spans="1:9" ht="17.25">
      <c r="A49" s="2">
        <f>IF(C49&lt;&gt;"",MAX(A48:A48)+1,"")</f>
        <v>39</v>
      </c>
      <c r="C49" s="784" t="s">
        <v>481</v>
      </c>
      <c r="D49" s="785"/>
      <c r="E49" s="786">
        <f>SUM(E47:E48)</f>
        <v>752109247.21107209</v>
      </c>
      <c r="F49" s="786">
        <f t="shared" ref="F49" si="19">SUM(F47:F48)</f>
        <v>0</v>
      </c>
      <c r="G49" s="786">
        <f t="shared" ref="G49" si="20">SUM(G47:G48)</f>
        <v>752109247.21107209</v>
      </c>
      <c r="H49" s="786">
        <f t="shared" ref="H49" si="21">SUM(H47:H48)</f>
        <v>0</v>
      </c>
      <c r="I49" s="786">
        <f t="shared" ref="I49" si="22">SUM(I47:I48)</f>
        <v>752109247.21107221</v>
      </c>
    </row>
    <row r="50" spans="1:9">
      <c r="A50" s="2" t="str">
        <f>IF(C50&lt;&gt;"",MAX(A49:A49)+1,"")</f>
        <v/>
      </c>
      <c r="E50" s="368"/>
      <c r="F50" s="368"/>
      <c r="G50" s="368"/>
      <c r="H50" s="368"/>
      <c r="I50" s="368"/>
    </row>
    <row r="51" spans="1:9" ht="17.25">
      <c r="A51" s="2">
        <f t="shared" si="14"/>
        <v>40</v>
      </c>
      <c r="C51" s="782" t="s">
        <v>482</v>
      </c>
      <c r="E51" s="368"/>
      <c r="F51" s="368"/>
      <c r="G51" s="368"/>
      <c r="H51" s="368"/>
      <c r="I51" s="368"/>
    </row>
    <row r="52" spans="1:9">
      <c r="A52" s="2">
        <f t="shared" si="14"/>
        <v>41</v>
      </c>
      <c r="C52" s="783" t="s">
        <v>90</v>
      </c>
      <c r="E52" s="368"/>
      <c r="F52" s="368"/>
      <c r="G52" s="368"/>
      <c r="H52" s="368"/>
      <c r="I52" s="368"/>
    </row>
    <row r="53" spans="1:9">
      <c r="A53" s="2">
        <f>IF(C53&lt;&gt;"",MAX(A51:A52)+1,"")</f>
        <v>42</v>
      </c>
      <c r="C53" s="794" t="s">
        <v>483</v>
      </c>
      <c r="D53" s="795"/>
      <c r="E53" s="801">
        <v>329500000</v>
      </c>
      <c r="F53" s="795"/>
      <c r="G53" s="801">
        <v>321700000</v>
      </c>
      <c r="H53" s="795"/>
      <c r="I53" s="801">
        <v>291400000</v>
      </c>
    </row>
    <row r="54" spans="1:9">
      <c r="A54" s="2">
        <f>IF(C54&lt;&gt;"",MAX(A52:A53)+1,"")</f>
        <v>43</v>
      </c>
      <c r="C54" s="794" t="s">
        <v>484</v>
      </c>
      <c r="D54" s="795"/>
      <c r="E54" s="801">
        <v>8077968.7779648462</v>
      </c>
      <c r="F54" s="795"/>
      <c r="G54" s="801">
        <v>8209820.8349905182</v>
      </c>
      <c r="H54" s="795"/>
      <c r="I54" s="801">
        <v>8348641.3204603987</v>
      </c>
    </row>
    <row r="55" spans="1:9" ht="17.25">
      <c r="A55" s="2">
        <f t="shared" si="14"/>
        <v>44</v>
      </c>
      <c r="C55" s="784" t="s">
        <v>469</v>
      </c>
      <c r="D55" s="785"/>
      <c r="E55" s="796">
        <f>SUM(E53:E54)</f>
        <v>337577968.77796483</v>
      </c>
      <c r="F55" s="796">
        <f t="shared" ref="F55" si="23">SUM(F53:F54)</f>
        <v>0</v>
      </c>
      <c r="G55" s="796">
        <f t="shared" ref="G55" si="24">SUM(G53:G54)</f>
        <v>329909820.8349905</v>
      </c>
      <c r="H55" s="796">
        <f t="shared" ref="H55" si="25">SUM(H53:H54)</f>
        <v>0</v>
      </c>
      <c r="I55" s="796">
        <f t="shared" ref="I55" si="26">SUM(I53:I54)</f>
        <v>299748641.32046038</v>
      </c>
    </row>
    <row r="56" spans="1:9">
      <c r="A56" s="2" t="str">
        <f>IF(C56&lt;&gt;"",MAX(A55:A55)+1,"")</f>
        <v/>
      </c>
    </row>
    <row r="57" spans="1:9">
      <c r="A57" s="797">
        <f t="shared" ref="A57" si="27">IF(C57&lt;&gt;"",MAX(A55:A56)+1,"")</f>
        <v>45</v>
      </c>
      <c r="B57" s="795"/>
      <c r="C57" s="798" t="s">
        <v>485</v>
      </c>
      <c r="D57" s="795"/>
      <c r="E57" s="795"/>
      <c r="F57" s="795"/>
      <c r="G57" s="795"/>
      <c r="H57" s="795"/>
      <c r="I57" s="795"/>
    </row>
    <row r="58" spans="1:9" ht="60.6" customHeight="1">
      <c r="A58" s="797"/>
      <c r="B58" s="802" t="s">
        <v>486</v>
      </c>
      <c r="C58" s="1201" t="s">
        <v>487</v>
      </c>
      <c r="D58" s="1201"/>
      <c r="E58" s="1201"/>
      <c r="F58" s="1201"/>
      <c r="G58" s="1201"/>
      <c r="H58" s="1201"/>
      <c r="I58" s="1201"/>
    </row>
    <row r="59" spans="1:9" ht="29.1" customHeight="1">
      <c r="A59" s="797"/>
      <c r="B59" s="802" t="s">
        <v>488</v>
      </c>
      <c r="C59" s="1201" t="s">
        <v>489</v>
      </c>
      <c r="D59" s="1201"/>
      <c r="E59" s="1201"/>
      <c r="F59" s="1201"/>
      <c r="G59" s="1201"/>
      <c r="H59" s="1201"/>
      <c r="I59" s="1201"/>
    </row>
    <row r="60" spans="1:9" ht="47.45" customHeight="1">
      <c r="A60" s="797"/>
      <c r="B60" s="802" t="s">
        <v>490</v>
      </c>
      <c r="C60" s="1202" t="s">
        <v>491</v>
      </c>
      <c r="D60" s="1202"/>
      <c r="E60" s="1202"/>
      <c r="F60" s="1202"/>
      <c r="G60" s="1202"/>
      <c r="H60" s="1202"/>
      <c r="I60" s="1202"/>
    </row>
    <row r="61" spans="1:9">
      <c r="A61" s="797"/>
      <c r="B61" s="802" t="s">
        <v>492</v>
      </c>
      <c r="C61" s="803" t="s">
        <v>493</v>
      </c>
      <c r="D61" s="795"/>
      <c r="E61" s="795"/>
      <c r="F61" s="795"/>
      <c r="G61" s="795"/>
      <c r="H61" s="795"/>
      <c r="I61" s="795"/>
    </row>
    <row r="62" spans="1:9">
      <c r="A62" s="797"/>
      <c r="B62" s="802"/>
      <c r="C62" s="803" t="s">
        <v>494</v>
      </c>
      <c r="D62" s="795"/>
      <c r="E62" s="795"/>
      <c r="F62" s="795"/>
      <c r="G62" s="804"/>
      <c r="H62" s="795"/>
      <c r="I62" s="795"/>
    </row>
    <row r="63" spans="1:9">
      <c r="A63" s="797"/>
      <c r="B63" s="802" t="s">
        <v>495</v>
      </c>
      <c r="C63" s="803" t="s">
        <v>496</v>
      </c>
      <c r="D63" s="795"/>
      <c r="E63" s="795"/>
      <c r="F63" s="795"/>
      <c r="G63" s="801"/>
      <c r="H63" s="795"/>
      <c r="I63" s="795"/>
    </row>
    <row r="64" spans="1:9">
      <c r="A64" s="2" t="str">
        <f>IF(C64&lt;&gt;"",MAX(A61:A62)+1,"")</f>
        <v/>
      </c>
    </row>
    <row r="65" spans="1:1">
      <c r="A65" s="2" t="str">
        <f>IF(C65&lt;&gt;"",MAX(A62:A64)+1,"")</f>
        <v/>
      </c>
    </row>
    <row r="66" spans="1:1">
      <c r="A66" s="2" t="str">
        <f t="shared" ref="A66:A82" si="28">IF(C66&lt;&gt;"",MAX(A64:A65)+1,"")</f>
        <v/>
      </c>
    </row>
    <row r="67" spans="1:1">
      <c r="A67" s="2" t="str">
        <f t="shared" si="28"/>
        <v/>
      </c>
    </row>
    <row r="68" spans="1:1">
      <c r="A68" s="2" t="str">
        <f t="shared" si="28"/>
        <v/>
      </c>
    </row>
    <row r="69" spans="1:1">
      <c r="A69" s="2" t="str">
        <f t="shared" si="28"/>
        <v/>
      </c>
    </row>
    <row r="70" spans="1:1">
      <c r="A70" s="2" t="str">
        <f t="shared" si="28"/>
        <v/>
      </c>
    </row>
    <row r="71" spans="1:1">
      <c r="A71" s="2" t="str">
        <f t="shared" si="28"/>
        <v/>
      </c>
    </row>
    <row r="72" spans="1:1">
      <c r="A72" s="2" t="str">
        <f t="shared" si="28"/>
        <v/>
      </c>
    </row>
    <row r="73" spans="1:1">
      <c r="A73" s="2" t="str">
        <f t="shared" si="28"/>
        <v/>
      </c>
    </row>
    <row r="74" spans="1:1">
      <c r="A74" s="2" t="str">
        <f t="shared" si="28"/>
        <v/>
      </c>
    </row>
    <row r="75" spans="1:1">
      <c r="A75" s="2" t="str">
        <f t="shared" si="28"/>
        <v/>
      </c>
    </row>
    <row r="76" spans="1:1">
      <c r="A76" s="2"/>
    </row>
    <row r="77" spans="1:1">
      <c r="A77" s="2" t="str">
        <f>IF(C77&lt;&gt;"",MAX(A74:A75)+1,"")</f>
        <v/>
      </c>
    </row>
    <row r="78" spans="1:1">
      <c r="A78" s="2" t="str">
        <f>IF(C78&lt;&gt;"",MAX(A75:A77)+1,"")</f>
        <v/>
      </c>
    </row>
    <row r="79" spans="1:1">
      <c r="A79" s="2" t="str">
        <f t="shared" si="28"/>
        <v/>
      </c>
    </row>
    <row r="80" spans="1:1">
      <c r="A80" s="2" t="str">
        <f t="shared" si="28"/>
        <v/>
      </c>
    </row>
    <row r="81" spans="1:1">
      <c r="A81" s="2" t="str">
        <f t="shared" si="28"/>
        <v/>
      </c>
    </row>
    <row r="82" spans="1:1">
      <c r="A82" s="2" t="str">
        <f t="shared" si="28"/>
        <v/>
      </c>
    </row>
    <row r="83" spans="1:1">
      <c r="A83" s="2"/>
    </row>
    <row r="84" spans="1:1">
      <c r="A84" s="2" t="str">
        <f>IF(C84&lt;&gt;"",MAX(A81:A82)+1,"")</f>
        <v/>
      </c>
    </row>
    <row r="85" spans="1:1">
      <c r="A85" s="2" t="str">
        <f>IF(C85&lt;&gt;"",MAX(A82:A84)+1,"")</f>
        <v/>
      </c>
    </row>
  </sheetData>
  <mergeCells count="4">
    <mergeCell ref="E1:I1"/>
    <mergeCell ref="C58:I58"/>
    <mergeCell ref="C59:I59"/>
    <mergeCell ref="C60:I60"/>
  </mergeCells>
  <pageMargins left="0.7" right="0.7" top="0.75" bottom="0.75" header="0.3" footer="0.3"/>
  <pageSetup scale="80" orientation="landscape" r:id="rId1"/>
  <headerFooter>
    <oddHeader>&amp;LPuerto Rico Electric Power Authority 
Docket NEPR-AP-2023-0003
Debt Service Requirements
&amp;RSchedule B-3
Page &amp;P of &amp;N</oddHeader>
  </headerFooter>
  <rowBreaks count="1" manualBreakCount="1">
    <brk id="31"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9322-8795-481B-A2F6-4E581F4BFE29}">
  <sheetPr>
    <tabColor theme="5" tint="0.79998168889431442"/>
  </sheetPr>
  <dimension ref="A2:J141"/>
  <sheetViews>
    <sheetView workbookViewId="0"/>
    <sheetView workbookViewId="1"/>
    <sheetView workbookViewId="2"/>
  </sheetViews>
  <sheetFormatPr defaultColWidth="8.5703125" defaultRowHeight="15"/>
  <cols>
    <col min="1" max="1" width="9.85546875" customWidth="1"/>
    <col min="2" max="2" width="14.42578125" customWidth="1"/>
    <col min="3" max="3" width="55.42578125" customWidth="1"/>
    <col min="4" max="4" width="23.42578125" customWidth="1"/>
    <col min="5" max="5" width="5.5703125" customWidth="1"/>
    <col min="6" max="6" width="23.85546875" customWidth="1"/>
    <col min="7" max="7" width="5.5703125" customWidth="1"/>
    <col min="8" max="8" width="23.85546875" customWidth="1"/>
    <col min="9" max="9" width="5.5703125" customWidth="1"/>
    <col min="10" max="10" width="23.85546875" customWidth="1"/>
    <col min="11" max="11" width="8.5703125" customWidth="1"/>
  </cols>
  <sheetData>
    <row r="2" spans="1:10" ht="15.75" thickBot="1">
      <c r="A2" s="68" t="s">
        <v>497</v>
      </c>
      <c r="B2" s="64"/>
      <c r="C2" s="65"/>
      <c r="D2" s="66"/>
      <c r="F2" s="67"/>
      <c r="H2" s="66"/>
      <c r="J2" s="65"/>
    </row>
    <row r="3" spans="1:10" ht="30">
      <c r="A3" s="58" t="s">
        <v>242</v>
      </c>
      <c r="C3" s="58" t="s">
        <v>5</v>
      </c>
      <c r="F3" s="175" t="s">
        <v>498</v>
      </c>
      <c r="H3" s="175" t="s">
        <v>394</v>
      </c>
      <c r="J3" s="175" t="s">
        <v>499</v>
      </c>
    </row>
    <row r="4" spans="1:10">
      <c r="A4" s="2" t="str">
        <f>IF(C4&lt;&gt;"",MAX(#REF!)+1,"")</f>
        <v/>
      </c>
    </row>
    <row r="5" spans="1:10">
      <c r="A5" s="2">
        <v>1</v>
      </c>
      <c r="C5" s="2" t="s">
        <v>500</v>
      </c>
      <c r="F5" s="368">
        <f>'B-1 - OPTIMAL'!E22+'B-1 - OPTIMAL'!E25</f>
        <v>1235703487.4668486</v>
      </c>
      <c r="G5" s="368"/>
      <c r="H5" s="368">
        <f>'B-1 - OPTIMAL'!K22+'B-1 - OPTIMAL'!K25</f>
        <v>1210592790.5520923</v>
      </c>
      <c r="I5" s="368"/>
      <c r="J5" s="368">
        <f>'B-1 - OPTIMAL'!Q22+'B-1 - OPTIMAL'!Q25</f>
        <v>1194815932.9682293</v>
      </c>
    </row>
    <row r="6" spans="1:10">
      <c r="A6" s="2">
        <v>2</v>
      </c>
      <c r="C6" s="2" t="s">
        <v>501</v>
      </c>
      <c r="F6" s="368">
        <f>SUM('B-1 - OPTIMAL'!E6:E11)</f>
        <v>2858466567.4707646</v>
      </c>
      <c r="G6" s="368"/>
      <c r="H6" s="368">
        <f>SUM('B-1 - OPTIMAL'!K6:K11)</f>
        <v>3103145829.0751615</v>
      </c>
      <c r="I6" s="368"/>
      <c r="J6" s="368">
        <f>SUM('B-1 - OPTIMAL'!Q6:Q11)</f>
        <v>3268836404.6407886</v>
      </c>
    </row>
    <row r="7" spans="1:10">
      <c r="A7" s="2">
        <v>3</v>
      </c>
      <c r="C7" s="2" t="s">
        <v>502</v>
      </c>
      <c r="F7" s="368">
        <f>'B-1 - OPTIMAL'!E28</f>
        <v>-1739304034.0754585</v>
      </c>
      <c r="G7" s="368"/>
      <c r="H7" s="368">
        <f>H5-H6</f>
        <v>-1892553038.5230691</v>
      </c>
      <c r="I7" s="368"/>
      <c r="J7" s="368">
        <f>J5-J6</f>
        <v>-2074020471.6725593</v>
      </c>
    </row>
    <row r="8" spans="1:10">
      <c r="A8" s="2">
        <v>5</v>
      </c>
      <c r="C8" s="2" t="s">
        <v>503</v>
      </c>
      <c r="F8" s="368">
        <f>-'B-1 - OPTIMAL'!E38</f>
        <v>592236424.77796483</v>
      </c>
      <c r="G8" s="368"/>
      <c r="H8" s="368">
        <f>-'B-1 - OPTIMAL'!K38</f>
        <v>581795388.8349905</v>
      </c>
      <c r="I8" s="368"/>
      <c r="J8" s="368">
        <f>-'B-1 - OPTIMAL'!Q38</f>
        <v>548056289.32046032</v>
      </c>
    </row>
    <row r="9" spans="1:10">
      <c r="A9" s="2">
        <v>6</v>
      </c>
      <c r="C9" s="176" t="s">
        <v>504</v>
      </c>
      <c r="F9" s="378">
        <f>F8*0.3</f>
        <v>177670927.43338946</v>
      </c>
      <c r="G9" s="368"/>
      <c r="H9" s="378">
        <f>H8*0.3</f>
        <v>174538616.65049714</v>
      </c>
      <c r="I9" s="368"/>
      <c r="J9" s="378">
        <f>J8*0.3</f>
        <v>164416886.79613808</v>
      </c>
    </row>
    <row r="10" spans="1:10">
      <c r="A10" s="2">
        <v>7</v>
      </c>
      <c r="C10" s="2" t="s">
        <v>505</v>
      </c>
      <c r="F10" s="368">
        <v>0</v>
      </c>
      <c r="G10" s="368"/>
      <c r="H10" s="368">
        <v>0</v>
      </c>
      <c r="I10" s="368"/>
      <c r="J10" s="368">
        <v>0</v>
      </c>
    </row>
    <row r="11" spans="1:10">
      <c r="A11" s="2" t="str">
        <f t="shared" ref="A11:A75" si="0">IF(C11&lt;&gt;"",MAX(A8:A10)+1,"")</f>
        <v/>
      </c>
      <c r="F11" s="368"/>
      <c r="G11" s="368"/>
      <c r="H11" s="368"/>
      <c r="I11" s="368"/>
      <c r="J11" s="368"/>
    </row>
    <row r="12" spans="1:10" ht="15.75" thickBot="1">
      <c r="A12" s="68" t="s">
        <v>506</v>
      </c>
      <c r="B12" s="64"/>
      <c r="C12" s="65"/>
      <c r="D12" s="66"/>
      <c r="F12" s="379"/>
      <c r="G12" s="368"/>
      <c r="H12" s="380"/>
      <c r="I12" s="368"/>
      <c r="J12" s="380"/>
    </row>
    <row r="13" spans="1:10" ht="30">
      <c r="A13" s="58" t="s">
        <v>242</v>
      </c>
      <c r="C13" s="58" t="s">
        <v>5</v>
      </c>
      <c r="F13" s="381" t="s">
        <v>498</v>
      </c>
      <c r="G13" s="368"/>
      <c r="H13" s="381" t="s">
        <v>394</v>
      </c>
      <c r="I13" s="368"/>
      <c r="J13" s="381" t="s">
        <v>499</v>
      </c>
    </row>
    <row r="14" spans="1:10">
      <c r="A14" s="2" t="str">
        <f>IF(C14&lt;&gt;"",MAX(#REF!)+1,"")</f>
        <v/>
      </c>
      <c r="F14" s="368"/>
      <c r="G14" s="368"/>
      <c r="H14" s="368"/>
      <c r="I14" s="368"/>
      <c r="J14" s="368"/>
    </row>
    <row r="15" spans="1:10">
      <c r="A15" s="2">
        <v>8</v>
      </c>
      <c r="C15" s="2" t="s">
        <v>500</v>
      </c>
      <c r="F15" s="368">
        <f>F5</f>
        <v>1235703487.4668486</v>
      </c>
      <c r="G15" s="368">
        <f t="shared" ref="G15:J15" si="1">G5</f>
        <v>0</v>
      </c>
      <c r="H15" s="368">
        <f t="shared" si="1"/>
        <v>1210592790.5520923</v>
      </c>
      <c r="I15" s="368">
        <f t="shared" si="1"/>
        <v>0</v>
      </c>
      <c r="J15" s="368">
        <f t="shared" si="1"/>
        <v>1194815932.9682293</v>
      </c>
    </row>
    <row r="16" spans="1:10">
      <c r="A16" s="2">
        <v>9</v>
      </c>
      <c r="C16" s="2" t="s">
        <v>501</v>
      </c>
      <c r="F16" s="368">
        <f>SUM('B-1 - CONSTRAINED'!E6:E11)</f>
        <v>2232736850.4273057</v>
      </c>
      <c r="G16" s="368"/>
      <c r="H16" s="368">
        <f>SUM('B-1 - CONSTRAINED'!K6:K11)</f>
        <v>2405710615.055687</v>
      </c>
      <c r="I16" s="368"/>
      <c r="J16" s="368">
        <f>SUM('B-1 - CONSTRAINED'!Q6:Q11)</f>
        <v>2484496033.3544936</v>
      </c>
    </row>
    <row r="17" spans="1:10">
      <c r="A17" s="2">
        <v>10</v>
      </c>
      <c r="C17" s="2" t="s">
        <v>344</v>
      </c>
      <c r="F17" s="368">
        <f>F15-F16</f>
        <v>-997033362.96045709</v>
      </c>
      <c r="G17" s="368"/>
      <c r="H17" s="368">
        <f>H15-H16</f>
        <v>-1195117824.5035946</v>
      </c>
      <c r="I17" s="368"/>
      <c r="J17" s="368">
        <f>J15-J16</f>
        <v>-1289680100.3862643</v>
      </c>
    </row>
    <row r="18" spans="1:10">
      <c r="A18" s="2">
        <v>11</v>
      </c>
      <c r="C18" s="2" t="s">
        <v>503</v>
      </c>
      <c r="F18" s="368">
        <f>F8</f>
        <v>592236424.77796483</v>
      </c>
      <c r="H18" s="368">
        <f>H8</f>
        <v>581795388.8349905</v>
      </c>
      <c r="J18" s="368">
        <f>J8</f>
        <v>548056289.32046032</v>
      </c>
    </row>
    <row r="19" spans="1:10">
      <c r="A19" s="2">
        <v>12</v>
      </c>
      <c r="C19" s="176" t="s">
        <v>504</v>
      </c>
      <c r="F19" s="378">
        <f>F18*0.3</f>
        <v>177670927.43338946</v>
      </c>
      <c r="G19" s="368"/>
      <c r="H19" s="378">
        <f>H18*0.3</f>
        <v>174538616.65049714</v>
      </c>
      <c r="I19" s="368"/>
      <c r="J19" s="378">
        <f>J18*0.3</f>
        <v>164416886.79613808</v>
      </c>
    </row>
    <row r="20" spans="1:10">
      <c r="A20" s="2">
        <v>13</v>
      </c>
      <c r="C20" s="2" t="s">
        <v>505</v>
      </c>
      <c r="F20" s="368">
        <v>0</v>
      </c>
      <c r="G20" s="368"/>
      <c r="H20" s="368">
        <v>0</v>
      </c>
      <c r="I20" s="368"/>
      <c r="J20" s="368">
        <v>0</v>
      </c>
    </row>
    <row r="21" spans="1:10">
      <c r="A21" s="2" t="str">
        <f>IF(C21&lt;&gt;"",MAX(A17:A19)+1,"")</f>
        <v/>
      </c>
      <c r="F21" s="368"/>
      <c r="G21" s="368"/>
      <c r="H21" s="368"/>
      <c r="I21" s="368"/>
      <c r="J21" s="368"/>
    </row>
    <row r="22" spans="1:10" ht="15.75" thickBot="1">
      <c r="A22" s="68" t="s">
        <v>507</v>
      </c>
      <c r="B22" s="64"/>
      <c r="C22" s="65"/>
      <c r="D22" s="66"/>
      <c r="F22" s="379"/>
      <c r="G22" s="368"/>
      <c r="H22" s="380"/>
      <c r="I22" s="368"/>
      <c r="J22" s="380"/>
    </row>
    <row r="23" spans="1:10" ht="30">
      <c r="A23" s="58" t="s">
        <v>242</v>
      </c>
      <c r="C23" s="58" t="s">
        <v>5</v>
      </c>
      <c r="F23" s="381" t="s">
        <v>498</v>
      </c>
      <c r="G23" s="368"/>
      <c r="H23" s="381" t="s">
        <v>394</v>
      </c>
      <c r="I23" s="368"/>
      <c r="J23" s="381" t="s">
        <v>499</v>
      </c>
    </row>
    <row r="24" spans="1:10">
      <c r="A24" s="2" t="str">
        <f>IF(C24&lt;&gt;"",MAX(#REF!)+1,"")</f>
        <v/>
      </c>
      <c r="F24" s="368"/>
      <c r="G24" s="368"/>
      <c r="H24" s="368"/>
      <c r="I24" s="368"/>
      <c r="J24" s="368"/>
    </row>
    <row r="25" spans="1:10">
      <c r="A25" s="2">
        <v>14</v>
      </c>
      <c r="C25" s="2" t="s">
        <v>500</v>
      </c>
      <c r="F25" s="368">
        <f>F5</f>
        <v>1235703487.4668486</v>
      </c>
      <c r="G25" s="368">
        <f t="shared" ref="G25:J25" si="2">G5</f>
        <v>0</v>
      </c>
      <c r="H25" s="368">
        <f t="shared" si="2"/>
        <v>1210592790.5520923</v>
      </c>
      <c r="I25" s="368">
        <f t="shared" si="2"/>
        <v>0</v>
      </c>
      <c r="J25" s="368">
        <f t="shared" si="2"/>
        <v>1194815932.9682293</v>
      </c>
    </row>
    <row r="26" spans="1:10">
      <c r="A26" s="2">
        <v>15</v>
      </c>
      <c r="C26" s="2" t="s">
        <v>501</v>
      </c>
      <c r="F26" s="368">
        <f>F6</f>
        <v>2858466567.4707646</v>
      </c>
      <c r="G26" s="368"/>
      <c r="H26" s="368">
        <f>H6</f>
        <v>3103145829.0751615</v>
      </c>
      <c r="I26" s="368"/>
      <c r="J26" s="368">
        <f>J6</f>
        <v>3268836404.6407886</v>
      </c>
    </row>
    <row r="27" spans="1:10">
      <c r="A27" s="2">
        <v>16</v>
      </c>
      <c r="C27" s="2" t="s">
        <v>344</v>
      </c>
      <c r="F27" s="368">
        <f>F25-F26</f>
        <v>-1622763080.003916</v>
      </c>
      <c r="G27" s="368"/>
      <c r="H27" s="368">
        <f>H25-H26</f>
        <v>-1892553038.5230691</v>
      </c>
      <c r="I27" s="368"/>
      <c r="J27" s="368">
        <f>J25-J26</f>
        <v>-2074020471.6725593</v>
      </c>
    </row>
    <row r="28" spans="1:10">
      <c r="A28" s="2">
        <v>17</v>
      </c>
      <c r="C28" s="2" t="s">
        <v>503</v>
      </c>
      <c r="F28" s="368">
        <f>'B-3'!E49+'B-3'!E55</f>
        <v>1089687215.989037</v>
      </c>
      <c r="G28" s="368"/>
      <c r="H28" s="368">
        <f>'B-3'!G49+'B-3'!G55</f>
        <v>1082019068.0460625</v>
      </c>
      <c r="I28" s="368"/>
      <c r="J28" s="368">
        <f>'B-3'!I49+'B-3'!I55</f>
        <v>1051857888.5315325</v>
      </c>
    </row>
    <row r="29" spans="1:10">
      <c r="A29" s="2">
        <v>18</v>
      </c>
      <c r="C29" s="176" t="s">
        <v>504</v>
      </c>
      <c r="F29" s="378">
        <f>F28*0.3</f>
        <v>326906164.79671109</v>
      </c>
      <c r="G29" s="368"/>
      <c r="H29" s="378">
        <f>H28*0.3</f>
        <v>324605720.41381872</v>
      </c>
      <c r="I29" s="368"/>
      <c r="J29" s="378">
        <f>J28*0.3</f>
        <v>315557366.55945975</v>
      </c>
    </row>
    <row r="30" spans="1:10">
      <c r="A30" s="2">
        <v>19</v>
      </c>
      <c r="C30" s="2" t="s">
        <v>505</v>
      </c>
      <c r="F30" s="368">
        <v>0</v>
      </c>
      <c r="G30" s="368"/>
      <c r="H30" s="368">
        <v>0</v>
      </c>
      <c r="I30" s="368"/>
      <c r="J30" s="368">
        <v>0</v>
      </c>
    </row>
    <row r="31" spans="1:10">
      <c r="A31" s="2" t="str">
        <f>IF(C31&lt;&gt;"",MAX(A27:A29)+1,"")</f>
        <v/>
      </c>
      <c r="F31" s="368"/>
      <c r="G31" s="368"/>
      <c r="H31" s="368"/>
      <c r="I31" s="368"/>
      <c r="J31" s="368"/>
    </row>
    <row r="32" spans="1:10" ht="15.75" thickBot="1">
      <c r="A32" s="68" t="s">
        <v>508</v>
      </c>
      <c r="B32" s="64"/>
      <c r="C32" s="65"/>
      <c r="D32" s="66"/>
      <c r="F32" s="379"/>
      <c r="G32" s="368"/>
      <c r="H32" s="380"/>
      <c r="I32" s="368"/>
      <c r="J32" s="380"/>
    </row>
    <row r="33" spans="1:10" ht="30">
      <c r="A33" s="58" t="s">
        <v>242</v>
      </c>
      <c r="C33" s="58" t="s">
        <v>5</v>
      </c>
      <c r="F33" s="381" t="s">
        <v>498</v>
      </c>
      <c r="G33" s="368"/>
      <c r="H33" s="381" t="s">
        <v>394</v>
      </c>
      <c r="I33" s="368"/>
      <c r="J33" s="381" t="s">
        <v>499</v>
      </c>
    </row>
    <row r="34" spans="1:10">
      <c r="A34" s="2" t="str">
        <f>IF(C34&lt;&gt;"",MAX(#REF!)+1,"")</f>
        <v/>
      </c>
      <c r="F34" s="368"/>
      <c r="G34" s="368"/>
      <c r="H34" s="368"/>
      <c r="I34" s="368"/>
      <c r="J34" s="368"/>
    </row>
    <row r="35" spans="1:10">
      <c r="A35" s="2">
        <v>20</v>
      </c>
      <c r="C35" s="2" t="s">
        <v>500</v>
      </c>
      <c r="F35" s="368">
        <f>F5</f>
        <v>1235703487.4668486</v>
      </c>
      <c r="G35" s="368">
        <f t="shared" ref="G35:J35" si="3">G5</f>
        <v>0</v>
      </c>
      <c r="H35" s="368">
        <f t="shared" si="3"/>
        <v>1210592790.5520923</v>
      </c>
      <c r="I35" s="368">
        <f t="shared" si="3"/>
        <v>0</v>
      </c>
      <c r="J35" s="368">
        <f t="shared" si="3"/>
        <v>1194815932.9682293</v>
      </c>
    </row>
    <row r="36" spans="1:10">
      <c r="A36" s="2">
        <v>21</v>
      </c>
      <c r="C36" s="2" t="s">
        <v>501</v>
      </c>
      <c r="F36" s="368">
        <f>F16</f>
        <v>2232736850.4273057</v>
      </c>
      <c r="G36" s="368"/>
      <c r="H36" s="368">
        <f>H16</f>
        <v>2405710615.055687</v>
      </c>
      <c r="I36" s="368"/>
      <c r="J36" s="368">
        <f>J16</f>
        <v>2484496033.3544936</v>
      </c>
    </row>
    <row r="37" spans="1:10">
      <c r="A37" s="2">
        <v>22</v>
      </c>
      <c r="C37" s="2" t="s">
        <v>344</v>
      </c>
      <c r="F37" s="368">
        <f>F35-F36</f>
        <v>-997033362.96045709</v>
      </c>
      <c r="G37" s="368"/>
      <c r="H37" s="368">
        <f>H35-H36</f>
        <v>-1195117824.5035946</v>
      </c>
      <c r="I37" s="368"/>
      <c r="J37" s="368">
        <f>J35-J36</f>
        <v>-1289680100.3862643</v>
      </c>
    </row>
    <row r="38" spans="1:10">
      <c r="A38" s="2">
        <v>23</v>
      </c>
      <c r="C38" s="2" t="s">
        <v>503</v>
      </c>
      <c r="F38" s="368">
        <f>F28</f>
        <v>1089687215.989037</v>
      </c>
      <c r="G38" s="368"/>
      <c r="H38" s="368">
        <f>H28</f>
        <v>1082019068.0460625</v>
      </c>
      <c r="I38" s="368"/>
      <c r="J38" s="368">
        <f>J28</f>
        <v>1051857888.5315325</v>
      </c>
    </row>
    <row r="39" spans="1:10">
      <c r="A39" s="2">
        <v>24</v>
      </c>
      <c r="C39" s="176" t="s">
        <v>504</v>
      </c>
      <c r="F39" s="378">
        <f>F38*0.3</f>
        <v>326906164.79671109</v>
      </c>
      <c r="G39" s="368"/>
      <c r="H39" s="378">
        <f>H38*0.3</f>
        <v>324605720.41381872</v>
      </c>
      <c r="I39" s="368"/>
      <c r="J39" s="378">
        <f>J38*0.3</f>
        <v>315557366.55945975</v>
      </c>
    </row>
    <row r="40" spans="1:10">
      <c r="A40" s="2">
        <v>25</v>
      </c>
      <c r="C40" s="2" t="s">
        <v>505</v>
      </c>
      <c r="F40" s="368">
        <v>0</v>
      </c>
      <c r="G40" s="368"/>
      <c r="H40" s="368">
        <v>0</v>
      </c>
      <c r="I40" s="368"/>
      <c r="J40" s="368">
        <v>0</v>
      </c>
    </row>
    <row r="41" spans="1:10">
      <c r="A41" s="2" t="str">
        <f>IF(C41&lt;&gt;"",MAX(A37:A39)+1,"")</f>
        <v/>
      </c>
    </row>
    <row r="42" spans="1:10">
      <c r="A42" s="2" t="str">
        <f>IF(C42&lt;&gt;"",MAX(A38:A41)+1,"")</f>
        <v/>
      </c>
    </row>
    <row r="43" spans="1:10">
      <c r="A43" s="2" t="str">
        <f>IF(C43&lt;&gt;"",MAX(A39:A42)+1,"")</f>
        <v/>
      </c>
    </row>
    <row r="44" spans="1:10">
      <c r="A44" s="2" t="str">
        <f t="shared" si="0"/>
        <v/>
      </c>
    </row>
    <row r="45" spans="1:10">
      <c r="A45" s="2" t="str">
        <f t="shared" si="0"/>
        <v/>
      </c>
    </row>
    <row r="46" spans="1:10">
      <c r="A46" s="2" t="str">
        <f t="shared" si="0"/>
        <v/>
      </c>
    </row>
    <row r="47" spans="1:10">
      <c r="A47" s="2" t="str">
        <f t="shared" si="0"/>
        <v/>
      </c>
    </row>
    <row r="48" spans="1:10">
      <c r="A48" s="2" t="str">
        <f t="shared" si="0"/>
        <v/>
      </c>
    </row>
    <row r="49" spans="1:1">
      <c r="A49" s="2" t="str">
        <f t="shared" si="0"/>
        <v/>
      </c>
    </row>
    <row r="50" spans="1:1">
      <c r="A50" s="2" t="str">
        <f t="shared" si="0"/>
        <v/>
      </c>
    </row>
    <row r="51" spans="1:1">
      <c r="A51" s="2" t="str">
        <f t="shared" si="0"/>
        <v/>
      </c>
    </row>
    <row r="52" spans="1:1">
      <c r="A52" s="2" t="str">
        <f t="shared" si="0"/>
        <v/>
      </c>
    </row>
    <row r="53" spans="1:1">
      <c r="A53" s="2" t="str">
        <f t="shared" si="0"/>
        <v/>
      </c>
    </row>
    <row r="54" spans="1:1">
      <c r="A54" s="2" t="str">
        <f t="shared" si="0"/>
        <v/>
      </c>
    </row>
    <row r="55" spans="1:1">
      <c r="A55" s="2" t="str">
        <f t="shared" si="0"/>
        <v/>
      </c>
    </row>
    <row r="56" spans="1:1">
      <c r="A56" s="2" t="str">
        <f t="shared" si="0"/>
        <v/>
      </c>
    </row>
    <row r="57" spans="1:1">
      <c r="A57" s="2" t="str">
        <f t="shared" si="0"/>
        <v/>
      </c>
    </row>
    <row r="58" spans="1:1">
      <c r="A58" s="2" t="str">
        <f t="shared" si="0"/>
        <v/>
      </c>
    </row>
    <row r="59" spans="1:1">
      <c r="A59" s="2" t="str">
        <f t="shared" si="0"/>
        <v/>
      </c>
    </row>
    <row r="60" spans="1:1">
      <c r="A60" s="2" t="str">
        <f t="shared" si="0"/>
        <v/>
      </c>
    </row>
    <row r="61" spans="1:1">
      <c r="A61" s="2" t="str">
        <f t="shared" si="0"/>
        <v/>
      </c>
    </row>
    <row r="62" spans="1:1">
      <c r="A62" s="2" t="str">
        <f t="shared" si="0"/>
        <v/>
      </c>
    </row>
    <row r="63" spans="1:1">
      <c r="A63" s="2" t="str">
        <f t="shared" si="0"/>
        <v/>
      </c>
    </row>
    <row r="64" spans="1:1">
      <c r="A64" s="2" t="str">
        <f t="shared" si="0"/>
        <v/>
      </c>
    </row>
    <row r="65" spans="1:1">
      <c r="A65" s="2" t="str">
        <f t="shared" si="0"/>
        <v/>
      </c>
    </row>
    <row r="66" spans="1:1">
      <c r="A66" s="2" t="str">
        <f t="shared" si="0"/>
        <v/>
      </c>
    </row>
    <row r="67" spans="1:1">
      <c r="A67" s="2" t="str">
        <f t="shared" si="0"/>
        <v/>
      </c>
    </row>
    <row r="68" spans="1:1">
      <c r="A68" s="2" t="str">
        <f t="shared" si="0"/>
        <v/>
      </c>
    </row>
    <row r="69" spans="1:1">
      <c r="A69" s="2" t="str">
        <f t="shared" si="0"/>
        <v/>
      </c>
    </row>
    <row r="70" spans="1:1">
      <c r="A70" s="2" t="str">
        <f t="shared" si="0"/>
        <v/>
      </c>
    </row>
    <row r="71" spans="1:1">
      <c r="A71" s="2" t="str">
        <f t="shared" si="0"/>
        <v/>
      </c>
    </row>
    <row r="72" spans="1:1">
      <c r="A72" s="2" t="str">
        <f t="shared" si="0"/>
        <v/>
      </c>
    </row>
    <row r="73" spans="1:1">
      <c r="A73" s="2" t="str">
        <f t="shared" si="0"/>
        <v/>
      </c>
    </row>
    <row r="74" spans="1:1">
      <c r="A74" s="2" t="str">
        <f t="shared" si="0"/>
        <v/>
      </c>
    </row>
    <row r="75" spans="1:1">
      <c r="A75" s="2" t="str">
        <f t="shared" si="0"/>
        <v/>
      </c>
    </row>
    <row r="76" spans="1:1">
      <c r="A76" s="2" t="str">
        <f t="shared" ref="A76:A108" si="4">IF(C76&lt;&gt;"",MAX(A73:A75)+1,"")</f>
        <v/>
      </c>
    </row>
    <row r="77" spans="1:1">
      <c r="A77" s="2" t="str">
        <f t="shared" si="4"/>
        <v/>
      </c>
    </row>
    <row r="78" spans="1:1">
      <c r="A78" s="2" t="str">
        <f t="shared" si="4"/>
        <v/>
      </c>
    </row>
    <row r="79" spans="1:1">
      <c r="A79" s="2" t="str">
        <f t="shared" si="4"/>
        <v/>
      </c>
    </row>
    <row r="80" spans="1:1">
      <c r="A80" s="2" t="str">
        <f t="shared" si="4"/>
        <v/>
      </c>
    </row>
    <row r="81" spans="1:1">
      <c r="A81" s="2" t="str">
        <f t="shared" si="4"/>
        <v/>
      </c>
    </row>
    <row r="82" spans="1:1">
      <c r="A82" s="2" t="str">
        <f t="shared" si="4"/>
        <v/>
      </c>
    </row>
    <row r="83" spans="1:1">
      <c r="A83" s="2" t="str">
        <f t="shared" si="4"/>
        <v/>
      </c>
    </row>
    <row r="84" spans="1:1">
      <c r="A84" s="2"/>
    </row>
    <row r="85" spans="1:1">
      <c r="A85" s="2" t="str">
        <f>IF(C85&lt;&gt;"",MAX(A81:A83)+1,"")</f>
        <v/>
      </c>
    </row>
    <row r="86" spans="1:1">
      <c r="A86" s="2" t="str">
        <f>IF(C86&lt;&gt;"",MAX(A82:A85)+1,"")</f>
        <v/>
      </c>
    </row>
    <row r="87" spans="1:1">
      <c r="A87" s="2" t="str">
        <f>IF(C87&lt;&gt;"",MAX(A83:A86)+1,"")</f>
        <v/>
      </c>
    </row>
    <row r="88" spans="1:1">
      <c r="A88" s="2" t="str">
        <f t="shared" si="4"/>
        <v/>
      </c>
    </row>
    <row r="89" spans="1:1">
      <c r="A89" s="2" t="str">
        <f t="shared" si="4"/>
        <v/>
      </c>
    </row>
    <row r="90" spans="1:1">
      <c r="A90" s="2" t="str">
        <f t="shared" si="4"/>
        <v/>
      </c>
    </row>
    <row r="91" spans="1:1">
      <c r="A91" s="2" t="str">
        <f t="shared" si="4"/>
        <v/>
      </c>
    </row>
    <row r="92" spans="1:1">
      <c r="A92" s="2"/>
    </row>
    <row r="93" spans="1:1">
      <c r="A93" s="2" t="str">
        <f>IF(C93&lt;&gt;"",MAX(A89:A91)+1,"")</f>
        <v/>
      </c>
    </row>
    <row r="94" spans="1:1">
      <c r="A94" s="2" t="str">
        <f>IF(C94&lt;&gt;"",MAX(A90:A93)+1,"")</f>
        <v/>
      </c>
    </row>
    <row r="95" spans="1:1">
      <c r="A95" s="2" t="str">
        <f>IF(C95&lt;&gt;"",MAX(A91:A94)+1,"")</f>
        <v/>
      </c>
    </row>
    <row r="96" spans="1:1">
      <c r="A96" s="2" t="str">
        <f t="shared" si="4"/>
        <v/>
      </c>
    </row>
    <row r="97" spans="1:1">
      <c r="A97" s="2" t="str">
        <f t="shared" si="4"/>
        <v/>
      </c>
    </row>
    <row r="98" spans="1:1">
      <c r="A98" s="2" t="str">
        <f t="shared" si="4"/>
        <v/>
      </c>
    </row>
    <row r="99" spans="1:1">
      <c r="A99" s="2" t="str">
        <f t="shared" si="4"/>
        <v/>
      </c>
    </row>
    <row r="100" spans="1:1">
      <c r="A100" s="2" t="str">
        <f t="shared" si="4"/>
        <v/>
      </c>
    </row>
    <row r="101" spans="1:1">
      <c r="A101" s="2" t="str">
        <f t="shared" si="4"/>
        <v/>
      </c>
    </row>
    <row r="102" spans="1:1">
      <c r="A102" s="2" t="str">
        <f t="shared" si="4"/>
        <v/>
      </c>
    </row>
    <row r="103" spans="1:1">
      <c r="A103" s="2" t="str">
        <f t="shared" si="4"/>
        <v/>
      </c>
    </row>
    <row r="104" spans="1:1">
      <c r="A104" s="2" t="str">
        <f t="shared" si="4"/>
        <v/>
      </c>
    </row>
    <row r="105" spans="1:1">
      <c r="A105" s="2" t="str">
        <f t="shared" si="4"/>
        <v/>
      </c>
    </row>
    <row r="106" spans="1:1">
      <c r="A106" s="2" t="str">
        <f t="shared" si="4"/>
        <v/>
      </c>
    </row>
    <row r="107" spans="1:1">
      <c r="A107" s="2" t="str">
        <f t="shared" si="4"/>
        <v/>
      </c>
    </row>
    <row r="108" spans="1:1">
      <c r="A108" s="2" t="str">
        <f t="shared" si="4"/>
        <v/>
      </c>
    </row>
    <row r="109" spans="1:1">
      <c r="A109" s="2" t="str">
        <f>IF(C109&lt;&gt;"",MAX(A106:A108)+1,"")</f>
        <v/>
      </c>
    </row>
    <row r="110" spans="1:1">
      <c r="A110" s="2" t="str">
        <f>IF(C110&lt;&gt;"",MAX(A108:A109)+1,"")</f>
        <v/>
      </c>
    </row>
    <row r="111" spans="1:1">
      <c r="A111" s="2" t="str">
        <f t="shared" ref="A111:A138" si="5">IF(C111&lt;&gt;"",MAX(A109:A110)+1,"")</f>
        <v/>
      </c>
    </row>
    <row r="112" spans="1:1">
      <c r="A112" s="2" t="str">
        <f t="shared" si="5"/>
        <v/>
      </c>
    </row>
    <row r="113" spans="1:1">
      <c r="A113" s="2" t="str">
        <f t="shared" si="5"/>
        <v/>
      </c>
    </row>
    <row r="114" spans="1:1">
      <c r="A114" s="2" t="str">
        <f t="shared" si="5"/>
        <v/>
      </c>
    </row>
    <row r="115" spans="1:1">
      <c r="A115" s="2" t="str">
        <f t="shared" si="5"/>
        <v/>
      </c>
    </row>
    <row r="116" spans="1:1">
      <c r="A116" s="2" t="str">
        <f t="shared" si="5"/>
        <v/>
      </c>
    </row>
    <row r="117" spans="1:1">
      <c r="A117" s="2" t="str">
        <f t="shared" si="5"/>
        <v/>
      </c>
    </row>
    <row r="118" spans="1:1">
      <c r="A118" s="2" t="str">
        <f t="shared" si="5"/>
        <v/>
      </c>
    </row>
    <row r="119" spans="1:1">
      <c r="A119" s="2"/>
    </row>
    <row r="120" spans="1:1">
      <c r="A120" s="2" t="str">
        <f>IF(C120&lt;&gt;"",MAX(A117:A118)+1,"")</f>
        <v/>
      </c>
    </row>
    <row r="121" spans="1:1">
      <c r="A121" s="2" t="str">
        <f>IF(C121&lt;&gt;"",MAX(A118:A120)+1,"")</f>
        <v/>
      </c>
    </row>
    <row r="122" spans="1:1">
      <c r="A122" s="2" t="str">
        <f t="shared" si="5"/>
        <v/>
      </c>
    </row>
    <row r="123" spans="1:1">
      <c r="A123" s="2" t="str">
        <f t="shared" si="5"/>
        <v/>
      </c>
    </row>
    <row r="124" spans="1:1">
      <c r="A124" s="2" t="str">
        <f t="shared" si="5"/>
        <v/>
      </c>
    </row>
    <row r="125" spans="1:1">
      <c r="A125" s="2" t="str">
        <f t="shared" si="5"/>
        <v/>
      </c>
    </row>
    <row r="126" spans="1:1">
      <c r="A126" s="2" t="str">
        <f t="shared" si="5"/>
        <v/>
      </c>
    </row>
    <row r="127" spans="1:1">
      <c r="A127" s="2" t="str">
        <f t="shared" si="5"/>
        <v/>
      </c>
    </row>
    <row r="128" spans="1:1">
      <c r="A128" s="2" t="str">
        <f t="shared" si="5"/>
        <v/>
      </c>
    </row>
    <row r="129" spans="1:1">
      <c r="A129" s="2" t="str">
        <f t="shared" si="5"/>
        <v/>
      </c>
    </row>
    <row r="130" spans="1:1">
      <c r="A130" s="2" t="str">
        <f t="shared" si="5"/>
        <v/>
      </c>
    </row>
    <row r="131" spans="1:1">
      <c r="A131" s="2" t="str">
        <f t="shared" si="5"/>
        <v/>
      </c>
    </row>
    <row r="132" spans="1:1">
      <c r="A132" s="2"/>
    </row>
    <row r="133" spans="1:1">
      <c r="A133" s="2" t="str">
        <f>IF(C133&lt;&gt;"",MAX(A130:A131)+1,"")</f>
        <v/>
      </c>
    </row>
    <row r="134" spans="1:1">
      <c r="A134" s="2" t="str">
        <f>IF(C134&lt;&gt;"",MAX(A131:A133)+1,"")</f>
        <v/>
      </c>
    </row>
    <row r="135" spans="1:1">
      <c r="A135" s="2" t="str">
        <f t="shared" si="5"/>
        <v/>
      </c>
    </row>
    <row r="136" spans="1:1">
      <c r="A136" s="2" t="str">
        <f t="shared" si="5"/>
        <v/>
      </c>
    </row>
    <row r="137" spans="1:1">
      <c r="A137" s="2" t="str">
        <f t="shared" si="5"/>
        <v/>
      </c>
    </row>
    <row r="138" spans="1:1">
      <c r="A138" s="2" t="str">
        <f t="shared" si="5"/>
        <v/>
      </c>
    </row>
    <row r="139" spans="1:1">
      <c r="A139" s="2"/>
    </row>
    <row r="140" spans="1:1">
      <c r="A140" s="2" t="str">
        <f>IF(C140&lt;&gt;"",MAX(A137:A138)+1,"")</f>
        <v/>
      </c>
    </row>
    <row r="141" spans="1:1">
      <c r="A141" s="2" t="str">
        <f>IF(C141&lt;&gt;"",MAX(A138:A140)+1,"")</f>
        <v/>
      </c>
    </row>
  </sheetData>
  <pageMargins left="0.7" right="0.7" top="0.75" bottom="0.75" header="0.3" footer="0.3"/>
  <pageSetup scale="47" orientation="portrait" horizontalDpi="1200" verticalDpi="1200" r:id="rId1"/>
  <headerFooter>
    <oddHeader>&amp;LPuerto Rico Electric Power Authority 
Docket NEPR-AP-2023-0003
Proposed Margin for Debt Service Requirements
&amp;RSchedule B-4
Page &amp;P of &amp;N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9D6A5-DBBB-4B0D-8C1D-A7DA24B6803B}">
  <sheetPr>
    <tabColor theme="5" tint="0.79998168889431442"/>
  </sheetPr>
  <dimension ref="A3:E3"/>
  <sheetViews>
    <sheetView workbookViewId="0"/>
    <sheetView workbookViewId="1"/>
    <sheetView workbookViewId="2"/>
  </sheetViews>
  <sheetFormatPr defaultRowHeight="15"/>
  <cols>
    <col min="1" max="2" width="5.5703125" customWidth="1"/>
    <col min="3" max="3" width="26" bestFit="1" customWidth="1"/>
    <col min="4" max="4" width="61.5703125" style="61" customWidth="1"/>
    <col min="5" max="5" width="8.85546875" style="2" bestFit="1" customWidth="1"/>
    <col min="6" max="6" width="5.5703125" customWidth="1"/>
    <col min="7" max="8" width="20.5703125" customWidth="1"/>
    <col min="9" max="9" width="5.5703125" customWidth="1"/>
    <col min="10" max="11" width="20.5703125" customWidth="1"/>
    <col min="12" max="12" width="5.5703125" customWidth="1"/>
    <col min="13" max="14" width="20.5703125" customWidth="1"/>
    <col min="15" max="15" width="5.5703125" customWidth="1"/>
    <col min="16" max="17" width="20.5703125" customWidth="1"/>
    <col min="18" max="18" width="5.5703125" customWidth="1"/>
    <col min="19" max="20" width="20.5703125" customWidth="1"/>
    <col min="21" max="21" width="5.5703125" customWidth="1"/>
    <col min="22" max="23" width="20.5703125" customWidth="1"/>
    <col min="24" max="24" width="8.5703125" bestFit="1" customWidth="1"/>
    <col min="25" max="26" width="20.5703125" customWidth="1"/>
  </cols>
  <sheetData>
    <row r="3" spans="1:1" ht="36">
      <c r="A3" s="392" t="s">
        <v>509</v>
      </c>
    </row>
  </sheetData>
  <pageMargins left="0.7" right="0.7" top="0.75" bottom="0.75" header="0.3" footer="0.3"/>
  <pageSetup scale="40" orientation="portrait" r:id="rId1"/>
  <headerFooter>
    <oddHeader xml:space="preserve">&amp;LPuerto Rico Electric Power Authority 
Docket NEPR-AP-2023-0003
Plant in Service and Accumulated Depreciation
&amp;RSchedule B-5
Page 1 of 1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C5EF4-1CD3-4E1D-8341-572796F18C1C}">
  <sheetPr>
    <tabColor theme="5" tint="0.79998168889431442"/>
  </sheetPr>
  <dimension ref="A2:J30"/>
  <sheetViews>
    <sheetView workbookViewId="0"/>
    <sheetView workbookViewId="1"/>
    <sheetView workbookViewId="2"/>
  </sheetViews>
  <sheetFormatPr defaultColWidth="8.5703125" defaultRowHeight="15"/>
  <cols>
    <col min="1" max="1" width="5.85546875" bestFit="1" customWidth="1"/>
    <col min="2" max="2" width="5.5703125" customWidth="1"/>
    <col min="3" max="3" width="34.140625" bestFit="1" customWidth="1"/>
    <col min="4" max="4" width="28.42578125" style="61" customWidth="1"/>
    <col min="5" max="5" width="5.5703125" customWidth="1"/>
    <col min="6" max="6" width="20.85546875" customWidth="1"/>
    <col min="7" max="7" width="5.5703125" customWidth="1"/>
    <col min="8" max="8" width="18.140625" customWidth="1"/>
    <col min="9" max="9" width="5.5703125" customWidth="1"/>
    <col min="10" max="10" width="18.42578125" customWidth="1"/>
  </cols>
  <sheetData>
    <row r="2" spans="1:10">
      <c r="E2" s="69"/>
      <c r="F2" s="1200" t="s">
        <v>510</v>
      </c>
      <c r="G2" s="1200"/>
      <c r="H2" s="1200"/>
      <c r="I2" s="1200"/>
      <c r="J2" s="1200"/>
    </row>
    <row r="3" spans="1:10" ht="30">
      <c r="A3" s="58" t="s">
        <v>242</v>
      </c>
      <c r="B3" s="2"/>
      <c r="C3" s="58" t="s">
        <v>5</v>
      </c>
      <c r="D3" s="58" t="s">
        <v>511</v>
      </c>
      <c r="E3" s="56"/>
      <c r="F3" s="58" t="s">
        <v>393</v>
      </c>
      <c r="G3" s="56"/>
      <c r="H3" s="58" t="s">
        <v>394</v>
      </c>
      <c r="J3" s="58" t="s">
        <v>395</v>
      </c>
    </row>
    <row r="4" spans="1:10">
      <c r="A4" s="59"/>
      <c r="B4" s="2"/>
      <c r="C4" s="59"/>
      <c r="D4" s="62"/>
      <c r="E4" s="56"/>
      <c r="F4" s="2" t="s">
        <v>358</v>
      </c>
      <c r="G4" s="56"/>
      <c r="H4" s="2" t="s">
        <v>462</v>
      </c>
      <c r="J4" s="2" t="s">
        <v>463</v>
      </c>
    </row>
    <row r="5" spans="1:10" ht="15.75" hidden="1" thickBot="1">
      <c r="A5" s="2">
        <f>1</f>
        <v>1</v>
      </c>
      <c r="B5" s="2"/>
      <c r="C5" s="774" t="s">
        <v>512</v>
      </c>
      <c r="D5" s="775"/>
      <c r="E5" s="379"/>
      <c r="F5" s="379"/>
      <c r="G5" s="380"/>
      <c r="H5" s="380"/>
      <c r="I5" s="380"/>
      <c r="J5" s="380"/>
    </row>
    <row r="6" spans="1:10" hidden="1">
      <c r="A6" s="2"/>
      <c r="B6" s="2"/>
      <c r="C6" s="74"/>
      <c r="D6" s="776"/>
      <c r="E6" s="376"/>
      <c r="F6" s="376"/>
      <c r="G6" s="368"/>
      <c r="H6" s="368"/>
      <c r="I6" s="368"/>
      <c r="J6" s="368"/>
    </row>
    <row r="7" spans="1:10" hidden="1">
      <c r="A7" s="2">
        <f>IF(C7&lt;&gt;"",MAX(A5:A5)+1,"")</f>
        <v>2</v>
      </c>
      <c r="B7" s="2"/>
      <c r="C7" s="60" t="s">
        <v>513</v>
      </c>
      <c r="D7" s="776"/>
      <c r="E7" s="368"/>
      <c r="F7" s="368">
        <v>0</v>
      </c>
      <c r="G7" s="368"/>
      <c r="H7" s="368">
        <v>0</v>
      </c>
      <c r="I7" s="368"/>
      <c r="J7" s="368">
        <v>0</v>
      </c>
    </row>
    <row r="8" spans="1:10" hidden="1">
      <c r="A8" s="2">
        <f>IF(C8&lt;&gt;"",MAX(A5:A7)+1,"")</f>
        <v>3</v>
      </c>
      <c r="B8" s="2"/>
      <c r="C8" s="60" t="s">
        <v>514</v>
      </c>
      <c r="D8" s="776"/>
      <c r="E8" s="376"/>
      <c r="F8" s="368">
        <v>0</v>
      </c>
      <c r="G8" s="368"/>
      <c r="H8" s="368">
        <v>0</v>
      </c>
      <c r="I8" s="368"/>
      <c r="J8" s="368">
        <v>0</v>
      </c>
    </row>
    <row r="9" spans="1:10" hidden="1">
      <c r="A9" s="2">
        <f>IF(C9&lt;&gt;"",MAX(A5:A8)+1,"")</f>
        <v>4</v>
      </c>
      <c r="B9" s="2"/>
      <c r="C9" s="60" t="s">
        <v>515</v>
      </c>
      <c r="D9" s="776"/>
      <c r="E9" s="376"/>
      <c r="F9" s="368">
        <v>0</v>
      </c>
      <c r="G9" s="368"/>
      <c r="H9" s="368">
        <v>0</v>
      </c>
      <c r="I9" s="368"/>
      <c r="J9" s="368">
        <v>0</v>
      </c>
    </row>
    <row r="10" spans="1:10" hidden="1">
      <c r="A10" s="2">
        <f t="shared" ref="A10:A11" si="0">IF(C10&lt;&gt;"",MAX(A7:A9)+1,"")</f>
        <v>5</v>
      </c>
      <c r="B10" s="2"/>
      <c r="C10" s="60" t="s">
        <v>516</v>
      </c>
      <c r="D10" s="776"/>
      <c r="E10" s="376"/>
      <c r="F10" s="368">
        <v>0</v>
      </c>
      <c r="G10" s="368"/>
      <c r="H10" s="368">
        <v>0</v>
      </c>
      <c r="I10" s="368"/>
      <c r="J10" s="368">
        <v>0</v>
      </c>
    </row>
    <row r="11" spans="1:10" hidden="1">
      <c r="A11" s="2">
        <f t="shared" si="0"/>
        <v>6</v>
      </c>
      <c r="B11" s="2"/>
      <c r="C11" s="60" t="s">
        <v>517</v>
      </c>
      <c r="D11" s="776"/>
      <c r="E11" s="376"/>
      <c r="F11" s="368">
        <v>0</v>
      </c>
      <c r="G11" s="368"/>
      <c r="H11" s="368">
        <v>0</v>
      </c>
      <c r="I11" s="368"/>
      <c r="J11" s="368">
        <v>0</v>
      </c>
    </row>
    <row r="12" spans="1:10" hidden="1">
      <c r="A12" s="2"/>
      <c r="B12" s="2"/>
      <c r="C12" s="60"/>
      <c r="D12" s="776"/>
      <c r="E12" s="376"/>
      <c r="F12" s="368"/>
      <c r="G12" s="368"/>
      <c r="H12" s="368"/>
      <c r="I12" s="368"/>
      <c r="J12" s="368"/>
    </row>
    <row r="13" spans="1:10" hidden="1">
      <c r="A13" s="2">
        <f>IF(C13&lt;&gt;"",MAX(A9:A11)+1,"")</f>
        <v>7</v>
      </c>
      <c r="B13" s="2"/>
      <c r="C13" s="770" t="s">
        <v>518</v>
      </c>
      <c r="D13" s="777"/>
      <c r="E13" s="778"/>
      <c r="F13" s="779">
        <f>SUM(F7:F11)</f>
        <v>0</v>
      </c>
      <c r="G13" s="779"/>
      <c r="H13" s="779">
        <f>SUM(H7:H11)</f>
        <v>0</v>
      </c>
      <c r="I13" s="779"/>
      <c r="J13" s="780">
        <f>SUM(J7:J11)</f>
        <v>0</v>
      </c>
    </row>
    <row r="14" spans="1:10" hidden="1">
      <c r="A14" s="2" t="str">
        <f>IF(C14&lt;&gt;"",MAX(A10:A13)+1,"")</f>
        <v/>
      </c>
      <c r="B14" s="2"/>
      <c r="C14" s="60"/>
      <c r="D14" s="776"/>
      <c r="E14" s="376"/>
      <c r="F14" s="368"/>
      <c r="G14" s="368"/>
      <c r="H14" s="368"/>
      <c r="I14" s="368"/>
      <c r="J14" s="368"/>
    </row>
    <row r="15" spans="1:10" ht="15.75" hidden="1" thickBot="1">
      <c r="A15" s="2">
        <f>IF(C15&lt;&gt;"",MAX(A11:A14)+1,"")</f>
        <v>8</v>
      </c>
      <c r="B15" s="2"/>
      <c r="C15" s="774" t="s">
        <v>519</v>
      </c>
      <c r="D15" s="775"/>
      <c r="E15" s="379"/>
      <c r="F15" s="379"/>
      <c r="G15" s="380"/>
      <c r="H15" s="380"/>
      <c r="I15" s="380"/>
      <c r="J15" s="380"/>
    </row>
    <row r="16" spans="1:10" hidden="1">
      <c r="A16" s="2"/>
      <c r="B16" s="2"/>
      <c r="C16" s="74"/>
      <c r="D16" s="776"/>
      <c r="E16" s="376"/>
      <c r="F16" s="376"/>
      <c r="G16" s="368"/>
      <c r="H16" s="368"/>
      <c r="I16" s="368"/>
      <c r="J16" s="368"/>
    </row>
    <row r="17" spans="1:10" hidden="1">
      <c r="A17" s="2">
        <f>IF(C17&lt;&gt;"",MAX(A13:A15)+1,"")</f>
        <v>9</v>
      </c>
      <c r="B17" s="2"/>
      <c r="C17" s="60" t="s">
        <v>513</v>
      </c>
      <c r="D17" s="776"/>
      <c r="E17" s="368"/>
      <c r="F17" s="368">
        <v>0</v>
      </c>
      <c r="G17" s="368"/>
      <c r="H17" s="368">
        <v>0</v>
      </c>
      <c r="I17" s="368"/>
      <c r="J17" s="368">
        <v>0</v>
      </c>
    </row>
    <row r="18" spans="1:10" hidden="1">
      <c r="A18" s="2"/>
      <c r="B18" s="2"/>
      <c r="C18" s="60"/>
      <c r="D18" s="776"/>
      <c r="E18" s="368"/>
      <c r="F18" s="368"/>
      <c r="G18" s="368"/>
      <c r="H18" s="368"/>
      <c r="I18" s="368"/>
      <c r="J18" s="368"/>
    </row>
    <row r="19" spans="1:10" hidden="1">
      <c r="A19" s="2">
        <f>IF(C19&lt;&gt;"",MAX(A14:A17)+1,"")</f>
        <v>10</v>
      </c>
      <c r="B19" s="2"/>
      <c r="C19" s="770" t="s">
        <v>520</v>
      </c>
      <c r="D19" s="777"/>
      <c r="E19" s="778"/>
      <c r="F19" s="779">
        <f>SUM(F17:F17)</f>
        <v>0</v>
      </c>
      <c r="G19" s="779"/>
      <c r="H19" s="779">
        <f>SUM(H17:H17)</f>
        <v>0</v>
      </c>
      <c r="I19" s="779"/>
      <c r="J19" s="780">
        <f>SUM(J17:J17)</f>
        <v>0</v>
      </c>
    </row>
    <row r="20" spans="1:10">
      <c r="A20" s="2" t="str">
        <f>IF(C20&lt;&gt;"",MAX(A15:A19)+1,"")</f>
        <v/>
      </c>
      <c r="B20" s="2"/>
      <c r="C20" s="60"/>
      <c r="D20" s="776"/>
      <c r="E20" s="376"/>
      <c r="F20" s="368"/>
      <c r="G20" s="368"/>
      <c r="H20" s="368"/>
      <c r="I20" s="368"/>
      <c r="J20" s="368"/>
    </row>
    <row r="21" spans="1:10" ht="15.75" thickBot="1">
      <c r="A21" s="2">
        <v>1</v>
      </c>
      <c r="B21" s="2"/>
      <c r="C21" s="774" t="s">
        <v>521</v>
      </c>
      <c r="D21" s="775"/>
      <c r="E21" s="379"/>
      <c r="F21" s="379"/>
      <c r="G21" s="380"/>
      <c r="H21" s="380"/>
      <c r="I21" s="380"/>
      <c r="J21" s="380"/>
    </row>
    <row r="22" spans="1:10">
      <c r="A22" s="2"/>
      <c r="B22" s="2"/>
      <c r="C22" s="74"/>
      <c r="D22" s="776"/>
      <c r="E22" s="376"/>
      <c r="F22" s="376"/>
      <c r="G22" s="368"/>
      <c r="H22" s="368"/>
      <c r="I22" s="368"/>
      <c r="J22" s="368"/>
    </row>
    <row r="23" spans="1:10">
      <c r="A23" s="2">
        <v>2</v>
      </c>
      <c r="B23" s="2"/>
      <c r="C23" s="60" t="s">
        <v>522</v>
      </c>
      <c r="D23" s="776" t="s">
        <v>523</v>
      </c>
      <c r="E23" s="368"/>
      <c r="F23" s="781">
        <v>1275000</v>
      </c>
      <c r="G23" s="781"/>
      <c r="H23" s="781">
        <v>1275000</v>
      </c>
      <c r="I23" s="781"/>
      <c r="J23" s="781">
        <v>956250</v>
      </c>
    </row>
    <row r="24" spans="1:10">
      <c r="A24" s="2">
        <f>IF(C24&lt;&gt;"",MAX(A20:A23)+1,"")</f>
        <v>3</v>
      </c>
      <c r="B24" s="2"/>
      <c r="C24" s="60" t="s">
        <v>524</v>
      </c>
      <c r="D24" s="776" t="s">
        <v>523</v>
      </c>
      <c r="E24" s="376"/>
      <c r="F24" s="781">
        <v>16757400</v>
      </c>
      <c r="G24" s="781"/>
      <c r="H24" s="781">
        <v>16757400</v>
      </c>
      <c r="I24" s="781"/>
      <c r="J24" s="781">
        <v>1396450</v>
      </c>
    </row>
    <row r="25" spans="1:10">
      <c r="A25" s="2">
        <f>IF(C25&lt;&gt;"",MAX(A21:A24)+1,"")</f>
        <v>4</v>
      </c>
      <c r="B25" s="2"/>
      <c r="C25" s="60" t="s">
        <v>525</v>
      </c>
      <c r="D25" s="776" t="s">
        <v>526</v>
      </c>
      <c r="E25" s="376"/>
      <c r="F25" s="781">
        <v>517863</v>
      </c>
      <c r="G25" s="781"/>
      <c r="H25" s="781">
        <v>522940</v>
      </c>
      <c r="I25" s="781"/>
      <c r="J25" s="781">
        <v>522940</v>
      </c>
    </row>
    <row r="26" spans="1:10">
      <c r="A26" s="2"/>
      <c r="B26" s="2"/>
      <c r="C26" s="60"/>
      <c r="D26" s="776"/>
      <c r="E26" s="376"/>
      <c r="F26" s="368"/>
      <c r="G26" s="368"/>
      <c r="H26" s="368"/>
      <c r="I26" s="368"/>
      <c r="J26" s="368"/>
    </row>
    <row r="27" spans="1:10">
      <c r="A27" s="2">
        <f>IF(C27&lt;&gt;"",MAX(A25)+1,"")</f>
        <v>5</v>
      </c>
      <c r="B27" s="2"/>
      <c r="C27" s="770" t="s">
        <v>527</v>
      </c>
      <c r="D27" s="777"/>
      <c r="E27" s="778"/>
      <c r="F27" s="779">
        <f>SUM(F23:F25)</f>
        <v>18550263</v>
      </c>
      <c r="G27" s="779"/>
      <c r="H27" s="779">
        <f>SUM(H23:H25)</f>
        <v>18555340</v>
      </c>
      <c r="I27" s="779"/>
      <c r="J27" s="780">
        <f>SUM(J23:J25)</f>
        <v>2875640</v>
      </c>
    </row>
    <row r="28" spans="1:10">
      <c r="D28" s="62"/>
    </row>
    <row r="29" spans="1:10">
      <c r="D29" s="62"/>
    </row>
    <row r="30" spans="1:10">
      <c r="D30" s="62"/>
    </row>
  </sheetData>
  <mergeCells count="1">
    <mergeCell ref="F2:J2"/>
  </mergeCells>
  <pageMargins left="0.7" right="0.7" top="0.75" bottom="0.75" header="0.3" footer="0.3"/>
  <pageSetup scale="80" orientation="landscape" r:id="rId1"/>
  <headerFooter>
    <oddHeader xml:space="preserve">&amp;LPuerto Rico Electric Power Authority 
Docket NEPR-AP-2023-0003
Capital Lease Detail &amp;RSchedule B-6
Page &amp;P of &amp;N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39C3-3BCC-4AFC-A8D6-E127F65418A5}">
  <sheetPr>
    <tabColor theme="5" tint="0.79998168889431442"/>
  </sheetPr>
  <dimension ref="A1:K17"/>
  <sheetViews>
    <sheetView workbookViewId="0"/>
    <sheetView workbookViewId="1"/>
    <sheetView workbookViewId="2"/>
  </sheetViews>
  <sheetFormatPr defaultColWidth="8.5703125" defaultRowHeight="15"/>
  <cols>
    <col min="2" max="2" width="13.42578125" customWidth="1"/>
    <col min="3" max="3" width="21.42578125" customWidth="1"/>
    <col min="4" max="4" width="20.85546875" customWidth="1"/>
    <col min="6" max="6" width="12.42578125" customWidth="1"/>
    <col min="7" max="7" width="14.5703125" bestFit="1" customWidth="1"/>
    <col min="8" max="8" width="12.42578125" customWidth="1"/>
    <col min="9" max="9" width="14.5703125" bestFit="1" customWidth="1"/>
    <col min="10" max="10" width="12.140625" bestFit="1" customWidth="1"/>
    <col min="11" max="11" width="14.5703125" bestFit="1" customWidth="1"/>
    <col min="19" max="19" width="51.5703125" customWidth="1"/>
  </cols>
  <sheetData>
    <row r="1" spans="1:11">
      <c r="D1" s="61"/>
    </row>
    <row r="2" spans="1:11">
      <c r="D2" s="61"/>
      <c r="F2" s="69"/>
      <c r="G2" s="1200" t="s">
        <v>510</v>
      </c>
      <c r="H2" s="1200"/>
      <c r="I2" s="1200"/>
      <c r="J2" s="1200"/>
      <c r="K2" s="1200"/>
    </row>
    <row r="3" spans="1:11">
      <c r="A3" s="58" t="s">
        <v>242</v>
      </c>
      <c r="B3" s="58" t="s">
        <v>5</v>
      </c>
      <c r="C3" s="58" t="s">
        <v>511</v>
      </c>
      <c r="D3" s="56"/>
      <c r="E3" s="56"/>
      <c r="F3" s="58" t="s">
        <v>393</v>
      </c>
      <c r="G3" s="56"/>
      <c r="H3" s="58" t="s">
        <v>394</v>
      </c>
      <c r="J3" s="58" t="s">
        <v>395</v>
      </c>
    </row>
    <row r="4" spans="1:11">
      <c r="A4" s="59"/>
      <c r="B4" s="59"/>
      <c r="C4" s="62"/>
      <c r="D4" s="56"/>
      <c r="E4" s="56"/>
      <c r="F4" s="2" t="s">
        <v>358</v>
      </c>
      <c r="G4" s="56"/>
      <c r="H4" s="2" t="s">
        <v>462</v>
      </c>
      <c r="J4" s="2" t="s">
        <v>463</v>
      </c>
    </row>
    <row r="5" spans="1:11" ht="15.75" thickBot="1">
      <c r="A5" s="2">
        <v>1</v>
      </c>
      <c r="B5" s="68" t="s">
        <v>528</v>
      </c>
      <c r="C5" s="64"/>
      <c r="D5" s="65"/>
      <c r="E5" s="67"/>
      <c r="F5" s="67"/>
      <c r="G5" s="66"/>
      <c r="H5" s="65"/>
      <c r="I5" s="65"/>
      <c r="J5" s="65"/>
    </row>
    <row r="6" spans="1:11">
      <c r="A6" s="2"/>
      <c r="B6" s="757"/>
      <c r="C6" s="62"/>
      <c r="E6" s="56"/>
      <c r="F6" s="56"/>
      <c r="G6" s="57"/>
    </row>
    <row r="7" spans="1:11">
      <c r="A7" s="2">
        <f>IF(B7&lt;&gt;"",MAX(A1:A5)+1,"")</f>
        <v>2</v>
      </c>
      <c r="B7" s="60" t="s">
        <v>529</v>
      </c>
      <c r="C7" s="62"/>
      <c r="E7" s="768"/>
      <c r="F7" s="767">
        <v>16381800</v>
      </c>
      <c r="G7" s="767"/>
      <c r="H7" s="767">
        <v>16381800</v>
      </c>
      <c r="I7" s="767"/>
      <c r="J7" s="767">
        <v>16504209</v>
      </c>
    </row>
    <row r="8" spans="1:11">
      <c r="A8" s="2">
        <f>IF(B8&lt;&gt;"",MAX(A3:A7)+1,"")</f>
        <v>3</v>
      </c>
      <c r="B8" s="60" t="s">
        <v>530</v>
      </c>
      <c r="C8" s="62"/>
      <c r="E8" s="769"/>
      <c r="F8" s="368">
        <v>392747.5</v>
      </c>
      <c r="G8" s="368"/>
      <c r="H8" s="368">
        <v>392747.5</v>
      </c>
      <c r="I8" s="368"/>
      <c r="J8" s="368">
        <v>418930.66666666663</v>
      </c>
    </row>
    <row r="9" spans="1:11">
      <c r="A9" s="2">
        <f>IF(B9&lt;&gt;"",MAX(A4:A8)+1,"")</f>
        <v>4</v>
      </c>
      <c r="B9" s="60" t="s">
        <v>531</v>
      </c>
      <c r="C9" s="62"/>
      <c r="E9" s="769"/>
      <c r="F9" s="368">
        <v>25214374.165000003</v>
      </c>
      <c r="G9" s="368"/>
      <c r="H9" s="368">
        <v>25214374.165000003</v>
      </c>
      <c r="I9" s="368"/>
      <c r="J9" s="368">
        <v>24892170.642000001</v>
      </c>
    </row>
    <row r="10" spans="1:11">
      <c r="A10" s="2">
        <v>5</v>
      </c>
      <c r="B10" s="60" t="s">
        <v>532</v>
      </c>
      <c r="C10" s="62"/>
      <c r="E10" s="769"/>
      <c r="F10" s="368">
        <v>4201893</v>
      </c>
      <c r="G10" s="368"/>
      <c r="H10" s="368">
        <v>4201893</v>
      </c>
      <c r="I10" s="368"/>
      <c r="J10" s="368">
        <v>4216772</v>
      </c>
    </row>
    <row r="11" spans="1:11">
      <c r="A11" s="2">
        <v>6</v>
      </c>
      <c r="B11" s="60" t="s">
        <v>533</v>
      </c>
      <c r="C11" s="62"/>
      <c r="E11" s="769"/>
      <c r="F11" s="368">
        <v>1944000</v>
      </c>
      <c r="G11" s="368" t="s">
        <v>7</v>
      </c>
      <c r="H11" s="368">
        <v>2138400</v>
      </c>
      <c r="I11" s="368"/>
      <c r="J11" s="368">
        <v>2352240</v>
      </c>
    </row>
    <row r="12" spans="1:11">
      <c r="A12" s="2">
        <v>7</v>
      </c>
      <c r="B12" s="60" t="s">
        <v>534</v>
      </c>
      <c r="C12" s="62"/>
      <c r="E12" s="769"/>
      <c r="F12" s="368">
        <v>8042801</v>
      </c>
      <c r="G12" s="368"/>
      <c r="H12" s="368">
        <v>8042801</v>
      </c>
      <c r="I12" s="368"/>
      <c r="J12" s="368">
        <v>7650944</v>
      </c>
    </row>
    <row r="13" spans="1:11">
      <c r="A13" s="2">
        <v>8</v>
      </c>
      <c r="B13" s="60" t="s">
        <v>535</v>
      </c>
      <c r="C13" s="62"/>
      <c r="E13" s="769"/>
      <c r="F13" s="368">
        <v>323444.92</v>
      </c>
      <c r="G13" s="368"/>
      <c r="H13" s="368">
        <v>323444.92</v>
      </c>
      <c r="I13" s="368"/>
      <c r="J13" s="368">
        <v>335631.81133333332</v>
      </c>
    </row>
    <row r="14" spans="1:11">
      <c r="A14" s="2"/>
      <c r="B14" s="60"/>
      <c r="C14" s="62"/>
      <c r="E14" s="769"/>
      <c r="F14" s="368"/>
      <c r="G14" s="368"/>
      <c r="H14" s="368"/>
      <c r="I14" s="368"/>
      <c r="J14" s="368"/>
    </row>
    <row r="15" spans="1:11">
      <c r="A15" s="2">
        <f>IF(B15&lt;&gt;"",MAX(A9:A13)+1,"")</f>
        <v>9</v>
      </c>
      <c r="B15" s="770" t="s">
        <v>536</v>
      </c>
      <c r="C15" s="63"/>
      <c r="D15" s="771"/>
      <c r="E15" s="772"/>
      <c r="F15" s="763">
        <f>SUM(F7:F13)</f>
        <v>56501060.585000008</v>
      </c>
      <c r="G15" s="763"/>
      <c r="H15" s="763">
        <f>SUM(H7:H13)</f>
        <v>56695460.585000008</v>
      </c>
      <c r="I15" s="763"/>
      <c r="J15" s="773">
        <f>SUM(J7:J13)</f>
        <v>56370898.120000005</v>
      </c>
    </row>
    <row r="16" spans="1:11">
      <c r="A16" s="2" t="str">
        <f>IF(C16&lt;&gt;"",MAX(A12:A15)+1,"")</f>
        <v/>
      </c>
      <c r="B16" s="2"/>
      <c r="C16" s="60"/>
      <c r="D16" s="62"/>
      <c r="F16" s="376"/>
      <c r="G16" s="376"/>
      <c r="H16" s="376"/>
      <c r="I16" s="57"/>
      <c r="J16" s="376"/>
      <c r="K16" s="57"/>
    </row>
    <row r="17" spans="6:10">
      <c r="F17" s="368"/>
      <c r="H17" s="368"/>
      <c r="J17" s="368"/>
    </row>
  </sheetData>
  <mergeCells count="1">
    <mergeCell ref="G2:K2"/>
  </mergeCells>
  <pageMargins left="0.7" right="0.7" top="0.75" bottom="0.75" header="0.3" footer="0.3"/>
  <pageSetup orientation="landscape" r:id="rId1"/>
  <headerFooter>
    <oddHeader>&amp;LPuerto Rico Electric Power Authority   
Docket NEPR-AP-2023-0003  
Revenues Excluding Sale of Electricity  &amp;RSchedule B-7
Page &amp;P of &amp;N</oddHeader>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7B00E-7B43-4CC9-96DC-3886213B9F1B}">
  <dimension ref="A3:C49"/>
  <sheetViews>
    <sheetView workbookViewId="0"/>
    <sheetView workbookViewId="1"/>
    <sheetView workbookViewId="2"/>
  </sheetViews>
  <sheetFormatPr defaultRowHeight="15"/>
  <cols>
    <col min="1" max="1" width="67" customWidth="1"/>
    <col min="2" max="2" width="2" customWidth="1"/>
    <col min="3" max="3" width="14.5703125" customWidth="1"/>
  </cols>
  <sheetData>
    <row r="3" spans="1:3">
      <c r="A3" s="1162" t="s">
        <v>3</v>
      </c>
      <c r="B3" s="1162"/>
      <c r="C3" s="1162"/>
    </row>
    <row r="4" spans="1:3">
      <c r="A4" s="1162" t="s">
        <v>4</v>
      </c>
      <c r="B4" s="1162"/>
      <c r="C4" s="1162"/>
    </row>
    <row r="6" spans="1:3">
      <c r="A6" s="635" t="s">
        <v>5</v>
      </c>
      <c r="B6" s="636"/>
      <c r="C6" s="637" t="s">
        <v>6</v>
      </c>
    </row>
    <row r="7" spans="1:3">
      <c r="A7" s="636"/>
      <c r="B7" s="636" t="s">
        <v>7</v>
      </c>
      <c r="C7" s="636"/>
    </row>
    <row r="8" spans="1:3">
      <c r="A8" s="638" t="s">
        <v>8</v>
      </c>
      <c r="B8" s="639" t="s">
        <v>7</v>
      </c>
      <c r="C8" s="640" t="s">
        <v>9</v>
      </c>
    </row>
    <row r="9" spans="1:3">
      <c r="A9" s="638" t="s">
        <v>10</v>
      </c>
      <c r="B9" s="639" t="s">
        <v>7</v>
      </c>
      <c r="C9" s="640" t="s">
        <v>11</v>
      </c>
    </row>
    <row r="10" spans="1:3">
      <c r="A10" s="641" t="s">
        <v>12</v>
      </c>
      <c r="B10" s="639" t="s">
        <v>7</v>
      </c>
      <c r="C10" s="640" t="s">
        <v>13</v>
      </c>
    </row>
    <row r="11" spans="1:3">
      <c r="A11" s="641" t="s">
        <v>14</v>
      </c>
      <c r="B11" s="636"/>
      <c r="C11" s="640" t="s">
        <v>15</v>
      </c>
    </row>
    <row r="12" spans="1:3">
      <c r="A12" s="641" t="s">
        <v>16</v>
      </c>
      <c r="B12" s="636"/>
      <c r="C12" s="640" t="s">
        <v>17</v>
      </c>
    </row>
    <row r="13" spans="1:3">
      <c r="A13" s="641" t="s">
        <v>18</v>
      </c>
      <c r="B13" s="636"/>
      <c r="C13" s="640" t="s">
        <v>19</v>
      </c>
    </row>
    <row r="14" spans="1:3">
      <c r="A14" s="641" t="s">
        <v>20</v>
      </c>
      <c r="B14" s="636"/>
      <c r="C14" s="640" t="s">
        <v>21</v>
      </c>
    </row>
    <row r="15" spans="1:3">
      <c r="A15" s="641" t="s">
        <v>22</v>
      </c>
      <c r="B15" s="636"/>
      <c r="C15" s="640" t="s">
        <v>23</v>
      </c>
    </row>
    <row r="16" spans="1:3">
      <c r="A16" s="641" t="s">
        <v>24</v>
      </c>
      <c r="B16" s="636"/>
      <c r="C16" s="640" t="s">
        <v>25</v>
      </c>
    </row>
    <row r="17" spans="1:3">
      <c r="A17" s="641" t="s">
        <v>26</v>
      </c>
      <c r="B17" s="636"/>
      <c r="C17" s="640" t="s">
        <v>27</v>
      </c>
    </row>
    <row r="18" spans="1:3">
      <c r="A18" s="641" t="s">
        <v>28</v>
      </c>
      <c r="B18" s="636"/>
      <c r="C18" s="640" t="s">
        <v>29</v>
      </c>
    </row>
    <row r="19" spans="1:3">
      <c r="A19" s="641" t="s">
        <v>30</v>
      </c>
      <c r="C19" s="640" t="s">
        <v>31</v>
      </c>
    </row>
    <row r="20" spans="1:3">
      <c r="A20" s="641" t="s">
        <v>32</v>
      </c>
      <c r="C20" s="640" t="s">
        <v>33</v>
      </c>
    </row>
    <row r="21" spans="1:3">
      <c r="A21" s="641" t="s">
        <v>34</v>
      </c>
      <c r="C21" s="640" t="s">
        <v>35</v>
      </c>
    </row>
    <row r="22" spans="1:3">
      <c r="A22" s="641" t="s">
        <v>36</v>
      </c>
      <c r="C22" s="640" t="s">
        <v>37</v>
      </c>
    </row>
    <row r="23" spans="1:3">
      <c r="A23" s="641" t="s">
        <v>38</v>
      </c>
      <c r="C23" s="640" t="s">
        <v>39</v>
      </c>
    </row>
    <row r="24" spans="1:3">
      <c r="A24" s="641" t="s">
        <v>40</v>
      </c>
      <c r="C24" s="640" t="s">
        <v>41</v>
      </c>
    </row>
    <row r="25" spans="1:3">
      <c r="A25" s="641" t="s">
        <v>42</v>
      </c>
      <c r="C25" s="640" t="s">
        <v>43</v>
      </c>
    </row>
    <row r="26" spans="1:3">
      <c r="A26" s="641" t="s">
        <v>44</v>
      </c>
      <c r="C26" s="642" t="s">
        <v>45</v>
      </c>
    </row>
    <row r="27" spans="1:3" ht="17.45" customHeight="1">
      <c r="A27" s="641" t="s">
        <v>46</v>
      </c>
      <c r="C27" s="642" t="s">
        <v>47</v>
      </c>
    </row>
    <row r="28" spans="1:3" ht="17.45" customHeight="1">
      <c r="A28" s="641" t="s">
        <v>48</v>
      </c>
      <c r="C28" s="642" t="s">
        <v>49</v>
      </c>
    </row>
    <row r="29" spans="1:3" ht="25.5">
      <c r="A29" s="641" t="s">
        <v>50</v>
      </c>
      <c r="C29" s="642" t="s">
        <v>51</v>
      </c>
    </row>
    <row r="30" spans="1:3">
      <c r="A30" s="641" t="s">
        <v>44</v>
      </c>
      <c r="C30" s="642" t="s">
        <v>52</v>
      </c>
    </row>
    <row r="31" spans="1:3" ht="15.95" customHeight="1">
      <c r="A31" s="641" t="s">
        <v>46</v>
      </c>
      <c r="C31" s="642" t="s">
        <v>53</v>
      </c>
    </row>
    <row r="32" spans="1:3" ht="14.45" customHeight="1">
      <c r="A32" s="641" t="s">
        <v>48</v>
      </c>
      <c r="C32" s="642" t="s">
        <v>54</v>
      </c>
    </row>
    <row r="33" spans="1:3" ht="25.5">
      <c r="A33" s="641" t="s">
        <v>50</v>
      </c>
      <c r="C33" s="642" t="s">
        <v>55</v>
      </c>
    </row>
    <row r="34" spans="1:3">
      <c r="A34" s="641" t="s">
        <v>56</v>
      </c>
      <c r="C34" s="642" t="s">
        <v>57</v>
      </c>
    </row>
    <row r="35" spans="1:3">
      <c r="A35" s="641" t="s">
        <v>58</v>
      </c>
      <c r="C35" s="642" t="s">
        <v>59</v>
      </c>
    </row>
    <row r="36" spans="1:3">
      <c r="A36" s="641" t="s">
        <v>60</v>
      </c>
      <c r="C36" s="642" t="s">
        <v>61</v>
      </c>
    </row>
    <row r="37" spans="1:3">
      <c r="A37" s="641" t="s">
        <v>62</v>
      </c>
      <c r="C37" s="642" t="s">
        <v>63</v>
      </c>
    </row>
    <row r="38" spans="1:3">
      <c r="A38" s="641" t="s">
        <v>64</v>
      </c>
      <c r="C38" s="642" t="s">
        <v>65</v>
      </c>
    </row>
    <row r="39" spans="1:3">
      <c r="A39" s="641" t="s">
        <v>66</v>
      </c>
      <c r="C39" s="642" t="s">
        <v>67</v>
      </c>
    </row>
    <row r="40" spans="1:3">
      <c r="A40" s="641" t="s">
        <v>68</v>
      </c>
      <c r="C40" s="642" t="s">
        <v>69</v>
      </c>
    </row>
    <row r="41" spans="1:3">
      <c r="A41" s="641" t="s">
        <v>70</v>
      </c>
      <c r="C41" s="642" t="s">
        <v>71</v>
      </c>
    </row>
    <row r="42" spans="1:3">
      <c r="A42" s="641" t="s">
        <v>72</v>
      </c>
      <c r="C42" s="642" t="s">
        <v>73</v>
      </c>
    </row>
    <row r="43" spans="1:3">
      <c r="A43" s="641" t="s">
        <v>74</v>
      </c>
      <c r="C43" s="642" t="s">
        <v>75</v>
      </c>
    </row>
    <row r="44" spans="1:3">
      <c r="A44" s="641" t="s">
        <v>76</v>
      </c>
      <c r="C44" s="642" t="s">
        <v>77</v>
      </c>
    </row>
    <row r="45" spans="1:3">
      <c r="A45" s="641" t="s">
        <v>78</v>
      </c>
      <c r="C45" s="642" t="s">
        <v>79</v>
      </c>
    </row>
    <row r="46" spans="1:3">
      <c r="A46" s="641" t="s">
        <v>80</v>
      </c>
      <c r="C46" s="642" t="s">
        <v>81</v>
      </c>
    </row>
    <row r="47" spans="1:3">
      <c r="A47" s="641" t="s">
        <v>82</v>
      </c>
      <c r="C47" s="642" t="s">
        <v>83</v>
      </c>
    </row>
    <row r="48" spans="1:3">
      <c r="A48" s="641" t="s">
        <v>84</v>
      </c>
      <c r="C48" s="642" t="s">
        <v>85</v>
      </c>
    </row>
    <row r="49" spans="1:3">
      <c r="A49" s="641" t="s">
        <v>86</v>
      </c>
      <c r="C49" s="642" t="s">
        <v>87</v>
      </c>
    </row>
  </sheetData>
  <mergeCells count="2">
    <mergeCell ref="A3:C3"/>
    <mergeCell ref="A4:C4"/>
  </mergeCells>
  <hyperlinks>
    <hyperlink ref="C41" location="'F-3'!A1" display="F-3" xr:uid="{CE099DDF-3160-4A78-BD52-5749927B3589}"/>
    <hyperlink ref="C39" location="'F-1'!A1" display="F-1" xr:uid="{B302D1CC-1E07-4C9E-ABDC-C66DF2D7DDC4}"/>
    <hyperlink ref="C40" location="'F-2'!A1" display="F-2" xr:uid="{20910F17-E026-4230-8B19-E3A8B1656DF0}"/>
    <hyperlink ref="C42" location="'F-4'!A1" display="F-4" xr:uid="{EB204A28-8730-449A-8410-3C27CC13BA0B}"/>
    <hyperlink ref="C43" location="'F-5'!A1" display="F-5" xr:uid="{BB48E4AB-1650-460E-8990-F80FD00D4BE1}"/>
    <hyperlink ref="C44" location="'F-6'!A1" display="F-6" xr:uid="{70D8B046-0145-4ACB-AF5D-D02F8312CA5C}"/>
    <hyperlink ref="C45" location="'F-7'!A1" display="F-7" xr:uid="{21FA3097-8EA9-4C38-8073-C68092FC57B9}"/>
  </hyperlinks>
  <pageMargins left="0.7" right="0.7" top="0.75" bottom="0.75" header="0.3" footer="0.3"/>
  <headerFooter>
    <oddHeader>&amp;L&amp;"Times New Roman,Regular"Puerto Rico Electric Power Authority 
Docket NEPR-AP-2023-0003
Table of Contents</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0DF71-3FD0-4CF7-88F1-A6CD91E0697D}">
  <sheetPr>
    <tabColor theme="7" tint="0.39997558519241921"/>
  </sheetPr>
  <dimension ref="A1"/>
  <sheetViews>
    <sheetView workbookViewId="0">
      <selection sqref="A1:XFD1048576"/>
    </sheetView>
    <sheetView workbookViewId="1">
      <selection sqref="A1:XFD1048576"/>
    </sheetView>
    <sheetView workbookViewId="2">
      <selection sqref="A1:XFD1048576"/>
    </sheetView>
  </sheetViews>
  <sheetFormatPr defaultColWidth="8.5703125" defaultRowHeight="15"/>
  <cols>
    <col min="1" max="16384" width="8.5703125" style="1189"/>
  </cols>
  <sheetData/>
  <mergeCells count="1">
    <mergeCell ref="A1:XFD104857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94F95-13A0-4346-8E7E-31E946CDF273}">
  <sheetPr>
    <tabColor theme="7" tint="0.79998168889431442"/>
  </sheetPr>
  <dimension ref="B1:K4"/>
  <sheetViews>
    <sheetView workbookViewId="0"/>
    <sheetView workbookViewId="1"/>
    <sheetView workbookViewId="2"/>
  </sheetViews>
  <sheetFormatPr defaultRowHeight="15"/>
  <cols>
    <col min="2" max="2" width="8.5703125" customWidth="1"/>
    <col min="3" max="3" width="14.5703125" customWidth="1"/>
    <col min="11" max="11" width="3" customWidth="1"/>
  </cols>
  <sheetData>
    <row r="1" spans="2:11">
      <c r="D1" s="61"/>
    </row>
    <row r="4" spans="2:11" ht="90" customHeight="1">
      <c r="B4" s="1203" t="s">
        <v>537</v>
      </c>
      <c r="C4" s="1204"/>
      <c r="D4" s="1204"/>
      <c r="E4" s="1204"/>
      <c r="F4" s="1204"/>
      <c r="G4" s="1204"/>
      <c r="H4" s="1204"/>
      <c r="I4" s="1204"/>
      <c r="J4" s="1204"/>
      <c r="K4" s="1204"/>
    </row>
  </sheetData>
  <mergeCells count="1">
    <mergeCell ref="B4:K4"/>
  </mergeCells>
  <pageMargins left="0.7" right="0.7" top="0.75" bottom="0.75" header="0.3" footer="0.3"/>
  <pageSetup scale="39" orientation="portrait" r:id="rId1"/>
  <headerFooter>
    <oddHeader>&amp;LPuerto Rico Electric Power Authority   
Docket NEPR-AP-2023-0003
Balance Sheets  &amp;RSchedule C-1
Page &amp;P of &amp;N</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60470-1A86-4D74-B4B5-56A920E3A98D}">
  <sheetPr>
    <tabColor theme="7" tint="0.79998168889431442"/>
    <pageSetUpPr autoPageBreaks="0"/>
  </sheetPr>
  <dimension ref="A1:AY105"/>
  <sheetViews>
    <sheetView workbookViewId="0"/>
    <sheetView workbookViewId="1"/>
    <sheetView workbookViewId="2"/>
  </sheetViews>
  <sheetFormatPr defaultColWidth="8.5703125" defaultRowHeight="15" outlineLevelCol="1"/>
  <cols>
    <col min="1" max="1" width="5.5703125" customWidth="1"/>
    <col min="2" max="2" width="5.42578125" customWidth="1"/>
    <col min="3" max="3" width="52.42578125" customWidth="1"/>
    <col min="4" max="5" width="5.5703125" customWidth="1"/>
    <col min="6" max="10" width="20.5703125" hidden="1" customWidth="1" outlineLevel="1"/>
    <col min="11" max="11" width="5.5703125" hidden="1" customWidth="1" outlineLevel="1"/>
    <col min="12" max="12" width="20.5703125" style="863" customWidth="1" collapsed="1"/>
    <col min="13" max="13" width="5.5703125" customWidth="1"/>
    <col min="14" max="15" width="20.5703125" customWidth="1"/>
    <col min="16" max="16" width="5.5703125" customWidth="1"/>
    <col min="17" max="21" width="20.5703125" hidden="1" customWidth="1" outlineLevel="1"/>
    <col min="22" max="22" width="5.5703125" hidden="1" customWidth="1" outlineLevel="1"/>
    <col min="23" max="23" width="20.5703125" customWidth="1" collapsed="1"/>
    <col min="24" max="24" width="5.5703125" customWidth="1"/>
    <col min="25" max="25" width="20.5703125" customWidth="1"/>
    <col min="26" max="26" width="5.5703125" style="863" customWidth="1"/>
    <col min="27" max="27" width="20.5703125" customWidth="1"/>
    <col min="28" max="28" width="8.5703125" customWidth="1"/>
    <col min="29" max="33" width="20.5703125" hidden="1" customWidth="1" outlineLevel="1"/>
    <col min="34" max="34" width="5.5703125" customWidth="1" collapsed="1"/>
    <col min="35" max="35" width="14.140625" bestFit="1" customWidth="1"/>
    <col min="36" max="36" width="5.5703125" customWidth="1"/>
    <col min="37" max="37" width="20.5703125" customWidth="1"/>
    <col min="38" max="38" width="5.5703125" customWidth="1"/>
    <col min="39" max="39" width="20.5703125" customWidth="1"/>
    <col min="40" max="40" width="8.5703125" customWidth="1"/>
    <col min="41" max="41" width="8.5703125" style="863"/>
  </cols>
  <sheetData>
    <row r="1" spans="1:51" ht="17.25">
      <c r="A1" s="91"/>
      <c r="F1" s="1205" t="s">
        <v>538</v>
      </c>
      <c r="G1" s="1206"/>
      <c r="H1" s="1206"/>
      <c r="I1" s="1206"/>
      <c r="J1" s="1206"/>
      <c r="K1" s="1206"/>
      <c r="L1" s="1206"/>
      <c r="M1" s="1206"/>
      <c r="N1" s="1206"/>
      <c r="O1" s="2"/>
      <c r="Q1" s="1205" t="s">
        <v>539</v>
      </c>
      <c r="R1" s="1205"/>
      <c r="S1" s="1205"/>
      <c r="T1" s="1205"/>
      <c r="U1" s="1205"/>
      <c r="V1" s="1205"/>
      <c r="W1" s="1205"/>
      <c r="X1" s="1205"/>
      <c r="Y1" s="1205"/>
      <c r="Z1" s="1205"/>
      <c r="AA1" s="1205"/>
      <c r="AC1" s="1205" t="s">
        <v>540</v>
      </c>
      <c r="AD1" s="1205"/>
      <c r="AE1" s="1205"/>
      <c r="AF1" s="1205"/>
      <c r="AG1" s="1205"/>
      <c r="AH1" s="1205"/>
      <c r="AI1" s="1205"/>
      <c r="AJ1" s="1205"/>
      <c r="AK1" s="1205"/>
      <c r="AL1" s="1205"/>
      <c r="AM1" s="1205"/>
      <c r="AO1"/>
      <c r="AQ1" s="869"/>
      <c r="AR1" s="869"/>
      <c r="AS1" s="869"/>
      <c r="AT1" s="869"/>
      <c r="AU1" s="869"/>
      <c r="AV1" s="869"/>
      <c r="AW1" s="869"/>
      <c r="AY1" s="863"/>
    </row>
    <row r="2" spans="1:51" ht="45">
      <c r="A2" s="842" t="s">
        <v>242</v>
      </c>
      <c r="B2" s="2"/>
      <c r="C2" s="58" t="s">
        <v>5</v>
      </c>
      <c r="D2" s="58"/>
      <c r="E2" s="2"/>
      <c r="F2" s="58" t="s">
        <v>243</v>
      </c>
      <c r="G2" s="58" t="s">
        <v>248</v>
      </c>
      <c r="H2" s="58" t="s">
        <v>253</v>
      </c>
      <c r="I2" s="58" t="s">
        <v>258</v>
      </c>
      <c r="J2" s="58" t="s">
        <v>264</v>
      </c>
      <c r="K2" s="2"/>
      <c r="L2" s="843" t="s">
        <v>541</v>
      </c>
      <c r="M2" s="2"/>
      <c r="N2" s="903" t="s">
        <v>352</v>
      </c>
      <c r="O2" s="58" t="s">
        <v>542</v>
      </c>
      <c r="P2" s="2"/>
      <c r="Q2" s="58" t="s">
        <v>243</v>
      </c>
      <c r="R2" s="58" t="s">
        <v>248</v>
      </c>
      <c r="S2" s="58" t="s">
        <v>253</v>
      </c>
      <c r="T2" s="58" t="s">
        <v>258</v>
      </c>
      <c r="U2" s="58" t="s">
        <v>264</v>
      </c>
      <c r="V2" s="2"/>
      <c r="W2" s="58" t="s">
        <v>543</v>
      </c>
      <c r="X2" s="2"/>
      <c r="Y2" s="903" t="s">
        <v>352</v>
      </c>
      <c r="Z2" s="844"/>
      <c r="AA2" s="58" t="s">
        <v>544</v>
      </c>
      <c r="AC2" s="58" t="s">
        <v>243</v>
      </c>
      <c r="AD2" s="58" t="s">
        <v>248</v>
      </c>
      <c r="AE2" s="58" t="s">
        <v>253</v>
      </c>
      <c r="AF2" s="58" t="s">
        <v>258</v>
      </c>
      <c r="AG2" s="58" t="s">
        <v>264</v>
      </c>
      <c r="AH2" s="2"/>
      <c r="AI2" s="58" t="s">
        <v>545</v>
      </c>
      <c r="AJ2" s="2"/>
      <c r="AK2" s="903" t="s">
        <v>352</v>
      </c>
      <c r="AL2" s="2"/>
      <c r="AM2" s="58" t="s">
        <v>546</v>
      </c>
    </row>
    <row r="3" spans="1:51">
      <c r="A3" s="91"/>
      <c r="F3" s="2" t="s">
        <v>547</v>
      </c>
      <c r="G3" s="2" t="s">
        <v>358</v>
      </c>
      <c r="H3" s="2" t="s">
        <v>462</v>
      </c>
      <c r="I3" s="2" t="s">
        <v>463</v>
      </c>
      <c r="J3" s="2" t="s">
        <v>548</v>
      </c>
      <c r="L3" s="844" t="s">
        <v>549</v>
      </c>
      <c r="N3" s="2" t="s">
        <v>550</v>
      </c>
      <c r="O3" s="2" t="s">
        <v>551</v>
      </c>
      <c r="Q3" s="2" t="s">
        <v>552</v>
      </c>
      <c r="R3" s="2" t="s">
        <v>553</v>
      </c>
      <c r="S3" s="2" t="s">
        <v>554</v>
      </c>
      <c r="T3" s="2" t="s">
        <v>555</v>
      </c>
      <c r="U3" s="2" t="s">
        <v>556</v>
      </c>
      <c r="W3" s="2" t="s">
        <v>557</v>
      </c>
      <c r="Y3" s="2" t="s">
        <v>558</v>
      </c>
      <c r="AA3" s="2" t="s">
        <v>551</v>
      </c>
      <c r="AC3" s="2" t="s">
        <v>559</v>
      </c>
      <c r="AD3" s="2" t="s">
        <v>560</v>
      </c>
      <c r="AE3" s="2" t="s">
        <v>561</v>
      </c>
      <c r="AF3" s="2" t="s">
        <v>562</v>
      </c>
      <c r="AG3" s="2" t="s">
        <v>563</v>
      </c>
      <c r="AI3" s="2" t="s">
        <v>549</v>
      </c>
      <c r="AK3" s="2" t="s">
        <v>550</v>
      </c>
      <c r="AM3" s="2" t="s">
        <v>564</v>
      </c>
    </row>
    <row r="4" spans="1:51" ht="15.75" thickBot="1">
      <c r="A4" s="91">
        <v>1</v>
      </c>
      <c r="C4" s="870" t="s">
        <v>278</v>
      </c>
      <c r="D4" s="870"/>
      <c r="E4" s="2"/>
      <c r="F4" s="871" t="s">
        <v>279</v>
      </c>
      <c r="G4" s="871" t="s">
        <v>279</v>
      </c>
      <c r="H4" s="871" t="s">
        <v>279</v>
      </c>
      <c r="I4" s="871" t="s">
        <v>279</v>
      </c>
      <c r="J4" s="871" t="s">
        <v>279</v>
      </c>
      <c r="K4" s="380"/>
      <c r="L4" s="872" t="s">
        <v>279</v>
      </c>
      <c r="M4" s="380"/>
      <c r="N4" s="871"/>
      <c r="O4" s="871"/>
      <c r="P4" s="791"/>
      <c r="Q4" s="871" t="s">
        <v>279</v>
      </c>
      <c r="R4" s="871" t="s">
        <v>279</v>
      </c>
      <c r="S4" s="871" t="s">
        <v>279</v>
      </c>
      <c r="T4" s="871" t="s">
        <v>279</v>
      </c>
      <c r="U4" s="871" t="s">
        <v>279</v>
      </c>
      <c r="V4" s="380"/>
      <c r="W4" s="871" t="s">
        <v>279</v>
      </c>
      <c r="X4" s="380"/>
      <c r="Y4" s="871"/>
      <c r="Z4" s="873"/>
      <c r="AA4" s="871"/>
      <c r="AB4" s="368"/>
      <c r="AC4" s="871" t="s">
        <v>279</v>
      </c>
      <c r="AD4" s="871" t="s">
        <v>279</v>
      </c>
      <c r="AE4" s="871" t="s">
        <v>279</v>
      </c>
      <c r="AF4" s="871" t="s">
        <v>279</v>
      </c>
      <c r="AG4" s="871" t="s">
        <v>279</v>
      </c>
      <c r="AH4" s="380"/>
      <c r="AI4" s="871" t="s">
        <v>279</v>
      </c>
      <c r="AJ4" s="380"/>
      <c r="AK4" s="871"/>
      <c r="AL4" s="380"/>
      <c r="AM4" s="871"/>
    </row>
    <row r="5" spans="1:51">
      <c r="A5" s="91"/>
      <c r="C5" s="29"/>
      <c r="D5" s="29"/>
      <c r="F5" s="368"/>
      <c r="G5" s="368"/>
      <c r="H5" s="368"/>
      <c r="I5" s="368"/>
      <c r="J5" s="368"/>
      <c r="K5" s="368"/>
      <c r="L5" s="861"/>
      <c r="M5" s="368"/>
      <c r="N5" s="368"/>
      <c r="O5" s="368"/>
      <c r="P5" s="368"/>
      <c r="Q5" s="368"/>
      <c r="R5" s="368"/>
      <c r="S5" s="368"/>
      <c r="T5" s="368"/>
      <c r="U5" s="368"/>
      <c r="V5" s="368"/>
      <c r="W5" s="368"/>
      <c r="X5" s="368"/>
      <c r="Y5" s="368"/>
      <c r="Z5" s="861"/>
      <c r="AA5" s="368"/>
      <c r="AB5" s="368"/>
      <c r="AC5" s="368"/>
      <c r="AD5" s="368"/>
      <c r="AE5" s="368"/>
      <c r="AF5" s="368"/>
      <c r="AG5" s="368"/>
      <c r="AH5" s="368"/>
      <c r="AI5" s="368"/>
      <c r="AJ5" s="368"/>
      <c r="AK5" s="368"/>
      <c r="AL5" s="368"/>
      <c r="AM5" s="368"/>
    </row>
    <row r="6" spans="1:51">
      <c r="A6" s="91">
        <f t="shared" ref="A6:A76" si="0">IF(C6&lt;&gt;"",MAX(A3:A5)+1,"")</f>
        <v>2</v>
      </c>
      <c r="C6" s="361" t="s">
        <v>280</v>
      </c>
      <c r="D6" s="361"/>
      <c r="E6" s="2"/>
      <c r="F6" s="368"/>
      <c r="G6" s="368"/>
      <c r="H6" s="368"/>
      <c r="I6" s="368"/>
      <c r="J6" s="368"/>
      <c r="K6" s="368"/>
      <c r="L6" s="861"/>
      <c r="M6" s="368"/>
      <c r="N6" s="368"/>
      <c r="O6" s="368"/>
      <c r="P6" s="791"/>
      <c r="Q6" s="368"/>
      <c r="R6" s="368"/>
      <c r="S6" s="368"/>
      <c r="T6" s="368"/>
      <c r="U6" s="368"/>
      <c r="V6" s="368"/>
      <c r="W6" s="368"/>
      <c r="X6" s="368"/>
      <c r="Y6" s="368"/>
      <c r="Z6" s="861"/>
      <c r="AA6" s="368"/>
      <c r="AB6" s="368"/>
      <c r="AC6" s="368"/>
      <c r="AD6" s="368"/>
      <c r="AE6" s="368"/>
      <c r="AF6" s="368"/>
      <c r="AG6" s="368"/>
      <c r="AH6" s="368"/>
      <c r="AI6" s="368"/>
      <c r="AJ6" s="368"/>
      <c r="AK6" s="368"/>
      <c r="AL6" s="368"/>
      <c r="AM6" s="368"/>
    </row>
    <row r="7" spans="1:51">
      <c r="A7" s="91">
        <f t="shared" si="0"/>
        <v>3</v>
      </c>
      <c r="C7" s="80" t="s">
        <v>281</v>
      </c>
      <c r="D7" s="80"/>
      <c r="F7" s="369">
        <f>F24</f>
        <v>2436713299.8406897</v>
      </c>
      <c r="G7" s="369">
        <v>0</v>
      </c>
      <c r="H7" s="369">
        <v>0</v>
      </c>
      <c r="I7" s="369">
        <v>0</v>
      </c>
      <c r="J7" s="369">
        <v>0</v>
      </c>
      <c r="K7" s="368"/>
      <c r="L7" s="370">
        <f>SUM(F7:J7)</f>
        <v>2436713299.8406897</v>
      </c>
      <c r="M7" s="368"/>
      <c r="N7" s="369">
        <v>0</v>
      </c>
      <c r="O7" s="369">
        <f>+N7+L7</f>
        <v>2436713299.8406897</v>
      </c>
      <c r="P7" s="368"/>
      <c r="Q7" s="369">
        <f>Q24</f>
        <v>2363810018.072628</v>
      </c>
      <c r="R7" s="369">
        <v>0</v>
      </c>
      <c r="S7" s="369">
        <v>0</v>
      </c>
      <c r="T7" s="369">
        <v>0</v>
      </c>
      <c r="U7" s="369">
        <v>0</v>
      </c>
      <c r="V7" s="368"/>
      <c r="W7" s="369">
        <f>SUM(Q7:U7)</f>
        <v>2363810018.072628</v>
      </c>
      <c r="X7" s="368"/>
      <c r="Y7" s="369">
        <v>0</v>
      </c>
      <c r="Z7" s="861"/>
      <c r="AA7" s="369">
        <f>W7+Y7</f>
        <v>2363810018.072628</v>
      </c>
      <c r="AB7" s="368"/>
      <c r="AC7" s="369">
        <f>AC24</f>
        <v>2312631997.3431683</v>
      </c>
      <c r="AD7" s="369">
        <v>0</v>
      </c>
      <c r="AE7" s="369">
        <v>0</v>
      </c>
      <c r="AF7" s="369">
        <v>0</v>
      </c>
      <c r="AG7" s="369">
        <v>0</v>
      </c>
      <c r="AH7" s="368"/>
      <c r="AI7" s="369">
        <f>SUM(AC7:AG7)</f>
        <v>2312631997.3431683</v>
      </c>
      <c r="AJ7" s="368"/>
      <c r="AK7" s="369">
        <v>0</v>
      </c>
      <c r="AL7" s="368"/>
      <c r="AM7" s="369">
        <f>AI7+AK7</f>
        <v>2312631997.3431683</v>
      </c>
    </row>
    <row r="8" spans="1:51">
      <c r="A8" s="91">
        <f t="shared" si="0"/>
        <v>4</v>
      </c>
      <c r="C8" s="80" t="s">
        <v>282</v>
      </c>
      <c r="D8" s="80"/>
      <c r="E8" s="2"/>
      <c r="F8" s="369">
        <f>'E-1'!E33</f>
        <v>1179202426.8818486</v>
      </c>
      <c r="G8" s="369">
        <v>0</v>
      </c>
      <c r="H8" s="369">
        <v>0</v>
      </c>
      <c r="I8" s="369">
        <v>0</v>
      </c>
      <c r="J8" s="369">
        <v>0</v>
      </c>
      <c r="K8" s="368"/>
      <c r="L8" s="370">
        <f>SUM(F8:J8)</f>
        <v>1179202426.8818486</v>
      </c>
      <c r="M8" s="368"/>
      <c r="N8" s="369">
        <v>0</v>
      </c>
      <c r="O8" s="369">
        <f t="shared" ref="O8:O71" si="1">+N8+L8</f>
        <v>1179202426.8818486</v>
      </c>
      <c r="P8" s="791"/>
      <c r="Q8" s="369">
        <f>'E-1'!H33</f>
        <v>1153897329.9670923</v>
      </c>
      <c r="R8" s="369">
        <v>0</v>
      </c>
      <c r="S8" s="369">
        <v>0</v>
      </c>
      <c r="T8" s="369">
        <v>0</v>
      </c>
      <c r="U8" s="369">
        <v>0</v>
      </c>
      <c r="V8" s="368"/>
      <c r="W8" s="369">
        <f>SUM(Q8:U8)</f>
        <v>1153897329.9670923</v>
      </c>
      <c r="X8" s="368"/>
      <c r="Y8" s="369">
        <v>0</v>
      </c>
      <c r="Z8" s="861"/>
      <c r="AA8" s="369">
        <f>W8+Y8</f>
        <v>1153897329.9670923</v>
      </c>
      <c r="AB8" s="368"/>
      <c r="AC8" s="369">
        <f>'E-1'!K33</f>
        <v>1138445034.8482292</v>
      </c>
      <c r="AD8" s="369">
        <v>0</v>
      </c>
      <c r="AE8" s="369">
        <v>0</v>
      </c>
      <c r="AF8" s="369">
        <v>0</v>
      </c>
      <c r="AG8" s="369">
        <v>0</v>
      </c>
      <c r="AH8" s="368"/>
      <c r="AI8" s="369">
        <f>SUM(AC8:AG8)</f>
        <v>1138445034.8482292</v>
      </c>
      <c r="AJ8" s="368"/>
      <c r="AK8" s="369">
        <v>0</v>
      </c>
      <c r="AL8" s="368"/>
      <c r="AM8" s="369">
        <f>AI8+AK8</f>
        <v>1138445034.8482292</v>
      </c>
    </row>
    <row r="9" spans="1:51">
      <c r="A9" s="91">
        <f t="shared" si="0"/>
        <v>5</v>
      </c>
      <c r="C9" s="80" t="s">
        <v>370</v>
      </c>
      <c r="D9" s="80"/>
      <c r="F9" s="850">
        <f>SUM('E-2 Riders'!G19,'E-2 Riders'!G24,'E-2 Riders'!G29,'E-2 Riders'!G34)</f>
        <v>320077800</v>
      </c>
      <c r="G9" s="369">
        <v>0</v>
      </c>
      <c r="H9" s="369">
        <v>0</v>
      </c>
      <c r="I9" s="369">
        <v>0</v>
      </c>
      <c r="J9" s="369">
        <v>0</v>
      </c>
      <c r="K9" s="368"/>
      <c r="L9" s="370">
        <f>SUM(F9:J9)</f>
        <v>320077800</v>
      </c>
      <c r="M9" s="368"/>
      <c r="N9" s="369">
        <v>0</v>
      </c>
      <c r="O9" s="369">
        <f t="shared" si="1"/>
        <v>320077800</v>
      </c>
      <c r="P9" s="368"/>
      <c r="Q9" s="850">
        <f>F9</f>
        <v>320077800</v>
      </c>
      <c r="R9" s="369">
        <v>0</v>
      </c>
      <c r="S9" s="369">
        <v>0</v>
      </c>
      <c r="T9" s="369">
        <v>0</v>
      </c>
      <c r="U9" s="369">
        <v>0</v>
      </c>
      <c r="V9" s="368"/>
      <c r="W9" s="369">
        <f>SUM(Q9:U9)</f>
        <v>320077800</v>
      </c>
      <c r="X9" s="368"/>
      <c r="Y9" s="369">
        <v>0</v>
      </c>
      <c r="Z9" s="861"/>
      <c r="AA9" s="369">
        <f>W9+Y9</f>
        <v>320077800</v>
      </c>
      <c r="AB9" s="368"/>
      <c r="AC9" s="850">
        <f>Q9</f>
        <v>320077800</v>
      </c>
      <c r="AD9" s="369">
        <v>0</v>
      </c>
      <c r="AE9" s="369">
        <v>0</v>
      </c>
      <c r="AF9" s="369">
        <v>0</v>
      </c>
      <c r="AG9" s="369">
        <v>0</v>
      </c>
      <c r="AH9" s="368"/>
      <c r="AI9" s="369">
        <f>SUM(AC9:AG9)</f>
        <v>320077800</v>
      </c>
      <c r="AJ9" s="368"/>
      <c r="AK9" s="369">
        <v>0</v>
      </c>
      <c r="AL9" s="368"/>
      <c r="AM9" s="369">
        <f>AI9+AK9</f>
        <v>320077800</v>
      </c>
    </row>
    <row r="10" spans="1:51">
      <c r="A10" s="91">
        <f>IF(C10&lt;&gt;"",MAX(A8:A9)+1,"")</f>
        <v>6</v>
      </c>
      <c r="C10" s="792" t="s">
        <v>284</v>
      </c>
      <c r="D10" s="874"/>
      <c r="E10" s="2"/>
      <c r="F10" s="779">
        <f>SUM(F7:F9)</f>
        <v>3935993526.722538</v>
      </c>
      <c r="G10" s="779">
        <f>SUM(G7:G9)</f>
        <v>0</v>
      </c>
      <c r="H10" s="779">
        <f>SUM(H7:H9)</f>
        <v>0</v>
      </c>
      <c r="I10" s="779">
        <f>SUM(I7:I9)</f>
        <v>0</v>
      </c>
      <c r="J10" s="779">
        <f>SUM(J7:J9)</f>
        <v>0</v>
      </c>
      <c r="K10" s="764"/>
      <c r="L10" s="875">
        <f>SUM(L7:L9)</f>
        <v>3935993526.722538</v>
      </c>
      <c r="M10" s="764"/>
      <c r="N10" s="779">
        <f>SUM(N7:N9)</f>
        <v>0</v>
      </c>
      <c r="O10" s="779">
        <f t="shared" si="1"/>
        <v>3935993526.722538</v>
      </c>
      <c r="P10" s="791"/>
      <c r="Q10" s="779">
        <f>SUM(Q7:Q9)</f>
        <v>3837785148.0397205</v>
      </c>
      <c r="R10" s="779">
        <f>SUM(R7:R9)</f>
        <v>0</v>
      </c>
      <c r="S10" s="779">
        <f>SUM(S7:S9)</f>
        <v>0</v>
      </c>
      <c r="T10" s="779">
        <f>SUM(T7:T9)</f>
        <v>0</v>
      </c>
      <c r="U10" s="779">
        <f>SUM(U7:U9)</f>
        <v>0</v>
      </c>
      <c r="V10" s="764"/>
      <c r="W10" s="779">
        <f>SUM(W7:W9)</f>
        <v>3837785148.0397205</v>
      </c>
      <c r="X10" s="764"/>
      <c r="Y10" s="779">
        <f>SUM(Y7:Y9)</f>
        <v>0</v>
      </c>
      <c r="Z10" s="876"/>
      <c r="AA10" s="779">
        <f t="shared" ref="AA10" si="2">SUM(AA7:AA9)</f>
        <v>3837785148.0397205</v>
      </c>
      <c r="AB10" s="368"/>
      <c r="AC10" s="779">
        <f>SUM(AC7:AC9)</f>
        <v>3771154832.1913977</v>
      </c>
      <c r="AD10" s="779">
        <f>SUM(AD7:AD9)</f>
        <v>0</v>
      </c>
      <c r="AE10" s="779">
        <f>SUM(AE7:AE9)</f>
        <v>0</v>
      </c>
      <c r="AF10" s="779">
        <f>SUM(AF7:AF9)</f>
        <v>0</v>
      </c>
      <c r="AG10" s="779">
        <f>SUM(AG7:AG9)</f>
        <v>0</v>
      </c>
      <c r="AH10" s="764"/>
      <c r="AI10" s="779">
        <f>SUM(AI7:AI9)</f>
        <v>3771154832.1913977</v>
      </c>
      <c r="AJ10" s="764"/>
      <c r="AK10" s="779">
        <f>SUM(AK7:AK9)</f>
        <v>0</v>
      </c>
      <c r="AL10" s="764"/>
      <c r="AM10" s="780">
        <f>SUM(AM7:AM9)</f>
        <v>3771154832.1913977</v>
      </c>
    </row>
    <row r="11" spans="1:51">
      <c r="A11" s="91"/>
      <c r="C11" s="757"/>
      <c r="D11" s="757"/>
      <c r="F11" s="653"/>
      <c r="G11" s="653"/>
      <c r="H11" s="653"/>
      <c r="I11" s="653"/>
      <c r="J11" s="653"/>
      <c r="K11" s="368"/>
      <c r="L11" s="877"/>
      <c r="M11" s="368"/>
      <c r="N11" s="653"/>
      <c r="O11" s="653"/>
      <c r="P11" s="368"/>
      <c r="Q11" s="653"/>
      <c r="R11" s="653"/>
      <c r="S11" s="653"/>
      <c r="T11" s="653"/>
      <c r="U11" s="653"/>
      <c r="V11" s="368"/>
      <c r="W11" s="653"/>
      <c r="X11" s="368"/>
      <c r="Y11" s="653"/>
      <c r="Z11" s="861"/>
      <c r="AA11" s="653"/>
      <c r="AB11" s="368"/>
      <c r="AC11" s="653"/>
      <c r="AD11" s="653"/>
      <c r="AE11" s="653"/>
      <c r="AF11" s="653"/>
      <c r="AG11" s="653"/>
      <c r="AH11" s="368"/>
      <c r="AI11" s="653"/>
      <c r="AJ11" s="368"/>
      <c r="AK11" s="653"/>
      <c r="AL11" s="368"/>
      <c r="AM11" s="653"/>
    </row>
    <row r="12" spans="1:51">
      <c r="A12" s="91">
        <f>IF(C12&lt;&gt;"",MAX(A10:A11)+1,"")</f>
        <v>7</v>
      </c>
      <c r="C12" s="80" t="s">
        <v>286</v>
      </c>
      <c r="D12" s="80"/>
      <c r="F12" s="369">
        <f>'B-7'!F15</f>
        <v>56501060.585000008</v>
      </c>
      <c r="G12" s="369">
        <v>0</v>
      </c>
      <c r="H12" s="369">
        <v>0</v>
      </c>
      <c r="I12" s="369">
        <v>0</v>
      </c>
      <c r="J12" s="369">
        <v>0</v>
      </c>
      <c r="K12" s="368"/>
      <c r="L12" s="370">
        <f>SUM(F12:J12)</f>
        <v>56501060.585000008</v>
      </c>
      <c r="M12" s="368"/>
      <c r="N12" s="904">
        <v>27903135</v>
      </c>
      <c r="O12" s="369">
        <f t="shared" si="1"/>
        <v>84404195.585000008</v>
      </c>
      <c r="P12" s="368"/>
      <c r="Q12" s="369">
        <f>'B-7'!H15</f>
        <v>56695460.585000008</v>
      </c>
      <c r="R12" s="369">
        <v>0</v>
      </c>
      <c r="S12" s="369">
        <v>0</v>
      </c>
      <c r="T12" s="369">
        <v>0</v>
      </c>
      <c r="U12" s="369">
        <v>0</v>
      </c>
      <c r="V12" s="368"/>
      <c r="W12" s="369">
        <f>SUM(Q12:U12)</f>
        <v>56695460.585000008</v>
      </c>
      <c r="X12" s="368"/>
      <c r="Y12" s="369">
        <v>0</v>
      </c>
      <c r="Z12" s="861"/>
      <c r="AA12" s="369">
        <f>W12+Y12</f>
        <v>56695460.585000008</v>
      </c>
      <c r="AB12" s="368"/>
      <c r="AC12" s="369">
        <f>'B-7'!J15</f>
        <v>56370898.120000005</v>
      </c>
      <c r="AD12" s="369">
        <v>0</v>
      </c>
      <c r="AE12" s="369">
        <v>0</v>
      </c>
      <c r="AF12" s="369">
        <v>0</v>
      </c>
      <c r="AG12" s="369">
        <v>0</v>
      </c>
      <c r="AH12" s="368"/>
      <c r="AI12" s="369">
        <f>SUM(AC12:AG12)</f>
        <v>56370898.120000005</v>
      </c>
      <c r="AJ12" s="368"/>
      <c r="AK12" s="369">
        <v>0</v>
      </c>
      <c r="AL12" s="368"/>
      <c r="AM12" s="369">
        <f>AI12+AK12</f>
        <v>56370898.120000005</v>
      </c>
    </row>
    <row r="13" spans="1:51">
      <c r="A13" s="91">
        <f>IF(C13&lt;&gt;"",MAX(A11:A12)+1,"")</f>
        <v>8</v>
      </c>
      <c r="C13" s="705" t="s">
        <v>287</v>
      </c>
      <c r="D13" s="878"/>
      <c r="E13" s="2"/>
      <c r="F13" s="779">
        <f>F10+SUM(F12:F12)</f>
        <v>3992494587.307538</v>
      </c>
      <c r="G13" s="779">
        <f>G10+SUM(G12:G12)</f>
        <v>0</v>
      </c>
      <c r="H13" s="779">
        <f>H10+SUM(H12:H12)</f>
        <v>0</v>
      </c>
      <c r="I13" s="779">
        <f>I10+SUM(I12:I12)</f>
        <v>0</v>
      </c>
      <c r="J13" s="779">
        <f>J10+SUM(J12:J12)</f>
        <v>0</v>
      </c>
      <c r="K13" s="779"/>
      <c r="L13" s="875">
        <f>L10+SUM(L12:L12)</f>
        <v>3992494587.307538</v>
      </c>
      <c r="M13" s="779"/>
      <c r="N13" s="779">
        <f>N10+SUM(N12:N12)</f>
        <v>27903135</v>
      </c>
      <c r="O13" s="779">
        <f t="shared" si="1"/>
        <v>4020397722.307538</v>
      </c>
      <c r="P13" s="791"/>
      <c r="Q13" s="779">
        <f>Q10+SUM(Q12:Q12)</f>
        <v>3894480608.6247206</v>
      </c>
      <c r="R13" s="779">
        <f>R10+SUM(R12:R12)</f>
        <v>0</v>
      </c>
      <c r="S13" s="779">
        <f>S10+SUM(S12:S12)</f>
        <v>0</v>
      </c>
      <c r="T13" s="779">
        <f>T10+SUM(T12:T12)</f>
        <v>0</v>
      </c>
      <c r="U13" s="779">
        <f>U10+SUM(U12:U12)</f>
        <v>0</v>
      </c>
      <c r="V13" s="779"/>
      <c r="W13" s="779">
        <f>W10+SUM(W12:W12)</f>
        <v>3894480608.6247206</v>
      </c>
      <c r="X13" s="779"/>
      <c r="Y13" s="779">
        <f>Y10+SUM(Y12:Y12)</f>
        <v>0</v>
      </c>
      <c r="Z13" s="875"/>
      <c r="AA13" s="779">
        <f>AA10+SUM(AA12:AA12)</f>
        <v>3894480608.6247206</v>
      </c>
      <c r="AB13" s="368"/>
      <c r="AC13" s="779">
        <f>AC10+SUM(AC12:AC12)</f>
        <v>3827525730.3113976</v>
      </c>
      <c r="AD13" s="779">
        <f>AD10+SUM(AD12:AD12)</f>
        <v>0</v>
      </c>
      <c r="AE13" s="779">
        <f>AE10+SUM(AE12:AE12)</f>
        <v>0</v>
      </c>
      <c r="AF13" s="779">
        <f>AF10+SUM(AF12:AF12)</f>
        <v>0</v>
      </c>
      <c r="AG13" s="779">
        <f>AG10+SUM(AG12:AG12)</f>
        <v>0</v>
      </c>
      <c r="AH13" s="779"/>
      <c r="AI13" s="779">
        <f>AI10+SUM(AI12:AI12)</f>
        <v>3827525730.3113976</v>
      </c>
      <c r="AJ13" s="779"/>
      <c r="AK13" s="779">
        <f>AK10+SUM(AK12:AK12)</f>
        <v>0</v>
      </c>
      <c r="AL13" s="779"/>
      <c r="AM13" s="779">
        <f>AM10+SUM(AM12:AM12)</f>
        <v>3827525730.3113976</v>
      </c>
    </row>
    <row r="14" spans="1:51">
      <c r="A14" s="91">
        <f>IF(C14&lt;&gt;"",MAX(A12:A13)+1,"")</f>
        <v>9</v>
      </c>
      <c r="C14" s="80" t="s">
        <v>370</v>
      </c>
      <c r="D14" s="80"/>
      <c r="F14" s="850">
        <f>F9</f>
        <v>320077800</v>
      </c>
      <c r="G14" s="369">
        <v>0</v>
      </c>
      <c r="H14" s="369">
        <v>0</v>
      </c>
      <c r="I14" s="369">
        <v>0</v>
      </c>
      <c r="J14" s="369">
        <v>0</v>
      </c>
      <c r="K14" s="368"/>
      <c r="L14" s="370">
        <f>SUM(F14:J14)</f>
        <v>320077800</v>
      </c>
      <c r="M14" s="368"/>
      <c r="N14" s="369">
        <v>0</v>
      </c>
      <c r="O14" s="369">
        <f t="shared" si="1"/>
        <v>320077800</v>
      </c>
      <c r="P14" s="368"/>
      <c r="Q14" s="850">
        <f>F14</f>
        <v>320077800</v>
      </c>
      <c r="R14" s="369">
        <v>0</v>
      </c>
      <c r="S14" s="369">
        <v>0</v>
      </c>
      <c r="T14" s="369">
        <v>0</v>
      </c>
      <c r="U14" s="369">
        <v>0</v>
      </c>
      <c r="V14" s="368"/>
      <c r="W14" s="369">
        <f>SUM(Q14:U14)</f>
        <v>320077800</v>
      </c>
      <c r="X14" s="368"/>
      <c r="Y14" s="369">
        <v>0</v>
      </c>
      <c r="Z14" s="861"/>
      <c r="AA14" s="369">
        <f>W14+Y14</f>
        <v>320077800</v>
      </c>
      <c r="AB14" s="368"/>
      <c r="AC14" s="850">
        <f>Q14</f>
        <v>320077800</v>
      </c>
      <c r="AD14" s="369">
        <v>0</v>
      </c>
      <c r="AE14" s="369">
        <v>0</v>
      </c>
      <c r="AF14" s="369">
        <v>0</v>
      </c>
      <c r="AG14" s="369">
        <v>0</v>
      </c>
      <c r="AH14" s="368"/>
      <c r="AI14" s="369">
        <f>SUM(AC14:AG14)</f>
        <v>320077800</v>
      </c>
      <c r="AJ14" s="368"/>
      <c r="AK14" s="369">
        <v>0</v>
      </c>
      <c r="AL14" s="368"/>
      <c r="AM14" s="369">
        <f>AI14+AK14</f>
        <v>320077800</v>
      </c>
    </row>
    <row r="15" spans="1:51">
      <c r="A15" s="77"/>
      <c r="E15" s="2"/>
      <c r="F15" s="368"/>
      <c r="G15" s="368"/>
      <c r="H15" s="368"/>
      <c r="I15" s="368"/>
      <c r="J15" s="368"/>
      <c r="K15" s="368"/>
      <c r="L15" s="861"/>
      <c r="M15" s="368"/>
      <c r="N15" s="368"/>
      <c r="O15" s="368"/>
      <c r="P15" s="791"/>
      <c r="Q15" s="368"/>
      <c r="R15" s="368"/>
      <c r="S15" s="368"/>
      <c r="T15" s="368"/>
      <c r="U15" s="368"/>
      <c r="V15" s="368"/>
      <c r="W15" s="368"/>
      <c r="X15" s="368"/>
      <c r="Y15" s="368"/>
      <c r="Z15" s="861"/>
      <c r="AA15" s="368"/>
      <c r="AB15" s="368"/>
      <c r="AC15" s="368"/>
      <c r="AD15" s="368"/>
      <c r="AE15" s="368"/>
      <c r="AF15" s="368"/>
      <c r="AG15" s="368"/>
      <c r="AH15" s="368"/>
      <c r="AI15" s="368"/>
      <c r="AJ15" s="368"/>
      <c r="AK15" s="368"/>
      <c r="AL15" s="368"/>
      <c r="AM15" s="368"/>
    </row>
    <row r="16" spans="1:51">
      <c r="A16" s="91">
        <f>IF(C16&lt;&gt;"",MAX(A14:A14)+1,"")</f>
        <v>10</v>
      </c>
      <c r="C16" s="710" t="s">
        <v>290</v>
      </c>
      <c r="D16" s="879"/>
      <c r="F16" s="875">
        <f>F13-SUM(F14:F14)</f>
        <v>3672416787.307538</v>
      </c>
      <c r="G16" s="779">
        <f>G13+SUM(G14:G14)</f>
        <v>0</v>
      </c>
      <c r="H16" s="779">
        <f>H13+SUM(H14:H14)</f>
        <v>0</v>
      </c>
      <c r="I16" s="779">
        <f>I13+SUM(I14:I14)</f>
        <v>0</v>
      </c>
      <c r="J16" s="779">
        <f>J13+SUM(J14:J14)</f>
        <v>0</v>
      </c>
      <c r="K16" s="779"/>
      <c r="L16" s="875">
        <f>L13-SUM(L14:L14)</f>
        <v>3672416787.307538</v>
      </c>
      <c r="M16" s="779"/>
      <c r="N16" s="779">
        <f>N13+SUM(N14:N14)</f>
        <v>27903135</v>
      </c>
      <c r="O16" s="779">
        <f t="shared" si="1"/>
        <v>3700319922.307538</v>
      </c>
      <c r="P16" s="368"/>
      <c r="Q16" s="875">
        <f>Q13-SUM(Q14:Q14)</f>
        <v>3574402808.6247206</v>
      </c>
      <c r="R16" s="779">
        <f>R13+SUM(R14:R14)</f>
        <v>0</v>
      </c>
      <c r="S16" s="779">
        <f>S13+SUM(S14:S14)</f>
        <v>0</v>
      </c>
      <c r="T16" s="779">
        <f>T13+SUM(T14:T14)</f>
        <v>0</v>
      </c>
      <c r="U16" s="779">
        <f>U13+SUM(U14:U14)</f>
        <v>0</v>
      </c>
      <c r="V16" s="779"/>
      <c r="W16" s="875">
        <f>W13-SUM(W14:W14)</f>
        <v>3574402808.6247206</v>
      </c>
      <c r="X16" s="779"/>
      <c r="Y16" s="779">
        <f>Y13+SUM(Y14:Y14)</f>
        <v>0</v>
      </c>
      <c r="Z16" s="875"/>
      <c r="AA16" s="779">
        <f>AA13+SUM(AA14:AA14)</f>
        <v>4214558408.6247206</v>
      </c>
      <c r="AB16" s="368"/>
      <c r="AC16" s="875">
        <f>AC13-SUM(AC14:AC14)</f>
        <v>3507447930.3113976</v>
      </c>
      <c r="AD16" s="779">
        <f>AD13+SUM(AD14:AD14)</f>
        <v>0</v>
      </c>
      <c r="AE16" s="779">
        <f>AE13+SUM(AE14:AE14)</f>
        <v>0</v>
      </c>
      <c r="AF16" s="779">
        <f>AF13+SUM(AF14:AF14)</f>
        <v>0</v>
      </c>
      <c r="AG16" s="779">
        <f>AG13+SUM(AG14:AG14)</f>
        <v>0</v>
      </c>
      <c r="AH16" s="779"/>
      <c r="AI16" s="875">
        <f>AI13-SUM(AI14:AI14)</f>
        <v>3507447930.3113976</v>
      </c>
      <c r="AJ16" s="779"/>
      <c r="AK16" s="779">
        <f>AK13+SUM(AK14:AK14)</f>
        <v>0</v>
      </c>
      <c r="AL16" s="779"/>
      <c r="AM16" s="780">
        <f>AM13+SUM(AM14:AM14)</f>
        <v>4147603530.3113976</v>
      </c>
    </row>
    <row r="17" spans="1:39">
      <c r="A17" s="91" t="str">
        <f>IF(C17&lt;&gt;"",MAX(A14:A16)+1,"")</f>
        <v/>
      </c>
      <c r="C17" s="29"/>
      <c r="D17" s="29"/>
      <c r="E17" s="2"/>
      <c r="F17" s="653"/>
      <c r="G17" s="653"/>
      <c r="H17" s="653"/>
      <c r="I17" s="653"/>
      <c r="J17" s="653"/>
      <c r="K17" s="368"/>
      <c r="L17" s="877"/>
      <c r="M17" s="368"/>
      <c r="N17" s="653"/>
      <c r="O17" s="653"/>
      <c r="P17" s="791"/>
      <c r="Q17" s="653"/>
      <c r="R17" s="653"/>
      <c r="S17" s="653"/>
      <c r="T17" s="653"/>
      <c r="U17" s="653"/>
      <c r="V17" s="368"/>
      <c r="W17" s="653"/>
      <c r="X17" s="368"/>
      <c r="Y17" s="653"/>
      <c r="Z17" s="861"/>
      <c r="AA17" s="653"/>
      <c r="AB17" s="368"/>
      <c r="AC17" s="653"/>
      <c r="AD17" s="653"/>
      <c r="AE17" s="653"/>
      <c r="AF17" s="653"/>
      <c r="AG17" s="653"/>
      <c r="AH17" s="368"/>
      <c r="AI17" s="653"/>
      <c r="AJ17" s="368"/>
      <c r="AK17" s="653"/>
      <c r="AL17" s="368"/>
      <c r="AM17" s="653"/>
    </row>
    <row r="18" spans="1:39" ht="15.75" thickBot="1">
      <c r="A18" s="91">
        <f>IF(C18&lt;&gt;"",MAX(A16:A17)+1,"")</f>
        <v>11</v>
      </c>
      <c r="C18" s="870" t="s">
        <v>291</v>
      </c>
      <c r="D18" s="870"/>
      <c r="F18" s="871" t="s">
        <v>279</v>
      </c>
      <c r="G18" s="871" t="s">
        <v>279</v>
      </c>
      <c r="H18" s="871" t="s">
        <v>279</v>
      </c>
      <c r="I18" s="871" t="s">
        <v>279</v>
      </c>
      <c r="J18" s="871" t="s">
        <v>279</v>
      </c>
      <c r="K18" s="380"/>
      <c r="L18" s="872" t="s">
        <v>279</v>
      </c>
      <c r="M18" s="380"/>
      <c r="N18" s="871"/>
      <c r="O18" s="871"/>
      <c r="P18" s="368"/>
      <c r="Q18" s="871" t="s">
        <v>279</v>
      </c>
      <c r="R18" s="871" t="s">
        <v>279</v>
      </c>
      <c r="S18" s="871" t="s">
        <v>279</v>
      </c>
      <c r="T18" s="871" t="s">
        <v>279</v>
      </c>
      <c r="U18" s="871" t="s">
        <v>279</v>
      </c>
      <c r="V18" s="380"/>
      <c r="W18" s="871" t="s">
        <v>279</v>
      </c>
      <c r="X18" s="380"/>
      <c r="Y18" s="871"/>
      <c r="Z18" s="873"/>
      <c r="AA18" s="871"/>
      <c r="AB18" s="368"/>
      <c r="AC18" s="871" t="s">
        <v>279</v>
      </c>
      <c r="AD18" s="871" t="s">
        <v>279</v>
      </c>
      <c r="AE18" s="871" t="s">
        <v>279</v>
      </c>
      <c r="AF18" s="871" t="s">
        <v>279</v>
      </c>
      <c r="AG18" s="871" t="s">
        <v>279</v>
      </c>
      <c r="AH18" s="380"/>
      <c r="AI18" s="871" t="s">
        <v>279</v>
      </c>
      <c r="AJ18" s="380"/>
      <c r="AK18" s="871"/>
      <c r="AL18" s="380"/>
      <c r="AM18" s="871"/>
    </row>
    <row r="19" spans="1:39">
      <c r="A19" s="91"/>
      <c r="C19" s="29"/>
      <c r="D19" s="29"/>
      <c r="E19" s="2"/>
      <c r="F19" s="653"/>
      <c r="G19" s="653"/>
      <c r="H19" s="653"/>
      <c r="I19" s="653"/>
      <c r="J19" s="653"/>
      <c r="K19" s="368"/>
      <c r="L19" s="877"/>
      <c r="M19" s="368"/>
      <c r="N19" s="653"/>
      <c r="O19" s="653"/>
      <c r="P19" s="791"/>
      <c r="Q19" s="653"/>
      <c r="R19" s="653"/>
      <c r="S19" s="653"/>
      <c r="T19" s="653"/>
      <c r="U19" s="653"/>
      <c r="V19" s="368"/>
      <c r="W19" s="653"/>
      <c r="X19" s="368"/>
      <c r="Y19" s="653"/>
      <c r="Z19" s="861"/>
      <c r="AA19" s="653"/>
      <c r="AB19" s="368"/>
      <c r="AC19" s="653"/>
      <c r="AD19" s="653"/>
      <c r="AE19" s="653"/>
      <c r="AF19" s="653"/>
      <c r="AG19" s="653"/>
      <c r="AH19" s="368"/>
      <c r="AI19" s="653"/>
      <c r="AJ19" s="368"/>
      <c r="AK19" s="653"/>
      <c r="AL19" s="368"/>
      <c r="AM19" s="653"/>
    </row>
    <row r="20" spans="1:39">
      <c r="A20" s="91">
        <f>IF(C20&lt;&gt;"",MAX(A17:A18)+1,"")</f>
        <v>12</v>
      </c>
      <c r="C20" s="361" t="s">
        <v>292</v>
      </c>
      <c r="D20" s="361"/>
      <c r="F20" s="368"/>
      <c r="G20" s="368"/>
      <c r="H20" s="368"/>
      <c r="I20" s="368"/>
      <c r="J20" s="368"/>
      <c r="K20" s="368"/>
      <c r="L20" s="861"/>
      <c r="M20" s="368"/>
      <c r="N20" s="368"/>
      <c r="O20" s="368"/>
      <c r="P20" s="368"/>
      <c r="Q20" s="368"/>
      <c r="R20" s="368"/>
      <c r="S20" s="368"/>
      <c r="T20" s="368"/>
      <c r="U20" s="368"/>
      <c r="V20" s="368"/>
      <c r="W20" s="368"/>
      <c r="X20" s="368"/>
      <c r="Y20" s="368"/>
      <c r="Z20" s="861"/>
      <c r="AA20" s="368"/>
      <c r="AB20" s="368"/>
      <c r="AC20" s="368"/>
      <c r="AD20" s="368"/>
      <c r="AE20" s="368"/>
      <c r="AF20" s="368"/>
      <c r="AG20" s="368"/>
      <c r="AH20" s="368"/>
      <c r="AI20" s="368"/>
      <c r="AJ20" s="368"/>
      <c r="AK20" s="368"/>
      <c r="AL20" s="368"/>
      <c r="AM20" s="368"/>
    </row>
    <row r="21" spans="1:39">
      <c r="A21" s="91">
        <f>IF(C21&lt;&gt;"",MAX(A18:A20)+1,"")</f>
        <v>13</v>
      </c>
      <c r="C21" s="80" t="s">
        <v>293</v>
      </c>
      <c r="D21" s="80"/>
      <c r="E21" s="2"/>
      <c r="F21" s="377">
        <f>'F-6'!F191</f>
        <v>1710960028.6206896</v>
      </c>
      <c r="G21" s="369">
        <v>0</v>
      </c>
      <c r="H21" s="369">
        <v>0</v>
      </c>
      <c r="I21" s="369">
        <v>0</v>
      </c>
      <c r="J21" s="369">
        <v>0</v>
      </c>
      <c r="K21" s="368"/>
      <c r="L21" s="370">
        <f>SUM(F21:J21)</f>
        <v>1710960028.6206896</v>
      </c>
      <c r="M21" s="368"/>
      <c r="N21" s="369">
        <v>0</v>
      </c>
      <c r="O21" s="369">
        <f t="shared" si="1"/>
        <v>1710960028.6206896</v>
      </c>
      <c r="P21" s="791"/>
      <c r="Q21" s="369">
        <f>'F-6'!Q180</f>
        <v>1659770337.5443616</v>
      </c>
      <c r="R21" s="369">
        <v>0</v>
      </c>
      <c r="S21" s="369">
        <v>0</v>
      </c>
      <c r="T21" s="369">
        <v>0</v>
      </c>
      <c r="U21" s="369">
        <v>0</v>
      </c>
      <c r="V21" s="368"/>
      <c r="W21" s="369">
        <f>SUM(Q21:U21)</f>
        <v>1659770337.5443616</v>
      </c>
      <c r="X21" s="368"/>
      <c r="Y21" s="369">
        <v>0</v>
      </c>
      <c r="Z21" s="861"/>
      <c r="AA21" s="369">
        <f>W21+Y21</f>
        <v>1659770337.5443616</v>
      </c>
      <c r="AB21" s="368"/>
      <c r="AC21" s="369">
        <f>'F-6'!Q181</f>
        <v>1623835232.7383296</v>
      </c>
      <c r="AD21" s="369">
        <v>0</v>
      </c>
      <c r="AE21" s="369">
        <v>0</v>
      </c>
      <c r="AF21" s="369">
        <v>0</v>
      </c>
      <c r="AG21" s="369">
        <v>0</v>
      </c>
      <c r="AH21" s="368"/>
      <c r="AI21" s="369">
        <f>SUM(AC21:AG21)</f>
        <v>1623835232.7383296</v>
      </c>
      <c r="AJ21" s="368"/>
      <c r="AK21" s="369">
        <v>0</v>
      </c>
      <c r="AL21" s="368"/>
      <c r="AM21" s="369">
        <f>AI21+AK21</f>
        <v>1623835232.7383296</v>
      </c>
    </row>
    <row r="22" spans="1:39">
      <c r="A22" s="91">
        <f>IF(C22&lt;&gt;"",MAX(A20:A21)+1,"")</f>
        <v>14</v>
      </c>
      <c r="C22" s="80" t="s">
        <v>294</v>
      </c>
      <c r="D22" s="80"/>
      <c r="F22" s="377">
        <f>'F-6'!D248</f>
        <v>575691701.22000003</v>
      </c>
      <c r="G22" s="369">
        <v>0</v>
      </c>
      <c r="H22" s="369">
        <v>0</v>
      </c>
      <c r="I22" s="369">
        <v>0</v>
      </c>
      <c r="J22" s="369">
        <v>0</v>
      </c>
      <c r="K22" s="368"/>
      <c r="L22" s="370">
        <f>SUM(F22:J22)</f>
        <v>575691701.22000003</v>
      </c>
      <c r="M22" s="368"/>
      <c r="N22" s="369">
        <v>0</v>
      </c>
      <c r="O22" s="369">
        <f t="shared" si="1"/>
        <v>575691701.22000003</v>
      </c>
      <c r="P22" s="368"/>
      <c r="Q22" s="369">
        <f>'F-6'!K258</f>
        <v>558467756.85677922</v>
      </c>
      <c r="R22" s="369">
        <v>0</v>
      </c>
      <c r="S22" s="369">
        <v>0</v>
      </c>
      <c r="T22" s="369">
        <v>0</v>
      </c>
      <c r="U22" s="369">
        <v>0</v>
      </c>
      <c r="V22" s="368"/>
      <c r="W22" s="369">
        <f>SUM(Q22:U22)</f>
        <v>558467756.85677922</v>
      </c>
      <c r="X22" s="368"/>
      <c r="Y22" s="369">
        <v>0</v>
      </c>
      <c r="Z22" s="861"/>
      <c r="AA22" s="369">
        <f>W22+Y22</f>
        <v>558467756.85677922</v>
      </c>
      <c r="AB22" s="368"/>
      <c r="AC22" s="369">
        <f>'F-6'!K259</f>
        <v>546376567.54011166</v>
      </c>
      <c r="AD22" s="369">
        <v>0</v>
      </c>
      <c r="AE22" s="369">
        <v>0</v>
      </c>
      <c r="AF22" s="369">
        <v>0</v>
      </c>
      <c r="AG22" s="369">
        <v>0</v>
      </c>
      <c r="AH22" s="368"/>
      <c r="AI22" s="369">
        <f>SUM(AC22:AG22)</f>
        <v>546376567.54011166</v>
      </c>
      <c r="AJ22" s="368"/>
      <c r="AK22" s="369">
        <v>0</v>
      </c>
      <c r="AL22" s="368"/>
      <c r="AM22" s="369">
        <f>AI22+AK22</f>
        <v>546376567.54011166</v>
      </c>
    </row>
    <row r="23" spans="1:39">
      <c r="A23" s="91">
        <f t="shared" si="0"/>
        <v>15</v>
      </c>
      <c r="C23" s="80" t="s">
        <v>295</v>
      </c>
      <c r="D23" s="80"/>
      <c r="E23" s="2"/>
      <c r="F23" s="377">
        <f>'F-6'!L248</f>
        <v>150061570</v>
      </c>
      <c r="G23" s="369">
        <v>0</v>
      </c>
      <c r="H23" s="369">
        <v>0</v>
      </c>
      <c r="I23" s="369">
        <v>0</v>
      </c>
      <c r="J23" s="369">
        <v>0</v>
      </c>
      <c r="K23" s="368"/>
      <c r="L23" s="370">
        <f>SUM(F23:J23)</f>
        <v>150061570</v>
      </c>
      <c r="M23" s="368"/>
      <c r="N23" s="369">
        <v>0</v>
      </c>
      <c r="O23" s="369">
        <f t="shared" si="1"/>
        <v>150061570</v>
      </c>
      <c r="P23" s="791"/>
      <c r="Q23" s="369">
        <f>'F-6'!M258</f>
        <v>145571923.67148736</v>
      </c>
      <c r="R23" s="369">
        <v>0</v>
      </c>
      <c r="S23" s="369">
        <v>0</v>
      </c>
      <c r="T23" s="369">
        <v>0</v>
      </c>
      <c r="U23" s="369">
        <v>0</v>
      </c>
      <c r="V23" s="368"/>
      <c r="W23" s="369">
        <f>SUM(Q23:U23)</f>
        <v>145571923.67148736</v>
      </c>
      <c r="X23" s="368"/>
      <c r="Y23" s="369">
        <v>0</v>
      </c>
      <c r="Z23" s="861"/>
      <c r="AA23" s="369">
        <f>W23+Y23</f>
        <v>145571923.67148736</v>
      </c>
      <c r="AB23" s="368"/>
      <c r="AC23" s="369">
        <f>'F-6'!M259</f>
        <v>142420197.06472677</v>
      </c>
      <c r="AD23" s="369">
        <v>0</v>
      </c>
      <c r="AE23" s="369">
        <v>0</v>
      </c>
      <c r="AF23" s="369">
        <v>0</v>
      </c>
      <c r="AG23" s="369">
        <v>0</v>
      </c>
      <c r="AH23" s="368"/>
      <c r="AI23" s="369">
        <f>SUM(AC23:AG23)</f>
        <v>142420197.06472677</v>
      </c>
      <c r="AJ23" s="368"/>
      <c r="AK23" s="369">
        <v>0</v>
      </c>
      <c r="AL23" s="368"/>
      <c r="AM23" s="369">
        <f>AI23+AK23</f>
        <v>142420197.06472677</v>
      </c>
    </row>
    <row r="24" spans="1:39">
      <c r="A24" s="91">
        <f t="shared" si="0"/>
        <v>16</v>
      </c>
      <c r="C24" s="792" t="s">
        <v>296</v>
      </c>
      <c r="D24" s="874"/>
      <c r="F24" s="779">
        <f>SUM(F21:F23)</f>
        <v>2436713299.8406897</v>
      </c>
      <c r="G24" s="779">
        <f t="shared" ref="G24:N24" si="3">SUM(G21:G23)</f>
        <v>0</v>
      </c>
      <c r="H24" s="779">
        <f t="shared" si="3"/>
        <v>0</v>
      </c>
      <c r="I24" s="779">
        <f t="shared" si="3"/>
        <v>0</v>
      </c>
      <c r="J24" s="779">
        <f t="shared" si="3"/>
        <v>0</v>
      </c>
      <c r="K24" s="764"/>
      <c r="L24" s="875">
        <f t="shared" si="3"/>
        <v>2436713299.8406897</v>
      </c>
      <c r="M24" s="764"/>
      <c r="N24" s="779">
        <f t="shared" si="3"/>
        <v>0</v>
      </c>
      <c r="O24" s="779">
        <f t="shared" si="1"/>
        <v>2436713299.8406897</v>
      </c>
      <c r="P24" s="368"/>
      <c r="Q24" s="779">
        <f>SUM(Q21:Q23)</f>
        <v>2363810018.072628</v>
      </c>
      <c r="R24" s="779">
        <f t="shared" ref="R24:U24" si="4">SUM(R21:R23)</f>
        <v>0</v>
      </c>
      <c r="S24" s="779">
        <f t="shared" si="4"/>
        <v>0</v>
      </c>
      <c r="T24" s="779">
        <f t="shared" si="4"/>
        <v>0</v>
      </c>
      <c r="U24" s="779">
        <f t="shared" si="4"/>
        <v>0</v>
      </c>
      <c r="V24" s="764"/>
      <c r="W24" s="779">
        <f t="shared" ref="W24" si="5">SUM(W21:W23)</f>
        <v>2363810018.072628</v>
      </c>
      <c r="X24" s="764"/>
      <c r="Y24" s="779">
        <f t="shared" ref="Y24" si="6">SUM(Y21:Y23)</f>
        <v>0</v>
      </c>
      <c r="Z24" s="876"/>
      <c r="AA24" s="779">
        <f t="shared" ref="AA24" si="7">SUM(AA21:AA23)</f>
        <v>2363810018.072628</v>
      </c>
      <c r="AB24" s="368"/>
      <c r="AC24" s="779">
        <f>SUM(AC21:AC23)</f>
        <v>2312631997.3431683</v>
      </c>
      <c r="AD24" s="779">
        <f t="shared" ref="AD24:AG24" si="8">SUM(AD21:AD23)</f>
        <v>0</v>
      </c>
      <c r="AE24" s="779">
        <f t="shared" si="8"/>
        <v>0</v>
      </c>
      <c r="AF24" s="779">
        <f t="shared" si="8"/>
        <v>0</v>
      </c>
      <c r="AG24" s="779">
        <f t="shared" si="8"/>
        <v>0</v>
      </c>
      <c r="AH24" s="764"/>
      <c r="AI24" s="779">
        <f t="shared" ref="AI24" si="9">SUM(AI21:AI23)</f>
        <v>2312631997.3431683</v>
      </c>
      <c r="AJ24" s="764"/>
      <c r="AK24" s="779">
        <f t="shared" ref="AK24" si="10">SUM(AK21:AK23)</f>
        <v>0</v>
      </c>
      <c r="AL24" s="764"/>
      <c r="AM24" s="780">
        <f t="shared" ref="AM24" si="11">SUM(AM21:AM23)</f>
        <v>2312631997.3431683</v>
      </c>
    </row>
    <row r="25" spans="1:39">
      <c r="A25" s="91" t="str">
        <f t="shared" si="0"/>
        <v/>
      </c>
      <c r="C25" s="29"/>
      <c r="D25" s="29"/>
      <c r="E25" s="2"/>
      <c r="F25" s="653"/>
      <c r="G25" s="653"/>
      <c r="H25" s="653"/>
      <c r="I25" s="653"/>
      <c r="J25" s="653"/>
      <c r="K25" s="368"/>
      <c r="L25" s="877"/>
      <c r="M25" s="368"/>
      <c r="N25" s="653"/>
      <c r="O25" s="653"/>
      <c r="P25" s="791"/>
      <c r="Q25" s="653"/>
      <c r="R25" s="653"/>
      <c r="S25" s="653"/>
      <c r="T25" s="653"/>
      <c r="U25" s="653"/>
      <c r="V25" s="368"/>
      <c r="W25" s="653"/>
      <c r="X25" s="368"/>
      <c r="Y25" s="653"/>
      <c r="Z25" s="861"/>
      <c r="AA25" s="653"/>
      <c r="AB25" s="368"/>
      <c r="AC25" s="653"/>
      <c r="AD25" s="653"/>
      <c r="AE25" s="653"/>
      <c r="AF25" s="653"/>
      <c r="AG25" s="653"/>
      <c r="AH25" s="368"/>
      <c r="AI25" s="653"/>
      <c r="AJ25" s="368"/>
      <c r="AK25" s="653"/>
      <c r="AL25" s="368"/>
      <c r="AM25" s="653"/>
    </row>
    <row r="26" spans="1:39" ht="15.75" thickBot="1">
      <c r="A26" s="91">
        <f t="shared" si="0"/>
        <v>17</v>
      </c>
      <c r="C26" s="880" t="s">
        <v>297</v>
      </c>
      <c r="D26" s="880"/>
      <c r="F26" s="871"/>
      <c r="G26" s="871"/>
      <c r="H26" s="871"/>
      <c r="I26" s="871"/>
      <c r="J26" s="871"/>
      <c r="K26" s="380"/>
      <c r="L26" s="872"/>
      <c r="M26" s="380"/>
      <c r="N26" s="871"/>
      <c r="O26" s="871"/>
      <c r="P26" s="368"/>
      <c r="Q26" s="871"/>
      <c r="R26" s="871"/>
      <c r="S26" s="871"/>
      <c r="T26" s="871"/>
      <c r="U26" s="871"/>
      <c r="V26" s="380"/>
      <c r="W26" s="871"/>
      <c r="X26" s="380"/>
      <c r="Y26" s="871"/>
      <c r="Z26" s="873"/>
      <c r="AA26" s="871"/>
      <c r="AB26" s="368"/>
      <c r="AC26" s="871"/>
      <c r="AD26" s="871"/>
      <c r="AE26" s="871"/>
      <c r="AF26" s="871"/>
      <c r="AG26" s="871"/>
      <c r="AH26" s="380"/>
      <c r="AI26" s="871"/>
      <c r="AJ26" s="380"/>
      <c r="AK26" s="871"/>
      <c r="AL26" s="380"/>
      <c r="AM26" s="871"/>
    </row>
    <row r="27" spans="1:39">
      <c r="A27" s="91"/>
      <c r="C27" s="414"/>
      <c r="D27" s="414"/>
      <c r="E27" s="2"/>
      <c r="F27" s="653"/>
      <c r="G27" s="653"/>
      <c r="H27" s="653"/>
      <c r="I27" s="653"/>
      <c r="J27" s="653"/>
      <c r="K27" s="368"/>
      <c r="L27" s="877"/>
      <c r="M27" s="368"/>
      <c r="N27" s="653"/>
      <c r="O27" s="653"/>
      <c r="P27" s="791"/>
      <c r="Q27" s="653"/>
      <c r="R27" s="653"/>
      <c r="S27" s="653"/>
      <c r="T27" s="653"/>
      <c r="U27" s="653"/>
      <c r="V27" s="368"/>
      <c r="W27" s="653"/>
      <c r="X27" s="368"/>
      <c r="Y27" s="653"/>
      <c r="Z27" s="861"/>
      <c r="AA27" s="653"/>
      <c r="AB27" s="368"/>
      <c r="AC27" s="653"/>
      <c r="AD27" s="653"/>
      <c r="AE27" s="653"/>
      <c r="AF27" s="653"/>
      <c r="AG27" s="653"/>
      <c r="AH27" s="368"/>
      <c r="AI27" s="653"/>
      <c r="AJ27" s="368"/>
      <c r="AK27" s="653"/>
      <c r="AL27" s="368"/>
      <c r="AM27" s="653"/>
    </row>
    <row r="28" spans="1:39">
      <c r="A28" s="91">
        <f>IF(C28&lt;&gt;"",MAX(A24:A26)+1,"")</f>
        <v>18</v>
      </c>
      <c r="C28" s="361" t="s">
        <v>298</v>
      </c>
      <c r="D28" s="361"/>
      <c r="F28" s="368"/>
      <c r="G28" s="368"/>
      <c r="H28" s="368"/>
      <c r="I28" s="368"/>
      <c r="J28" s="368"/>
      <c r="K28" s="368"/>
      <c r="L28" s="861"/>
      <c r="M28" s="368"/>
      <c r="N28" s="368"/>
      <c r="O28" s="368"/>
      <c r="P28" s="368"/>
      <c r="Q28" s="368"/>
      <c r="R28" s="368"/>
      <c r="S28" s="368"/>
      <c r="T28" s="368"/>
      <c r="U28" s="368"/>
      <c r="V28" s="368"/>
      <c r="W28" s="368"/>
      <c r="X28" s="368"/>
      <c r="Y28" s="368"/>
      <c r="Z28" s="861"/>
      <c r="AA28" s="368"/>
      <c r="AB28" s="368"/>
      <c r="AC28" s="368"/>
      <c r="AD28" s="368"/>
      <c r="AE28" s="368"/>
      <c r="AF28" s="368"/>
      <c r="AG28" s="368"/>
      <c r="AH28" s="368"/>
      <c r="AI28" s="368"/>
      <c r="AJ28" s="368"/>
      <c r="AK28" s="368"/>
      <c r="AL28" s="368"/>
      <c r="AM28" s="368"/>
    </row>
    <row r="29" spans="1:39">
      <c r="A29" s="91">
        <f>IF(C29&lt;&gt;"",MAX(A25:A28)+1,"")</f>
        <v>19</v>
      </c>
      <c r="C29" s="80" t="s">
        <v>299</v>
      </c>
      <c r="D29" s="80"/>
      <c r="E29" s="2"/>
      <c r="F29" s="377">
        <v>0</v>
      </c>
      <c r="G29" s="377">
        <v>70940649.271238104</v>
      </c>
      <c r="H29" s="369">
        <f>4398000*1.05</f>
        <v>4617900</v>
      </c>
      <c r="I29" s="369">
        <f>7892000*1.05</f>
        <v>8286600</v>
      </c>
      <c r="J29" s="369">
        <v>262056237.13847497</v>
      </c>
      <c r="K29" s="368"/>
      <c r="L29" s="370">
        <f>SUM(G29:J29)</f>
        <v>345901386.40971309</v>
      </c>
      <c r="M29" s="368"/>
      <c r="N29" s="369">
        <v>0</v>
      </c>
      <c r="O29" s="369">
        <f t="shared" si="1"/>
        <v>345901386.40971309</v>
      </c>
      <c r="P29" s="791"/>
      <c r="Q29" s="369">
        <v>0</v>
      </c>
      <c r="R29" s="377">
        <v>72517543.004937157</v>
      </c>
      <c r="S29" s="369">
        <f>H29*1.05</f>
        <v>4848795</v>
      </c>
      <c r="T29" s="369">
        <f>I29*1.05</f>
        <v>8700930</v>
      </c>
      <c r="U29" s="377">
        <v>293097073</v>
      </c>
      <c r="V29" s="368"/>
      <c r="W29" s="369">
        <f>SUM(Q29:U29)</f>
        <v>379164341.00493717</v>
      </c>
      <c r="X29" s="368"/>
      <c r="Y29" s="369">
        <v>0</v>
      </c>
      <c r="Z29" s="861"/>
      <c r="AA29" s="369">
        <f>W29+Y29</f>
        <v>379164341.00493717</v>
      </c>
      <c r="AB29" s="368"/>
      <c r="AC29" s="369">
        <v>0</v>
      </c>
      <c r="AD29" s="377">
        <v>74220588.237332135</v>
      </c>
      <c r="AE29" s="369">
        <f>S29*1.05</f>
        <v>5091234.75</v>
      </c>
      <c r="AF29" s="369">
        <f>T29*1.05</f>
        <v>9135976.5</v>
      </c>
      <c r="AG29" s="868">
        <v>317023873</v>
      </c>
      <c r="AH29" s="368"/>
      <c r="AI29" s="369">
        <f>SUM(AC29:AG29)</f>
        <v>405471672.48733211</v>
      </c>
      <c r="AJ29" s="368"/>
      <c r="AK29" s="369">
        <v>0</v>
      </c>
      <c r="AL29" s="368"/>
      <c r="AM29" s="369">
        <f>AI29+AK29</f>
        <v>405471672.48733211</v>
      </c>
    </row>
    <row r="30" spans="1:39">
      <c r="A30" s="91">
        <f>IF(C30&lt;&gt;"",MAX(A26:A29)+1,"")</f>
        <v>20</v>
      </c>
      <c r="C30" s="80" t="s">
        <v>300</v>
      </c>
      <c r="D30" s="80"/>
      <c r="F30" s="377">
        <v>0</v>
      </c>
      <c r="G30" s="377">
        <v>30901244.029177699</v>
      </c>
      <c r="H30" s="369">
        <v>0</v>
      </c>
      <c r="I30" s="369">
        <v>0</v>
      </c>
      <c r="J30" s="369">
        <v>107623981.40794994</v>
      </c>
      <c r="K30" s="368"/>
      <c r="L30" s="370">
        <f>SUM(G30:J30)</f>
        <v>138525225.43712765</v>
      </c>
      <c r="M30" s="368"/>
      <c r="N30" s="369">
        <v>0</v>
      </c>
      <c r="O30" s="369">
        <f t="shared" si="1"/>
        <v>138525225.43712765</v>
      </c>
      <c r="P30" s="368"/>
      <c r="Q30" s="369">
        <v>0</v>
      </c>
      <c r="R30" s="377">
        <v>31838050.801834203</v>
      </c>
      <c r="S30" s="369">
        <v>0</v>
      </c>
      <c r="T30" s="369">
        <v>0</v>
      </c>
      <c r="U30" s="377">
        <v>120372155</v>
      </c>
      <c r="V30" s="368"/>
      <c r="W30" s="369">
        <f>SUM(Q30:U30)</f>
        <v>152210205.8018342</v>
      </c>
      <c r="X30" s="368"/>
      <c r="Y30" s="369">
        <v>0</v>
      </c>
      <c r="Z30" s="861"/>
      <c r="AA30" s="369">
        <f>W30+Y30</f>
        <v>152210205.8018342</v>
      </c>
      <c r="AB30" s="368"/>
      <c r="AC30" s="369">
        <v>0</v>
      </c>
      <c r="AD30" s="377">
        <v>32849802.116303224</v>
      </c>
      <c r="AE30" s="369">
        <v>0</v>
      </c>
      <c r="AF30" s="369">
        <v>0</v>
      </c>
      <c r="AG30" s="868">
        <v>130198662</v>
      </c>
      <c r="AH30" s="368"/>
      <c r="AI30" s="369">
        <f>SUM(AC30:AG30)</f>
        <v>163048464.11630324</v>
      </c>
      <c r="AJ30" s="368"/>
      <c r="AK30" s="369">
        <v>0</v>
      </c>
      <c r="AL30" s="368"/>
      <c r="AM30" s="369">
        <f>AI30+AK30</f>
        <v>163048464.11630324</v>
      </c>
    </row>
    <row r="31" spans="1:39">
      <c r="A31" s="91">
        <f t="shared" si="0"/>
        <v>21</v>
      </c>
      <c r="C31" s="80" t="s">
        <v>301</v>
      </c>
      <c r="D31" s="80"/>
      <c r="E31" s="2"/>
      <c r="F31" s="377">
        <v>0</v>
      </c>
      <c r="G31" s="377">
        <v>11779258.82969005</v>
      </c>
      <c r="H31" s="369">
        <v>0</v>
      </c>
      <c r="I31" s="369">
        <v>0</v>
      </c>
      <c r="J31" s="369">
        <v>23670143.769850004</v>
      </c>
      <c r="K31" s="368"/>
      <c r="L31" s="370">
        <f>SUM(G31:J31)</f>
        <v>35449402.599540055</v>
      </c>
      <c r="M31" s="368"/>
      <c r="N31" s="369">
        <v>0</v>
      </c>
      <c r="O31" s="369">
        <f t="shared" si="1"/>
        <v>35449402.599540055</v>
      </c>
      <c r="P31" s="791"/>
      <c r="Q31" s="369">
        <v>0</v>
      </c>
      <c r="R31" s="377">
        <v>12282446.640065257</v>
      </c>
      <c r="S31" s="369">
        <v>0</v>
      </c>
      <c r="T31" s="369">
        <v>0</v>
      </c>
      <c r="U31" s="377">
        <v>26473897</v>
      </c>
      <c r="V31" s="368"/>
      <c r="W31" s="369">
        <f>SUM(Q31:U31)</f>
        <v>38756343.640065253</v>
      </c>
      <c r="X31" s="368"/>
      <c r="Y31" s="369">
        <v>0</v>
      </c>
      <c r="Z31" s="861"/>
      <c r="AA31" s="369">
        <f>W31+Y31</f>
        <v>38756343.640065253</v>
      </c>
      <c r="AB31" s="368"/>
      <c r="AC31" s="369">
        <v>0</v>
      </c>
      <c r="AD31" s="377">
        <v>12825889.475270476</v>
      </c>
      <c r="AE31" s="369">
        <v>0</v>
      </c>
      <c r="AF31" s="369">
        <v>0</v>
      </c>
      <c r="AG31" s="868">
        <v>28635077</v>
      </c>
      <c r="AH31" s="368"/>
      <c r="AI31" s="369">
        <f>SUM(AC31:AG31)</f>
        <v>41460966.47527048</v>
      </c>
      <c r="AJ31" s="368"/>
      <c r="AK31" s="369">
        <v>0</v>
      </c>
      <c r="AL31" s="368"/>
      <c r="AM31" s="369">
        <f>AI31+AK31</f>
        <v>41460966.47527048</v>
      </c>
    </row>
    <row r="32" spans="1:39">
      <c r="A32" s="91">
        <f t="shared" si="0"/>
        <v>22</v>
      </c>
      <c r="C32" s="80" t="s">
        <v>302</v>
      </c>
      <c r="D32" s="80"/>
      <c r="F32" s="369">
        <v>0</v>
      </c>
      <c r="G32" s="369">
        <v>0</v>
      </c>
      <c r="H32" s="369">
        <v>0</v>
      </c>
      <c r="I32" s="369">
        <v>0</v>
      </c>
      <c r="J32" s="369">
        <v>0</v>
      </c>
      <c r="K32" s="368"/>
      <c r="L32" s="370">
        <f>SUM(F32:J32)</f>
        <v>0</v>
      </c>
      <c r="M32" s="368"/>
      <c r="N32" s="369">
        <v>0</v>
      </c>
      <c r="O32" s="369">
        <f t="shared" si="1"/>
        <v>0</v>
      </c>
      <c r="P32" s="368"/>
      <c r="Q32" s="369">
        <v>0</v>
      </c>
      <c r="R32" s="369">
        <v>0</v>
      </c>
      <c r="S32" s="369">
        <v>0</v>
      </c>
      <c r="T32" s="369">
        <v>0</v>
      </c>
      <c r="U32" s="369">
        <v>0</v>
      </c>
      <c r="V32" s="368"/>
      <c r="W32" s="369">
        <f>SUM(Q32:U32)</f>
        <v>0</v>
      </c>
      <c r="X32" s="368"/>
      <c r="Y32" s="369">
        <v>0</v>
      </c>
      <c r="Z32" s="861"/>
      <c r="AA32" s="369">
        <f>W32+Y32</f>
        <v>0</v>
      </c>
      <c r="AB32" s="368"/>
      <c r="AC32" s="369">
        <v>0</v>
      </c>
      <c r="AD32" s="369">
        <v>0</v>
      </c>
      <c r="AE32" s="369">
        <v>0</v>
      </c>
      <c r="AF32" s="369">
        <v>0</v>
      </c>
      <c r="AG32" s="369">
        <v>0</v>
      </c>
      <c r="AH32" s="368"/>
      <c r="AI32" s="369">
        <f>SUM(AC32:AG32)</f>
        <v>0</v>
      </c>
      <c r="AJ32" s="368"/>
      <c r="AK32" s="369">
        <v>0</v>
      </c>
      <c r="AL32" s="368"/>
      <c r="AM32" s="369">
        <f>AI32+AK32</f>
        <v>0</v>
      </c>
    </row>
    <row r="33" spans="1:39">
      <c r="A33" s="91">
        <f t="shared" si="0"/>
        <v>23</v>
      </c>
      <c r="C33" s="792" t="s">
        <v>303</v>
      </c>
      <c r="D33" s="874"/>
      <c r="E33" s="2"/>
      <c r="F33" s="779">
        <f t="shared" ref="F33:N33" si="12">SUM(F29:F32)</f>
        <v>0</v>
      </c>
      <c r="G33" s="779">
        <f>SUM(G29:G32)</f>
        <v>113621152.13010585</v>
      </c>
      <c r="H33" s="779">
        <f t="shared" si="12"/>
        <v>4617900</v>
      </c>
      <c r="I33" s="779">
        <f t="shared" si="12"/>
        <v>8286600</v>
      </c>
      <c r="J33" s="779">
        <f t="shared" si="12"/>
        <v>393350362.31627494</v>
      </c>
      <c r="K33" s="764"/>
      <c r="L33" s="875">
        <f t="shared" si="12"/>
        <v>519876014.44638079</v>
      </c>
      <c r="M33" s="764"/>
      <c r="N33" s="779">
        <f t="shared" si="12"/>
        <v>0</v>
      </c>
      <c r="O33" s="779">
        <f t="shared" si="1"/>
        <v>519876014.44638079</v>
      </c>
      <c r="P33" s="791"/>
      <c r="Q33" s="779">
        <f t="shared" ref="Q33:U33" si="13">SUM(Q29:Q32)</f>
        <v>0</v>
      </c>
      <c r="R33" s="779">
        <f t="shared" si="13"/>
        <v>116638040.44683662</v>
      </c>
      <c r="S33" s="779">
        <f t="shared" si="13"/>
        <v>4848795</v>
      </c>
      <c r="T33" s="779">
        <f t="shared" si="13"/>
        <v>8700930</v>
      </c>
      <c r="U33" s="779">
        <f t="shared" si="13"/>
        <v>439943125</v>
      </c>
      <c r="V33" s="764"/>
      <c r="W33" s="779">
        <f t="shared" ref="W33" si="14">SUM(W29:W32)</f>
        <v>570130890.44683671</v>
      </c>
      <c r="X33" s="764"/>
      <c r="Y33" s="779">
        <f t="shared" ref="Y33" si="15">SUM(Y29:Y32)</f>
        <v>0</v>
      </c>
      <c r="Z33" s="876"/>
      <c r="AA33" s="779">
        <f t="shared" ref="AA33" si="16">SUM(AA29:AA32)</f>
        <v>570130890.44683671</v>
      </c>
      <c r="AB33" s="368"/>
      <c r="AC33" s="779">
        <f t="shared" ref="AC33:AG33" si="17">SUM(AC29:AC32)</f>
        <v>0</v>
      </c>
      <c r="AD33" s="779">
        <f t="shared" si="17"/>
        <v>119896279.82890584</v>
      </c>
      <c r="AE33" s="779">
        <f t="shared" si="17"/>
        <v>5091234.75</v>
      </c>
      <c r="AF33" s="779">
        <f t="shared" si="17"/>
        <v>9135976.5</v>
      </c>
      <c r="AG33" s="779">
        <f t="shared" si="17"/>
        <v>475857612</v>
      </c>
      <c r="AH33" s="764"/>
      <c r="AI33" s="779">
        <f t="shared" ref="AI33" si="18">SUM(AI29:AI32)</f>
        <v>609981103.07890582</v>
      </c>
      <c r="AJ33" s="764"/>
      <c r="AK33" s="779">
        <f t="shared" ref="AK33" si="19">SUM(AK29:AK32)</f>
        <v>0</v>
      </c>
      <c r="AL33" s="764"/>
      <c r="AM33" s="780">
        <f t="shared" ref="AM33" si="20">SUM(AM29:AM32)</f>
        <v>609981103.07890582</v>
      </c>
    </row>
    <row r="34" spans="1:39">
      <c r="A34" s="91">
        <f t="shared" si="0"/>
        <v>24</v>
      </c>
      <c r="C34" s="361" t="s">
        <v>279</v>
      </c>
      <c r="D34" s="361"/>
      <c r="F34" s="653" t="s">
        <v>279</v>
      </c>
      <c r="G34" s="653" t="s">
        <v>279</v>
      </c>
      <c r="H34" s="653" t="s">
        <v>279</v>
      </c>
      <c r="I34" s="653" t="s">
        <v>279</v>
      </c>
      <c r="J34" s="653" t="s">
        <v>279</v>
      </c>
      <c r="K34" s="368"/>
      <c r="L34" s="877" t="s">
        <v>279</v>
      </c>
      <c r="M34" s="368"/>
      <c r="N34" s="653"/>
      <c r="O34" s="653"/>
      <c r="P34" s="368"/>
      <c r="Q34" s="653" t="s">
        <v>279</v>
      </c>
      <c r="R34" s="653" t="s">
        <v>279</v>
      </c>
      <c r="S34" s="653" t="s">
        <v>279</v>
      </c>
      <c r="T34" s="653" t="s">
        <v>279</v>
      </c>
      <c r="U34" s="653" t="s">
        <v>279</v>
      </c>
      <c r="V34" s="368"/>
      <c r="W34" s="653" t="s">
        <v>279</v>
      </c>
      <c r="X34" s="368"/>
      <c r="Y34" s="653"/>
      <c r="Z34" s="861"/>
      <c r="AA34" s="653"/>
      <c r="AB34" s="368"/>
      <c r="AC34" s="653" t="s">
        <v>279</v>
      </c>
      <c r="AD34" s="653" t="s">
        <v>279</v>
      </c>
      <c r="AE34" s="653" t="s">
        <v>279</v>
      </c>
      <c r="AF34" s="653" t="s">
        <v>279</v>
      </c>
      <c r="AG34" s="653" t="s">
        <v>279</v>
      </c>
      <c r="AH34" s="368"/>
      <c r="AI34" s="653" t="s">
        <v>279</v>
      </c>
      <c r="AJ34" s="368"/>
      <c r="AK34" s="653"/>
      <c r="AL34" s="368"/>
      <c r="AM34" s="653"/>
    </row>
    <row r="35" spans="1:39">
      <c r="A35" s="91">
        <f t="shared" si="0"/>
        <v>25</v>
      </c>
      <c r="C35" s="361" t="s">
        <v>304</v>
      </c>
      <c r="D35" s="361"/>
      <c r="E35" s="2"/>
      <c r="F35" s="368"/>
      <c r="G35" s="368"/>
      <c r="H35" s="368"/>
      <c r="I35" s="368"/>
      <c r="J35" s="368"/>
      <c r="K35" s="368"/>
      <c r="L35" s="861"/>
      <c r="M35" s="368"/>
      <c r="N35" s="368"/>
      <c r="O35" s="368">
        <f t="shared" si="1"/>
        <v>0</v>
      </c>
      <c r="P35" s="791"/>
      <c r="Q35" s="368"/>
      <c r="R35" s="368"/>
      <c r="S35" s="368"/>
      <c r="T35" s="368"/>
      <c r="U35" s="368"/>
      <c r="V35" s="368"/>
      <c r="W35" s="368"/>
      <c r="X35" s="368"/>
      <c r="Y35" s="368"/>
      <c r="Z35" s="861"/>
      <c r="AA35" s="368"/>
      <c r="AB35" s="368"/>
      <c r="AC35" s="368"/>
      <c r="AD35" s="368"/>
      <c r="AE35" s="368"/>
      <c r="AF35" s="368"/>
      <c r="AG35" s="368"/>
      <c r="AH35" s="368"/>
      <c r="AI35" s="368"/>
      <c r="AJ35" s="368"/>
      <c r="AK35" s="368"/>
      <c r="AL35" s="368"/>
      <c r="AM35" s="368"/>
    </row>
    <row r="36" spans="1:39">
      <c r="A36" s="91">
        <f t="shared" si="0"/>
        <v>26</v>
      </c>
      <c r="C36" s="80" t="s">
        <v>305</v>
      </c>
      <c r="D36" s="80"/>
      <c r="F36" s="369">
        <v>0</v>
      </c>
      <c r="G36" s="377">
        <v>38289319.969999999</v>
      </c>
      <c r="H36" s="369">
        <v>0</v>
      </c>
      <c r="I36" s="369">
        <v>0</v>
      </c>
      <c r="J36" s="883">
        <v>47493408</v>
      </c>
      <c r="K36" s="368"/>
      <c r="L36" s="370">
        <f t="shared" ref="L36:L55" si="21">SUM(F36:J36)</f>
        <v>85782727.969999999</v>
      </c>
      <c r="M36" s="368"/>
      <c r="N36" s="369">
        <v>0</v>
      </c>
      <c r="O36" s="369">
        <f t="shared" si="1"/>
        <v>85782727.969999999</v>
      </c>
      <c r="P36" s="368"/>
      <c r="Q36" s="369">
        <v>0</v>
      </c>
      <c r="R36" s="377">
        <v>30390643</v>
      </c>
      <c r="S36" s="369">
        <v>0</v>
      </c>
      <c r="T36" s="369">
        <v>0</v>
      </c>
      <c r="U36" s="883">
        <v>50607056</v>
      </c>
      <c r="V36" s="368"/>
      <c r="W36" s="369">
        <f t="shared" ref="W36:W55" si="22">SUM(Q36:U36)</f>
        <v>80997699</v>
      </c>
      <c r="X36" s="368"/>
      <c r="Y36" s="369">
        <v>0</v>
      </c>
      <c r="Z36" s="861"/>
      <c r="AA36" s="369">
        <f t="shared" ref="AA36:AA55" si="23">W36+Y36</f>
        <v>80997699</v>
      </c>
      <c r="AB36" s="368"/>
      <c r="AC36" s="369">
        <v>0</v>
      </c>
      <c r="AD36" s="377">
        <v>30903260.824999999</v>
      </c>
      <c r="AE36" s="369">
        <v>0</v>
      </c>
      <c r="AF36" s="369">
        <v>0</v>
      </c>
      <c r="AG36" s="883">
        <v>53889246</v>
      </c>
      <c r="AH36" s="368"/>
      <c r="AI36" s="369">
        <f t="shared" ref="AI36:AI55" si="24">SUM(AC36:AG36)</f>
        <v>84792506.825000003</v>
      </c>
      <c r="AJ36" s="368"/>
      <c r="AK36" s="369">
        <v>0</v>
      </c>
      <c r="AL36" s="368"/>
      <c r="AM36" s="369">
        <f t="shared" ref="AM36:AM55" si="25">AI36+AK36</f>
        <v>84792506.825000003</v>
      </c>
    </row>
    <row r="37" spans="1:39">
      <c r="A37" s="91">
        <f t="shared" si="0"/>
        <v>27</v>
      </c>
      <c r="C37" s="80" t="s">
        <v>306</v>
      </c>
      <c r="D37" s="80"/>
      <c r="E37" s="2"/>
      <c r="F37" s="369">
        <v>0</v>
      </c>
      <c r="G37" s="377">
        <v>2289860</v>
      </c>
      <c r="H37" s="369">
        <v>0</v>
      </c>
      <c r="I37" s="369">
        <v>0</v>
      </c>
      <c r="J37" s="883">
        <v>30666895</v>
      </c>
      <c r="K37" s="368"/>
      <c r="L37" s="370">
        <f t="shared" si="21"/>
        <v>32956755</v>
      </c>
      <c r="M37" s="368"/>
      <c r="N37" s="369">
        <v>0</v>
      </c>
      <c r="O37" s="369">
        <f t="shared" si="1"/>
        <v>32956755</v>
      </c>
      <c r="P37" s="791"/>
      <c r="Q37" s="369">
        <v>0</v>
      </c>
      <c r="R37" s="377">
        <v>2325060</v>
      </c>
      <c r="S37" s="369">
        <v>0</v>
      </c>
      <c r="T37" s="369">
        <v>0</v>
      </c>
      <c r="U37" s="883">
        <v>34935910</v>
      </c>
      <c r="V37" s="368"/>
      <c r="W37" s="369">
        <f t="shared" si="22"/>
        <v>37260970</v>
      </c>
      <c r="X37" s="368"/>
      <c r="Y37" s="369">
        <v>0</v>
      </c>
      <c r="Z37" s="861"/>
      <c r="AA37" s="369">
        <f t="shared" si="23"/>
        <v>37260970</v>
      </c>
      <c r="AB37" s="368"/>
      <c r="AC37" s="369">
        <v>0</v>
      </c>
      <c r="AD37" s="377">
        <v>2358014</v>
      </c>
      <c r="AE37" s="369">
        <v>0</v>
      </c>
      <c r="AF37" s="369">
        <v>0</v>
      </c>
      <c r="AG37" s="883">
        <v>37679217</v>
      </c>
      <c r="AH37" s="368"/>
      <c r="AI37" s="369">
        <f t="shared" si="24"/>
        <v>40037231</v>
      </c>
      <c r="AJ37" s="368"/>
      <c r="AK37" s="369">
        <v>0</v>
      </c>
      <c r="AL37" s="368"/>
      <c r="AM37" s="369">
        <f t="shared" si="25"/>
        <v>40037231</v>
      </c>
    </row>
    <row r="38" spans="1:39">
      <c r="A38" s="91">
        <f t="shared" si="0"/>
        <v>28</v>
      </c>
      <c r="C38" s="80" t="s">
        <v>307</v>
      </c>
      <c r="D38" s="80"/>
      <c r="F38" s="369">
        <v>0</v>
      </c>
      <c r="G38" s="377">
        <v>49900000</v>
      </c>
      <c r="H38" s="369">
        <v>0</v>
      </c>
      <c r="I38" s="369">
        <v>0</v>
      </c>
      <c r="J38" s="883">
        <v>18093442</v>
      </c>
      <c r="K38" s="368"/>
      <c r="L38" s="370">
        <f t="shared" si="21"/>
        <v>67993442</v>
      </c>
      <c r="M38" s="368"/>
      <c r="N38" s="369">
        <v>0</v>
      </c>
      <c r="O38" s="369">
        <f t="shared" si="1"/>
        <v>67993442</v>
      </c>
      <c r="P38" s="368"/>
      <c r="Q38" s="369">
        <v>0</v>
      </c>
      <c r="R38" s="377">
        <v>55150000</v>
      </c>
      <c r="S38" s="369">
        <v>0</v>
      </c>
      <c r="T38" s="369">
        <v>0</v>
      </c>
      <c r="U38" s="883">
        <v>19008614</v>
      </c>
      <c r="V38" s="368"/>
      <c r="W38" s="369">
        <f t="shared" si="22"/>
        <v>74158614</v>
      </c>
      <c r="X38" s="368"/>
      <c r="Y38" s="369">
        <v>0</v>
      </c>
      <c r="Z38" s="861"/>
      <c r="AA38" s="369">
        <f t="shared" si="23"/>
        <v>74158614</v>
      </c>
      <c r="AB38" s="368"/>
      <c r="AC38" s="369">
        <v>0</v>
      </c>
      <c r="AD38" s="377">
        <v>55400000</v>
      </c>
      <c r="AE38" s="369">
        <v>0</v>
      </c>
      <c r="AF38" s="369">
        <v>0</v>
      </c>
      <c r="AG38" s="883">
        <v>19959045</v>
      </c>
      <c r="AH38" s="368"/>
      <c r="AI38" s="369">
        <f t="shared" si="24"/>
        <v>75359045</v>
      </c>
      <c r="AJ38" s="368"/>
      <c r="AK38" s="369">
        <v>0</v>
      </c>
      <c r="AL38" s="368"/>
      <c r="AM38" s="369">
        <f t="shared" si="25"/>
        <v>75359045</v>
      </c>
    </row>
    <row r="39" spans="1:39">
      <c r="A39" s="91">
        <f t="shared" si="0"/>
        <v>29</v>
      </c>
      <c r="C39" s="80" t="s">
        <v>308</v>
      </c>
      <c r="D39" s="80"/>
      <c r="E39" s="2"/>
      <c r="F39" s="369">
        <v>0</v>
      </c>
      <c r="G39" s="377">
        <v>0</v>
      </c>
      <c r="H39" s="369">
        <v>0</v>
      </c>
      <c r="I39" s="369">
        <v>0</v>
      </c>
      <c r="J39" s="377">
        <v>0</v>
      </c>
      <c r="K39" s="368"/>
      <c r="L39" s="370">
        <f t="shared" si="21"/>
        <v>0</v>
      </c>
      <c r="M39" s="368"/>
      <c r="N39" s="369">
        <v>0</v>
      </c>
      <c r="O39" s="369">
        <f t="shared" si="1"/>
        <v>0</v>
      </c>
      <c r="P39" s="791"/>
      <c r="Q39" s="369">
        <v>0</v>
      </c>
      <c r="R39" s="377">
        <v>0</v>
      </c>
      <c r="S39" s="369">
        <v>0</v>
      </c>
      <c r="T39" s="369">
        <v>0</v>
      </c>
      <c r="U39" s="377">
        <v>0</v>
      </c>
      <c r="V39" s="368"/>
      <c r="W39" s="369">
        <f t="shared" si="22"/>
        <v>0</v>
      </c>
      <c r="X39" s="368"/>
      <c r="Y39" s="369">
        <v>0</v>
      </c>
      <c r="Z39" s="861"/>
      <c r="AA39" s="369">
        <f t="shared" si="23"/>
        <v>0</v>
      </c>
      <c r="AB39" s="368"/>
      <c r="AC39" s="369">
        <v>0</v>
      </c>
      <c r="AD39" s="377">
        <v>0</v>
      </c>
      <c r="AE39" s="369">
        <v>0</v>
      </c>
      <c r="AF39" s="369">
        <v>0</v>
      </c>
      <c r="AG39" s="377">
        <v>0</v>
      </c>
      <c r="AH39" s="368"/>
      <c r="AI39" s="369">
        <f t="shared" si="24"/>
        <v>0</v>
      </c>
      <c r="AJ39" s="368"/>
      <c r="AK39" s="369">
        <v>0</v>
      </c>
      <c r="AL39" s="368"/>
      <c r="AM39" s="369">
        <f t="shared" si="25"/>
        <v>0</v>
      </c>
    </row>
    <row r="40" spans="1:39">
      <c r="A40" s="91">
        <f t="shared" si="0"/>
        <v>30</v>
      </c>
      <c r="C40" s="80" t="s">
        <v>309</v>
      </c>
      <c r="D40" s="80"/>
      <c r="F40" s="369">
        <v>0</v>
      </c>
      <c r="G40" s="377">
        <v>7126875</v>
      </c>
      <c r="H40" s="369">
        <v>0</v>
      </c>
      <c r="I40" s="369">
        <v>0</v>
      </c>
      <c r="J40" s="883">
        <v>7480496</v>
      </c>
      <c r="K40" s="368"/>
      <c r="L40" s="370">
        <f t="shared" si="21"/>
        <v>14607371</v>
      </c>
      <c r="M40" s="368"/>
      <c r="N40" s="369">
        <v>0</v>
      </c>
      <c r="O40" s="369">
        <f t="shared" si="1"/>
        <v>14607371</v>
      </c>
      <c r="P40" s="368"/>
      <c r="Q40" s="369">
        <v>0</v>
      </c>
      <c r="R40" s="377">
        <v>7483218.75</v>
      </c>
      <c r="S40" s="369">
        <v>0</v>
      </c>
      <c r="T40" s="369">
        <v>0</v>
      </c>
      <c r="U40" s="883">
        <v>7704911</v>
      </c>
      <c r="V40" s="368"/>
      <c r="W40" s="369">
        <f t="shared" si="22"/>
        <v>15188129.75</v>
      </c>
      <c r="X40" s="368"/>
      <c r="Y40" s="369">
        <v>0</v>
      </c>
      <c r="Z40" s="861"/>
      <c r="AA40" s="369">
        <f t="shared" si="23"/>
        <v>15188129.75</v>
      </c>
      <c r="AB40" s="368"/>
      <c r="AC40" s="369">
        <v>0</v>
      </c>
      <c r="AD40" s="377">
        <v>7857379.4375</v>
      </c>
      <c r="AE40" s="369">
        <v>0</v>
      </c>
      <c r="AF40" s="369">
        <v>0</v>
      </c>
      <c r="AG40" s="883">
        <v>7936058</v>
      </c>
      <c r="AH40" s="368"/>
      <c r="AI40" s="369">
        <f t="shared" si="24"/>
        <v>15793437.4375</v>
      </c>
      <c r="AJ40" s="368"/>
      <c r="AK40" s="369">
        <v>0</v>
      </c>
      <c r="AL40" s="368"/>
      <c r="AM40" s="369">
        <f t="shared" si="25"/>
        <v>15793437.4375</v>
      </c>
    </row>
    <row r="41" spans="1:39">
      <c r="A41" s="91">
        <f t="shared" si="0"/>
        <v>31</v>
      </c>
      <c r="C41" s="80" t="s">
        <v>310</v>
      </c>
      <c r="D41" s="80"/>
      <c r="E41" s="2"/>
      <c r="F41" s="369">
        <v>0</v>
      </c>
      <c r="G41" s="377">
        <v>9651505.75</v>
      </c>
      <c r="H41" s="369">
        <v>0</v>
      </c>
      <c r="I41" s="369">
        <v>0</v>
      </c>
      <c r="J41" s="883">
        <v>56077813</v>
      </c>
      <c r="K41" s="368"/>
      <c r="L41" s="370">
        <f t="shared" si="21"/>
        <v>65729318.75</v>
      </c>
      <c r="M41" s="368"/>
      <c r="N41" s="369">
        <v>0</v>
      </c>
      <c r="O41" s="369">
        <f t="shared" si="1"/>
        <v>65729318.75</v>
      </c>
      <c r="P41" s="791"/>
      <c r="Q41" s="369">
        <v>0</v>
      </c>
      <c r="R41" s="377">
        <v>10165124.35</v>
      </c>
      <c r="S41" s="369">
        <v>0</v>
      </c>
      <c r="T41" s="369">
        <v>0</v>
      </c>
      <c r="U41" s="883">
        <v>84589855</v>
      </c>
      <c r="V41" s="368"/>
      <c r="W41" s="369">
        <f t="shared" si="22"/>
        <v>94754979.349999994</v>
      </c>
      <c r="X41" s="368"/>
      <c r="Y41" s="369">
        <v>0</v>
      </c>
      <c r="Z41" s="861"/>
      <c r="AA41" s="369">
        <f t="shared" si="23"/>
        <v>94754979.349999994</v>
      </c>
      <c r="AB41" s="368"/>
      <c r="AC41" s="369">
        <v>0</v>
      </c>
      <c r="AD41" s="377">
        <v>10719021.109999999</v>
      </c>
      <c r="AE41" s="369">
        <v>0</v>
      </c>
      <c r="AF41" s="369">
        <v>0</v>
      </c>
      <c r="AG41" s="883">
        <v>102940592</v>
      </c>
      <c r="AH41" s="368"/>
      <c r="AI41" s="369">
        <f t="shared" si="24"/>
        <v>113659613.11</v>
      </c>
      <c r="AJ41" s="368"/>
      <c r="AK41" s="369">
        <v>0</v>
      </c>
      <c r="AL41" s="368"/>
      <c r="AM41" s="369">
        <f t="shared" si="25"/>
        <v>113659613.11</v>
      </c>
    </row>
    <row r="42" spans="1:39">
      <c r="A42" s="91">
        <f t="shared" si="0"/>
        <v>32</v>
      </c>
      <c r="C42" s="80" t="s">
        <v>311</v>
      </c>
      <c r="D42" s="80"/>
      <c r="F42" s="369">
        <v>0</v>
      </c>
      <c r="G42" s="377">
        <v>0</v>
      </c>
      <c r="H42" s="369">
        <v>0</v>
      </c>
      <c r="I42" s="369">
        <v>0</v>
      </c>
      <c r="J42" s="883">
        <v>2050000</v>
      </c>
      <c r="K42" s="368"/>
      <c r="L42" s="370">
        <f t="shared" si="21"/>
        <v>2050000</v>
      </c>
      <c r="M42" s="368"/>
      <c r="N42" s="369">
        <v>0</v>
      </c>
      <c r="O42" s="369">
        <f t="shared" si="1"/>
        <v>2050000</v>
      </c>
      <c r="P42" s="368"/>
      <c r="Q42" s="369">
        <v>0</v>
      </c>
      <c r="R42" s="377">
        <v>0</v>
      </c>
      <c r="S42" s="369">
        <v>0</v>
      </c>
      <c r="T42" s="369">
        <v>0</v>
      </c>
      <c r="U42" s="377">
        <v>2152500</v>
      </c>
      <c r="V42" s="368"/>
      <c r="W42" s="369">
        <f t="shared" si="22"/>
        <v>2152500</v>
      </c>
      <c r="X42" s="368"/>
      <c r="Y42" s="369">
        <v>0</v>
      </c>
      <c r="Z42" s="861"/>
      <c r="AA42" s="369">
        <f t="shared" si="23"/>
        <v>2152500</v>
      </c>
      <c r="AB42" s="368"/>
      <c r="AC42" s="369">
        <v>0</v>
      </c>
      <c r="AD42" s="377">
        <v>0</v>
      </c>
      <c r="AE42" s="369">
        <v>0</v>
      </c>
      <c r="AF42" s="369">
        <v>0</v>
      </c>
      <c r="AG42" s="377">
        <v>2260125</v>
      </c>
      <c r="AH42" s="368"/>
      <c r="AI42" s="369">
        <f t="shared" si="24"/>
        <v>2260125</v>
      </c>
      <c r="AJ42" s="368"/>
      <c r="AK42" s="369">
        <v>0</v>
      </c>
      <c r="AL42" s="368"/>
      <c r="AM42" s="369">
        <f t="shared" si="25"/>
        <v>2260125</v>
      </c>
    </row>
    <row r="43" spans="1:39">
      <c r="A43" s="91">
        <f t="shared" si="0"/>
        <v>33</v>
      </c>
      <c r="C43" s="80" t="s">
        <v>312</v>
      </c>
      <c r="D43" s="80"/>
      <c r="E43" s="2"/>
      <c r="F43" s="369">
        <v>0</v>
      </c>
      <c r="G43" s="377">
        <v>20082294</v>
      </c>
      <c r="H43" s="369">
        <v>0</v>
      </c>
      <c r="I43" s="369">
        <v>0</v>
      </c>
      <c r="J43" s="883">
        <v>24173338</v>
      </c>
      <c r="K43" s="368"/>
      <c r="L43" s="370">
        <f t="shared" si="21"/>
        <v>44255632</v>
      </c>
      <c r="M43" s="368"/>
      <c r="N43" s="369">
        <v>0</v>
      </c>
      <c r="O43" s="369">
        <f t="shared" si="1"/>
        <v>44255632</v>
      </c>
      <c r="P43" s="791"/>
      <c r="Q43" s="369">
        <v>0</v>
      </c>
      <c r="R43" s="377">
        <v>20153168.879999999</v>
      </c>
      <c r="S43" s="369">
        <v>0</v>
      </c>
      <c r="T43" s="369">
        <v>0</v>
      </c>
      <c r="U43" s="883">
        <v>25099976</v>
      </c>
      <c r="V43" s="368"/>
      <c r="W43" s="369">
        <f t="shared" si="22"/>
        <v>45253144.879999995</v>
      </c>
      <c r="X43" s="368"/>
      <c r="Y43" s="369">
        <v>0</v>
      </c>
      <c r="Z43" s="861"/>
      <c r="AA43" s="369">
        <f t="shared" si="23"/>
        <v>45253144.879999995</v>
      </c>
      <c r="AB43" s="368"/>
      <c r="AC43" s="369">
        <v>0</v>
      </c>
      <c r="AD43" s="377">
        <v>20424519.440000001</v>
      </c>
      <c r="AE43" s="369">
        <v>0</v>
      </c>
      <c r="AF43" s="369">
        <v>0</v>
      </c>
      <c r="AG43" s="883">
        <v>26041773</v>
      </c>
      <c r="AH43" s="368"/>
      <c r="AI43" s="369">
        <f t="shared" si="24"/>
        <v>46466292.439999998</v>
      </c>
      <c r="AJ43" s="368"/>
      <c r="AK43" s="369">
        <v>0</v>
      </c>
      <c r="AL43" s="368"/>
      <c r="AM43" s="369">
        <f t="shared" si="25"/>
        <v>46466292.439999998</v>
      </c>
    </row>
    <row r="44" spans="1:39">
      <c r="A44" s="91">
        <f t="shared" si="0"/>
        <v>34</v>
      </c>
      <c r="C44" s="80" t="s">
        <v>313</v>
      </c>
      <c r="D44" s="80"/>
      <c r="F44" s="369">
        <v>0</v>
      </c>
      <c r="G44" s="377">
        <v>2500000</v>
      </c>
      <c r="H44" s="369">
        <v>0</v>
      </c>
      <c r="I44" s="369">
        <v>0</v>
      </c>
      <c r="J44" s="883">
        <v>19932197</v>
      </c>
      <c r="K44" s="368"/>
      <c r="L44" s="370">
        <f t="shared" si="21"/>
        <v>22432197</v>
      </c>
      <c r="M44" s="368"/>
      <c r="N44" s="369">
        <v>0</v>
      </c>
      <c r="O44" s="369">
        <f t="shared" si="1"/>
        <v>22432197</v>
      </c>
      <c r="P44" s="368"/>
      <c r="Q44" s="369">
        <v>0</v>
      </c>
      <c r="R44" s="377">
        <v>2500000</v>
      </c>
      <c r="S44" s="369">
        <v>0</v>
      </c>
      <c r="T44" s="369">
        <v>0</v>
      </c>
      <c r="U44" s="883">
        <v>20975283</v>
      </c>
      <c r="V44" s="368"/>
      <c r="W44" s="369">
        <f t="shared" si="22"/>
        <v>23475283</v>
      </c>
      <c r="X44" s="368"/>
      <c r="Y44" s="369">
        <v>0</v>
      </c>
      <c r="Z44" s="861"/>
      <c r="AA44" s="369">
        <f t="shared" si="23"/>
        <v>23475283</v>
      </c>
      <c r="AB44" s="368"/>
      <c r="AC44" s="369">
        <v>0</v>
      </c>
      <c r="AD44" s="377">
        <v>2500000</v>
      </c>
      <c r="AE44" s="369">
        <v>0</v>
      </c>
      <c r="AF44" s="369">
        <v>0</v>
      </c>
      <c r="AG44" s="883">
        <v>22473827</v>
      </c>
      <c r="AH44" s="368"/>
      <c r="AI44" s="369">
        <f t="shared" si="24"/>
        <v>24973827</v>
      </c>
      <c r="AJ44" s="368"/>
      <c r="AK44" s="369">
        <v>0</v>
      </c>
      <c r="AL44" s="368"/>
      <c r="AM44" s="369">
        <f t="shared" si="25"/>
        <v>24973827</v>
      </c>
    </row>
    <row r="45" spans="1:39">
      <c r="A45" s="91">
        <f t="shared" si="0"/>
        <v>35</v>
      </c>
      <c r="C45" s="80" t="s">
        <v>314</v>
      </c>
      <c r="D45" s="80"/>
      <c r="E45" s="2"/>
      <c r="F45" s="369">
        <v>0</v>
      </c>
      <c r="G45" s="377">
        <v>1490000</v>
      </c>
      <c r="H45" s="369">
        <v>0</v>
      </c>
      <c r="I45" s="369">
        <v>0</v>
      </c>
      <c r="J45" s="883">
        <v>2069177</v>
      </c>
      <c r="K45" s="368"/>
      <c r="L45" s="370">
        <f t="shared" si="21"/>
        <v>3559177</v>
      </c>
      <c r="M45" s="368"/>
      <c r="N45" s="369">
        <v>0</v>
      </c>
      <c r="O45" s="369">
        <f t="shared" si="1"/>
        <v>3559177</v>
      </c>
      <c r="P45" s="791"/>
      <c r="Q45" s="369">
        <v>0</v>
      </c>
      <c r="R45" s="377">
        <v>801760</v>
      </c>
      <c r="S45" s="369">
        <v>0</v>
      </c>
      <c r="T45" s="369">
        <v>0</v>
      </c>
      <c r="U45" s="883">
        <v>2165112</v>
      </c>
      <c r="V45" s="368"/>
      <c r="W45" s="369">
        <f t="shared" si="22"/>
        <v>2966872</v>
      </c>
      <c r="X45" s="368"/>
      <c r="Y45" s="369">
        <v>0</v>
      </c>
      <c r="Z45" s="861"/>
      <c r="AA45" s="369">
        <f t="shared" si="23"/>
        <v>2966872</v>
      </c>
      <c r="AB45" s="368"/>
      <c r="AC45" s="369">
        <v>0</v>
      </c>
      <c r="AD45" s="377">
        <v>856936</v>
      </c>
      <c r="AE45" s="369">
        <v>0</v>
      </c>
      <c r="AF45" s="369">
        <v>0</v>
      </c>
      <c r="AG45" s="883">
        <v>2263766</v>
      </c>
      <c r="AH45" s="368"/>
      <c r="AI45" s="369">
        <f t="shared" si="24"/>
        <v>3120702</v>
      </c>
      <c r="AJ45" s="368"/>
      <c r="AK45" s="369">
        <v>0</v>
      </c>
      <c r="AL45" s="368"/>
      <c r="AM45" s="369">
        <f t="shared" si="25"/>
        <v>3120702</v>
      </c>
    </row>
    <row r="46" spans="1:39">
      <c r="A46" s="91">
        <f t="shared" si="0"/>
        <v>36</v>
      </c>
      <c r="C46" s="80" t="s">
        <v>315</v>
      </c>
      <c r="D46" s="80"/>
      <c r="F46" s="369">
        <v>0</v>
      </c>
      <c r="G46" s="377">
        <v>17780758.439999998</v>
      </c>
      <c r="H46" s="369">
        <v>0</v>
      </c>
      <c r="I46" s="369">
        <v>0</v>
      </c>
      <c r="J46" s="883">
        <v>275154028</v>
      </c>
      <c r="K46" s="368"/>
      <c r="L46" s="370">
        <f t="shared" si="21"/>
        <v>292934786.44</v>
      </c>
      <c r="M46" s="368"/>
      <c r="N46" s="369">
        <v>0</v>
      </c>
      <c r="O46" s="369">
        <f t="shared" si="1"/>
        <v>292934786.44</v>
      </c>
      <c r="P46" s="368"/>
      <c r="Q46" s="369">
        <v>0</v>
      </c>
      <c r="R46" s="377">
        <v>14670532.432499999</v>
      </c>
      <c r="S46" s="369">
        <v>0</v>
      </c>
      <c r="T46" s="369">
        <v>0</v>
      </c>
      <c r="U46" s="883">
        <v>316687594</v>
      </c>
      <c r="V46" s="368"/>
      <c r="W46" s="369">
        <f t="shared" si="22"/>
        <v>331358126.4325</v>
      </c>
      <c r="X46" s="368"/>
      <c r="Y46" s="369">
        <v>0</v>
      </c>
      <c r="Z46" s="861"/>
      <c r="AA46" s="369">
        <f t="shared" si="23"/>
        <v>331358126.4325</v>
      </c>
      <c r="AB46" s="368"/>
      <c r="AC46" s="369">
        <v>0</v>
      </c>
      <c r="AD46" s="377">
        <v>14235536.096125001</v>
      </c>
      <c r="AE46" s="369">
        <v>0</v>
      </c>
      <c r="AF46" s="369">
        <v>0</v>
      </c>
      <c r="AG46" s="883">
        <v>340721516</v>
      </c>
      <c r="AH46" s="368"/>
      <c r="AI46" s="369">
        <f t="shared" si="24"/>
        <v>354957052.09612501</v>
      </c>
      <c r="AJ46" s="368"/>
      <c r="AK46" s="369">
        <v>0</v>
      </c>
      <c r="AL46" s="368"/>
      <c r="AM46" s="369">
        <f t="shared" si="25"/>
        <v>354957052.09612501</v>
      </c>
    </row>
    <row r="47" spans="1:39">
      <c r="A47" s="91">
        <f t="shared" si="0"/>
        <v>37</v>
      </c>
      <c r="C47" s="80" t="s">
        <v>316</v>
      </c>
      <c r="D47" s="80"/>
      <c r="E47" s="2"/>
      <c r="F47" s="369">
        <v>0</v>
      </c>
      <c r="G47" s="377">
        <v>0</v>
      </c>
      <c r="H47" s="369">
        <v>0</v>
      </c>
      <c r="I47" s="369">
        <v>0</v>
      </c>
      <c r="J47" s="883">
        <v>125000000</v>
      </c>
      <c r="K47" s="368"/>
      <c r="L47" s="370">
        <f t="shared" si="21"/>
        <v>125000000</v>
      </c>
      <c r="M47" s="368"/>
      <c r="N47" s="369">
        <v>0</v>
      </c>
      <c r="O47" s="369">
        <f t="shared" si="1"/>
        <v>125000000</v>
      </c>
      <c r="P47" s="791"/>
      <c r="Q47" s="369">
        <v>0</v>
      </c>
      <c r="R47" s="377">
        <v>0</v>
      </c>
      <c r="S47" s="369">
        <v>0</v>
      </c>
      <c r="T47" s="369">
        <v>0</v>
      </c>
      <c r="U47" s="883">
        <v>131250000</v>
      </c>
      <c r="V47" s="368"/>
      <c r="W47" s="369">
        <f t="shared" si="22"/>
        <v>131250000</v>
      </c>
      <c r="X47" s="368"/>
      <c r="Y47" s="369">
        <v>0</v>
      </c>
      <c r="Z47" s="861"/>
      <c r="AA47" s="369">
        <f t="shared" si="23"/>
        <v>131250000</v>
      </c>
      <c r="AB47" s="368"/>
      <c r="AC47" s="369">
        <v>0</v>
      </c>
      <c r="AD47" s="377">
        <v>0</v>
      </c>
      <c r="AE47" s="369">
        <v>0</v>
      </c>
      <c r="AF47" s="369">
        <v>0</v>
      </c>
      <c r="AG47" s="883">
        <v>137812500</v>
      </c>
      <c r="AH47" s="368"/>
      <c r="AI47" s="369">
        <f t="shared" si="24"/>
        <v>137812500</v>
      </c>
      <c r="AJ47" s="368"/>
      <c r="AK47" s="369">
        <v>0</v>
      </c>
      <c r="AL47" s="368"/>
      <c r="AM47" s="369">
        <f t="shared" si="25"/>
        <v>137812500</v>
      </c>
    </row>
    <row r="48" spans="1:39">
      <c r="A48" s="91">
        <f t="shared" si="0"/>
        <v>38</v>
      </c>
      <c r="C48" s="80" t="s">
        <v>317</v>
      </c>
      <c r="D48" s="80"/>
      <c r="F48" s="369">
        <v>0</v>
      </c>
      <c r="G48" s="377">
        <v>5172500</v>
      </c>
      <c r="H48" s="369">
        <v>0</v>
      </c>
      <c r="I48" s="369">
        <v>0</v>
      </c>
      <c r="J48" s="377">
        <v>0</v>
      </c>
      <c r="K48" s="368"/>
      <c r="L48" s="370">
        <f t="shared" si="21"/>
        <v>5172500</v>
      </c>
      <c r="M48" s="368"/>
      <c r="N48" s="369">
        <v>0</v>
      </c>
      <c r="O48" s="369">
        <f t="shared" si="1"/>
        <v>5172500</v>
      </c>
      <c r="P48" s="368"/>
      <c r="Q48" s="369">
        <v>0</v>
      </c>
      <c r="R48" s="377">
        <v>5206625</v>
      </c>
      <c r="S48" s="369">
        <v>0</v>
      </c>
      <c r="T48" s="369">
        <v>0</v>
      </c>
      <c r="U48" s="377">
        <v>0</v>
      </c>
      <c r="V48" s="368"/>
      <c r="W48" s="369">
        <f t="shared" si="22"/>
        <v>5206625</v>
      </c>
      <c r="X48" s="368"/>
      <c r="Y48" s="369">
        <v>0</v>
      </c>
      <c r="Z48" s="861"/>
      <c r="AA48" s="369">
        <f t="shared" si="23"/>
        <v>5206625</v>
      </c>
      <c r="AB48" s="368"/>
      <c r="AC48" s="369">
        <v>0</v>
      </c>
      <c r="AD48" s="377">
        <v>5206625</v>
      </c>
      <c r="AE48" s="369">
        <v>0</v>
      </c>
      <c r="AF48" s="369">
        <v>0</v>
      </c>
      <c r="AG48" s="377">
        <v>0</v>
      </c>
      <c r="AH48" s="368"/>
      <c r="AI48" s="369">
        <f t="shared" si="24"/>
        <v>5206625</v>
      </c>
      <c r="AJ48" s="368"/>
      <c r="AK48" s="369">
        <v>0</v>
      </c>
      <c r="AL48" s="368"/>
      <c r="AM48" s="369">
        <f t="shared" si="25"/>
        <v>5206625</v>
      </c>
    </row>
    <row r="49" spans="1:39">
      <c r="A49" s="91">
        <f t="shared" si="0"/>
        <v>39</v>
      </c>
      <c r="C49" s="80" t="s">
        <v>318</v>
      </c>
      <c r="D49" s="80"/>
      <c r="E49" s="2"/>
      <c r="F49" s="369">
        <v>0</v>
      </c>
      <c r="G49" s="377">
        <v>500000</v>
      </c>
      <c r="H49" s="369">
        <v>0</v>
      </c>
      <c r="I49" s="369">
        <v>0</v>
      </c>
      <c r="J49" s="883">
        <v>300000</v>
      </c>
      <c r="K49" s="368"/>
      <c r="L49" s="370">
        <f>SUM(F49:J49)</f>
        <v>800000</v>
      </c>
      <c r="M49" s="368"/>
      <c r="N49" s="369">
        <v>0</v>
      </c>
      <c r="O49" s="369">
        <f t="shared" si="1"/>
        <v>800000</v>
      </c>
      <c r="P49" s="791"/>
      <c r="Q49" s="369">
        <v>0</v>
      </c>
      <c r="R49" s="377">
        <v>510000</v>
      </c>
      <c r="S49" s="369">
        <v>0</v>
      </c>
      <c r="T49" s="369">
        <v>0</v>
      </c>
      <c r="U49" s="883">
        <v>315000</v>
      </c>
      <c r="V49" s="368"/>
      <c r="W49" s="369">
        <f>SUM(Q49:U49)</f>
        <v>825000</v>
      </c>
      <c r="X49" s="368"/>
      <c r="Y49" s="369">
        <v>0</v>
      </c>
      <c r="Z49" s="861"/>
      <c r="AA49" s="369">
        <f t="shared" si="23"/>
        <v>825000</v>
      </c>
      <c r="AB49" s="368"/>
      <c r="AC49" s="369">
        <v>0</v>
      </c>
      <c r="AD49" s="377">
        <v>520200</v>
      </c>
      <c r="AE49" s="369">
        <v>0</v>
      </c>
      <c r="AF49" s="369">
        <v>0</v>
      </c>
      <c r="AG49" s="883">
        <v>330000</v>
      </c>
      <c r="AH49" s="368"/>
      <c r="AI49" s="369">
        <f t="shared" si="24"/>
        <v>850200</v>
      </c>
      <c r="AJ49" s="368"/>
      <c r="AK49" s="369">
        <v>0</v>
      </c>
      <c r="AL49" s="368"/>
      <c r="AM49" s="369">
        <f t="shared" si="25"/>
        <v>850200</v>
      </c>
    </row>
    <row r="50" spans="1:39">
      <c r="A50" s="91">
        <f t="shared" si="0"/>
        <v>40</v>
      </c>
      <c r="C50" s="80" t="s">
        <v>455</v>
      </c>
      <c r="D50" s="80"/>
      <c r="E50" s="2"/>
      <c r="F50" s="369">
        <v>0</v>
      </c>
      <c r="G50" s="377">
        <v>30256411.579999998</v>
      </c>
      <c r="H50" s="369">
        <v>0</v>
      </c>
      <c r="I50" s="369">
        <v>0</v>
      </c>
      <c r="J50" s="377">
        <v>0</v>
      </c>
      <c r="K50" s="368"/>
      <c r="L50" s="370">
        <f t="shared" si="21"/>
        <v>30256411.579999998</v>
      </c>
      <c r="M50" s="368"/>
      <c r="N50" s="369"/>
      <c r="O50" s="369">
        <f t="shared" si="1"/>
        <v>30256411.579999998</v>
      </c>
      <c r="P50" s="791"/>
      <c r="Q50" s="369"/>
      <c r="R50" s="377">
        <v>31450746.938000001</v>
      </c>
      <c r="S50" s="369"/>
      <c r="T50" s="369"/>
      <c r="U50" s="377">
        <v>0</v>
      </c>
      <c r="V50" s="368"/>
      <c r="W50" s="369">
        <f t="shared" si="22"/>
        <v>31450746.938000001</v>
      </c>
      <c r="X50" s="368"/>
      <c r="Y50" s="369"/>
      <c r="Z50" s="861"/>
      <c r="AA50" s="369">
        <f t="shared" si="23"/>
        <v>31450746.938000001</v>
      </c>
      <c r="AB50" s="368"/>
      <c r="AC50" s="369">
        <v>0</v>
      </c>
      <c r="AD50" s="377">
        <v>33295260.624299999</v>
      </c>
      <c r="AE50" s="369"/>
      <c r="AF50" s="369"/>
      <c r="AG50" s="377">
        <v>0</v>
      </c>
      <c r="AH50" s="368"/>
      <c r="AI50" s="369">
        <f t="shared" si="24"/>
        <v>33295260.624299999</v>
      </c>
      <c r="AJ50" s="368"/>
      <c r="AK50" s="369"/>
      <c r="AL50" s="368"/>
      <c r="AM50" s="369">
        <f t="shared" si="25"/>
        <v>33295260.624299999</v>
      </c>
    </row>
    <row r="51" spans="1:39">
      <c r="A51" s="91">
        <f t="shared" si="0"/>
        <v>41</v>
      </c>
      <c r="C51" s="80" t="s">
        <v>319</v>
      </c>
      <c r="D51" s="80"/>
      <c r="F51" s="369">
        <v>0</v>
      </c>
      <c r="G51" s="377">
        <v>0</v>
      </c>
      <c r="H51" s="369">
        <v>0</v>
      </c>
      <c r="I51" s="369">
        <v>0</v>
      </c>
      <c r="J51" s="377">
        <v>0</v>
      </c>
      <c r="K51" s="368"/>
      <c r="L51" s="370">
        <f t="shared" si="21"/>
        <v>0</v>
      </c>
      <c r="M51" s="368"/>
      <c r="N51" s="369">
        <v>0</v>
      </c>
      <c r="O51" s="369">
        <f t="shared" si="1"/>
        <v>0</v>
      </c>
      <c r="P51" s="368"/>
      <c r="Q51" s="369">
        <v>0</v>
      </c>
      <c r="R51" s="377">
        <v>0</v>
      </c>
      <c r="S51" s="369">
        <v>0</v>
      </c>
      <c r="T51" s="369">
        <v>0</v>
      </c>
      <c r="U51" s="377">
        <v>0</v>
      </c>
      <c r="V51" s="368"/>
      <c r="W51" s="369">
        <f t="shared" si="22"/>
        <v>0</v>
      </c>
      <c r="X51" s="368"/>
      <c r="Y51" s="369">
        <v>0</v>
      </c>
      <c r="Z51" s="861"/>
      <c r="AA51" s="369">
        <f t="shared" si="23"/>
        <v>0</v>
      </c>
      <c r="AB51" s="368"/>
      <c r="AC51" s="369">
        <v>0</v>
      </c>
      <c r="AD51" s="377">
        <v>0</v>
      </c>
      <c r="AE51" s="369">
        <v>0</v>
      </c>
      <c r="AF51" s="369">
        <v>0</v>
      </c>
      <c r="AG51" s="377">
        <v>0</v>
      </c>
      <c r="AH51" s="368"/>
      <c r="AI51" s="369">
        <f t="shared" si="24"/>
        <v>0</v>
      </c>
      <c r="AJ51" s="368"/>
      <c r="AK51" s="369">
        <v>0</v>
      </c>
      <c r="AL51" s="368"/>
      <c r="AM51" s="369">
        <f t="shared" si="25"/>
        <v>0</v>
      </c>
    </row>
    <row r="52" spans="1:39">
      <c r="A52" s="91">
        <f t="shared" si="0"/>
        <v>42</v>
      </c>
      <c r="C52" s="80" t="s">
        <v>320</v>
      </c>
      <c r="D52" s="80"/>
      <c r="E52" s="2"/>
      <c r="F52" s="369">
        <v>18700000</v>
      </c>
      <c r="G52" s="377">
        <v>0</v>
      </c>
      <c r="H52" s="369">
        <v>0</v>
      </c>
      <c r="I52" s="369">
        <v>0</v>
      </c>
      <c r="J52" s="377">
        <v>0</v>
      </c>
      <c r="K52" s="368"/>
      <c r="L52" s="370">
        <f>SUM(F52:J52)</f>
        <v>18700000</v>
      </c>
      <c r="M52" s="368"/>
      <c r="N52" s="369">
        <v>8750000</v>
      </c>
      <c r="O52" s="369">
        <f t="shared" si="1"/>
        <v>27450000</v>
      </c>
      <c r="P52" s="791"/>
      <c r="Q52" s="369">
        <v>11150000</v>
      </c>
      <c r="R52" s="377">
        <v>0</v>
      </c>
      <c r="S52" s="369">
        <v>0</v>
      </c>
      <c r="T52" s="369"/>
      <c r="U52" s="377">
        <v>0</v>
      </c>
      <c r="V52" s="368"/>
      <c r="W52" s="369">
        <f t="shared" si="22"/>
        <v>11150000</v>
      </c>
      <c r="X52" s="368"/>
      <c r="Y52" s="369">
        <v>6562500</v>
      </c>
      <c r="Z52" s="861"/>
      <c r="AA52" s="369">
        <f t="shared" si="23"/>
        <v>17712500</v>
      </c>
      <c r="AB52" s="368"/>
      <c r="AC52" s="369">
        <v>7050000</v>
      </c>
      <c r="AD52" s="377">
        <v>0</v>
      </c>
      <c r="AE52" s="369">
        <v>0</v>
      </c>
      <c r="AF52" s="369"/>
      <c r="AG52" s="377">
        <v>0</v>
      </c>
      <c r="AH52" s="368"/>
      <c r="AI52" s="369">
        <f t="shared" si="24"/>
        <v>7050000</v>
      </c>
      <c r="AJ52" s="368"/>
      <c r="AK52" s="369">
        <v>4375000</v>
      </c>
      <c r="AL52" s="368"/>
      <c r="AM52" s="369">
        <f t="shared" si="25"/>
        <v>11425000</v>
      </c>
    </row>
    <row r="53" spans="1:39">
      <c r="A53" s="91">
        <f>IF(C53&lt;&gt;"",MAX(A49:A52)+1,"")</f>
        <v>43</v>
      </c>
      <c r="C53" s="80" t="s">
        <v>321</v>
      </c>
      <c r="D53" s="80"/>
      <c r="F53" s="369">
        <v>32964202.225740001</v>
      </c>
      <c r="G53" s="377">
        <v>0</v>
      </c>
      <c r="H53" s="369">
        <v>0</v>
      </c>
      <c r="I53" s="369">
        <v>0</v>
      </c>
      <c r="J53" s="377">
        <v>0</v>
      </c>
      <c r="K53" s="368"/>
      <c r="L53" s="370">
        <f>SUM(F53:J53)</f>
        <v>32964202.225740001</v>
      </c>
      <c r="M53" s="368"/>
      <c r="N53" s="369">
        <v>18324981.774259999</v>
      </c>
      <c r="O53" s="369">
        <f t="shared" si="1"/>
        <v>51289184</v>
      </c>
      <c r="P53" s="368"/>
      <c r="Q53" s="369">
        <v>19778521.335444</v>
      </c>
      <c r="R53" s="377">
        <v>0</v>
      </c>
      <c r="S53" s="369">
        <v>0</v>
      </c>
      <c r="T53" s="369"/>
      <c r="U53" s="377">
        <v>0</v>
      </c>
      <c r="V53" s="368"/>
      <c r="W53" s="369">
        <f t="shared" si="22"/>
        <v>19778521.335444</v>
      </c>
      <c r="X53" s="368"/>
      <c r="Y53" s="369">
        <v>5866071</v>
      </c>
      <c r="Z53" s="861"/>
      <c r="AA53" s="369">
        <f t="shared" si="23"/>
        <v>25644592.335444</v>
      </c>
      <c r="AB53" s="368"/>
      <c r="AC53" s="369">
        <v>8241050.5564350002</v>
      </c>
      <c r="AD53" s="377">
        <v>0</v>
      </c>
      <c r="AE53" s="369">
        <v>0</v>
      </c>
      <c r="AF53" s="369"/>
      <c r="AG53" s="377">
        <v>0</v>
      </c>
      <c r="AH53" s="368"/>
      <c r="AI53" s="369">
        <f t="shared" si="24"/>
        <v>8241050.5564350002</v>
      </c>
      <c r="AJ53" s="368"/>
      <c r="AK53" s="369">
        <v>9197272</v>
      </c>
      <c r="AL53" s="368"/>
      <c r="AM53" s="369">
        <f t="shared" si="25"/>
        <v>17438322.556435</v>
      </c>
    </row>
    <row r="54" spans="1:39">
      <c r="A54" s="91">
        <f t="shared" si="0"/>
        <v>44</v>
      </c>
      <c r="C54" s="80" t="s">
        <v>322</v>
      </c>
      <c r="D54" s="80"/>
      <c r="E54" s="2"/>
      <c r="F54" s="369">
        <v>0</v>
      </c>
      <c r="G54" s="377">
        <v>0</v>
      </c>
      <c r="H54" s="369">
        <v>0</v>
      </c>
      <c r="I54" s="369">
        <v>0</v>
      </c>
      <c r="J54" s="377">
        <v>0</v>
      </c>
      <c r="K54" s="368"/>
      <c r="L54" s="370">
        <f t="shared" si="21"/>
        <v>0</v>
      </c>
      <c r="M54" s="368"/>
      <c r="N54" s="369">
        <v>0</v>
      </c>
      <c r="O54" s="369">
        <f t="shared" si="1"/>
        <v>0</v>
      </c>
      <c r="P54" s="791"/>
      <c r="Q54" s="369">
        <v>0</v>
      </c>
      <c r="R54" s="377">
        <v>0</v>
      </c>
      <c r="S54" s="369">
        <v>0</v>
      </c>
      <c r="T54" s="369">
        <v>0</v>
      </c>
      <c r="U54" s="377">
        <v>0</v>
      </c>
      <c r="V54" s="368"/>
      <c r="W54" s="369">
        <f t="shared" si="22"/>
        <v>0</v>
      </c>
      <c r="X54" s="368"/>
      <c r="Y54" s="369">
        <v>0</v>
      </c>
      <c r="Z54" s="861"/>
      <c r="AA54" s="369">
        <f t="shared" si="23"/>
        <v>0</v>
      </c>
      <c r="AB54" s="368"/>
      <c r="AC54" s="369">
        <v>0</v>
      </c>
      <c r="AD54" s="377">
        <v>0</v>
      </c>
      <c r="AE54" s="369">
        <v>0</v>
      </c>
      <c r="AF54" s="369">
        <v>0</v>
      </c>
      <c r="AG54" s="377">
        <v>0</v>
      </c>
      <c r="AH54" s="368"/>
      <c r="AI54" s="369">
        <f t="shared" si="24"/>
        <v>0</v>
      </c>
      <c r="AJ54" s="368"/>
      <c r="AK54" s="369">
        <v>0</v>
      </c>
      <c r="AL54" s="368"/>
      <c r="AM54" s="369">
        <f t="shared" si="25"/>
        <v>0</v>
      </c>
    </row>
    <row r="55" spans="1:39">
      <c r="A55" s="91">
        <f t="shared" si="0"/>
        <v>45</v>
      </c>
      <c r="C55" s="80" t="s">
        <v>456</v>
      </c>
      <c r="D55" s="80"/>
      <c r="F55" s="369">
        <v>0</v>
      </c>
      <c r="G55" s="377">
        <v>6932693.2000000002</v>
      </c>
      <c r="H55" s="369">
        <f>5470000*1.05</f>
        <v>5743500</v>
      </c>
      <c r="I55" s="369">
        <f>21878000*1.05</f>
        <v>22971900</v>
      </c>
      <c r="J55" s="883">
        <v>10833982</v>
      </c>
      <c r="K55" s="368"/>
      <c r="L55" s="370">
        <f t="shared" si="21"/>
        <v>46482075.200000003</v>
      </c>
      <c r="M55" s="368"/>
      <c r="N55" s="369">
        <v>0</v>
      </c>
      <c r="O55" s="369">
        <f t="shared" si="1"/>
        <v>46482075.200000003</v>
      </c>
      <c r="P55" s="368"/>
      <c r="Q55" s="369">
        <v>0</v>
      </c>
      <c r="R55" s="377">
        <v>6305516.1399999997</v>
      </c>
      <c r="S55" s="369">
        <f>H55*1.05</f>
        <v>6030675</v>
      </c>
      <c r="T55" s="369">
        <f>I55*1.05</f>
        <v>24120495</v>
      </c>
      <c r="U55" s="883">
        <v>11139448</v>
      </c>
      <c r="V55" s="368"/>
      <c r="W55" s="369">
        <f t="shared" si="22"/>
        <v>47596134.140000001</v>
      </c>
      <c r="X55" s="368"/>
      <c r="Y55" s="369">
        <v>0</v>
      </c>
      <c r="Z55" s="861"/>
      <c r="AA55" s="369">
        <f t="shared" si="23"/>
        <v>47596134.140000001</v>
      </c>
      <c r="AB55" s="368"/>
      <c r="AC55" s="369">
        <v>0</v>
      </c>
      <c r="AD55" s="377">
        <v>6646195.5576999998</v>
      </c>
      <c r="AE55" s="369">
        <f>S55*1.05</f>
        <v>6332208.75</v>
      </c>
      <c r="AF55" s="369">
        <f>T55*1.05</f>
        <v>25326519.75</v>
      </c>
      <c r="AG55" s="883">
        <v>11567343</v>
      </c>
      <c r="AH55" s="368"/>
      <c r="AI55" s="369">
        <f t="shared" si="24"/>
        <v>49872267.057700001</v>
      </c>
      <c r="AJ55" s="368"/>
      <c r="AK55" s="369">
        <v>0</v>
      </c>
      <c r="AL55" s="368"/>
      <c r="AM55" s="369">
        <f t="shared" si="25"/>
        <v>49872267.057700001</v>
      </c>
    </row>
    <row r="56" spans="1:39">
      <c r="A56" s="91">
        <f t="shared" si="0"/>
        <v>46</v>
      </c>
      <c r="C56" s="792" t="s">
        <v>324</v>
      </c>
      <c r="D56" s="874"/>
      <c r="E56" s="2"/>
      <c r="F56" s="779">
        <f>SUM(F36:F55)</f>
        <v>51664202.225740001</v>
      </c>
      <c r="G56" s="779">
        <f t="shared" ref="G56:J56" si="26">SUM(G36:G55)</f>
        <v>191972217.94</v>
      </c>
      <c r="H56" s="779">
        <f t="shared" si="26"/>
        <v>5743500</v>
      </c>
      <c r="I56" s="779">
        <f t="shared" si="26"/>
        <v>22971900</v>
      </c>
      <c r="J56" s="779">
        <f t="shared" si="26"/>
        <v>619324776</v>
      </c>
      <c r="K56" s="764"/>
      <c r="L56" s="875">
        <f>SUM(L36:L55)</f>
        <v>891676596.16574013</v>
      </c>
      <c r="M56" s="764"/>
      <c r="N56" s="779">
        <f>SUM(N36:N55)</f>
        <v>27074981.774259999</v>
      </c>
      <c r="O56" s="779">
        <f t="shared" si="1"/>
        <v>918751577.94000018</v>
      </c>
      <c r="P56" s="791"/>
      <c r="Q56" s="779">
        <f>SUM(Q36:Q55)</f>
        <v>30928521.335444</v>
      </c>
      <c r="R56" s="779">
        <f t="shared" ref="R56:U56" si="27">SUM(R36:R55)</f>
        <v>187112395.49049997</v>
      </c>
      <c r="S56" s="779">
        <f t="shared" si="27"/>
        <v>6030675</v>
      </c>
      <c r="T56" s="779">
        <f t="shared" si="27"/>
        <v>24120495</v>
      </c>
      <c r="U56" s="779">
        <f t="shared" si="27"/>
        <v>706631259</v>
      </c>
      <c r="V56" s="764"/>
      <c r="W56" s="779">
        <f>SUM(W36:W55)</f>
        <v>954823345.82594395</v>
      </c>
      <c r="X56" s="764"/>
      <c r="Y56" s="779">
        <f>SUM(Y36:Y55)</f>
        <v>12428571</v>
      </c>
      <c r="Z56" s="876"/>
      <c r="AA56" s="779">
        <f>SUM(AA36:AA55)</f>
        <v>967251916.82594395</v>
      </c>
      <c r="AB56" s="368"/>
      <c r="AC56" s="779">
        <f>SUM(AC36:AC55)</f>
        <v>15291050.556435</v>
      </c>
      <c r="AD56" s="779">
        <f t="shared" ref="AD56:AG56" si="28">SUM(AD36:AD55)</f>
        <v>190922948.09062502</v>
      </c>
      <c r="AE56" s="779">
        <f t="shared" si="28"/>
        <v>6332208.75</v>
      </c>
      <c r="AF56" s="779">
        <f t="shared" si="28"/>
        <v>25326519.75</v>
      </c>
      <c r="AG56" s="779">
        <f t="shared" si="28"/>
        <v>765875008</v>
      </c>
      <c r="AH56" s="764"/>
      <c r="AI56" s="779">
        <f>SUM(AI36:AI55)</f>
        <v>1003747735.14706</v>
      </c>
      <c r="AJ56" s="764"/>
      <c r="AK56" s="779">
        <f>SUM(AK36:AK55)</f>
        <v>13572272</v>
      </c>
      <c r="AL56" s="764"/>
      <c r="AM56" s="780">
        <f>SUM(AM36:AM55)</f>
        <v>1017320007.14706</v>
      </c>
    </row>
    <row r="57" spans="1:39">
      <c r="A57" s="91"/>
      <c r="C57" s="757"/>
      <c r="D57" s="757"/>
      <c r="F57" s="652"/>
      <c r="G57" s="652"/>
      <c r="H57" s="652"/>
      <c r="I57" s="652"/>
      <c r="J57" s="652"/>
      <c r="K57" s="368"/>
      <c r="L57" s="881"/>
      <c r="M57" s="368"/>
      <c r="N57" s="652"/>
      <c r="O57" s="652">
        <f t="shared" si="1"/>
        <v>0</v>
      </c>
      <c r="P57" s="368"/>
      <c r="Q57" s="652"/>
      <c r="R57" s="652"/>
      <c r="S57" s="652"/>
      <c r="T57" s="652"/>
      <c r="U57" s="652"/>
      <c r="V57" s="368"/>
      <c r="W57" s="652"/>
      <c r="X57" s="368"/>
      <c r="Y57" s="652"/>
      <c r="Z57" s="861"/>
      <c r="AA57" s="652"/>
      <c r="AB57" s="368"/>
      <c r="AC57" s="652"/>
      <c r="AD57" s="652"/>
      <c r="AE57" s="652"/>
      <c r="AF57" s="652"/>
      <c r="AG57" s="652"/>
      <c r="AH57" s="368"/>
      <c r="AI57" s="652"/>
      <c r="AJ57" s="368"/>
      <c r="AK57" s="652"/>
      <c r="AL57" s="368"/>
      <c r="AM57" s="652"/>
    </row>
    <row r="58" spans="1:39">
      <c r="A58" s="91">
        <f>IF(C58&lt;&gt;"",MAX(A54:A56)+1,"")</f>
        <v>47</v>
      </c>
      <c r="C58" s="792" t="s">
        <v>325</v>
      </c>
      <c r="D58" s="874"/>
      <c r="E58" s="2"/>
      <c r="F58" s="779">
        <f>F24+F33+F56</f>
        <v>2488377502.0664296</v>
      </c>
      <c r="G58" s="779">
        <f>G24+G33+G56</f>
        <v>305593370.07010585</v>
      </c>
      <c r="H58" s="779">
        <f>H24+H33+H56</f>
        <v>10361400</v>
      </c>
      <c r="I58" s="779">
        <f>I24+I33+I56</f>
        <v>31258500</v>
      </c>
      <c r="J58" s="779">
        <f>J24+J33+J56</f>
        <v>1012675138.3162749</v>
      </c>
      <c r="K58" s="764"/>
      <c r="L58" s="875">
        <f>L24+L33+L56</f>
        <v>3848265910.4528103</v>
      </c>
      <c r="M58" s="764"/>
      <c r="N58" s="779">
        <f>N24+N33+N56</f>
        <v>27074981.774259999</v>
      </c>
      <c r="O58" s="779">
        <f t="shared" si="1"/>
        <v>3875340892.2270703</v>
      </c>
      <c r="P58" s="791"/>
      <c r="Q58" s="779">
        <f>Q24+Q33+Q56</f>
        <v>2394738539.408072</v>
      </c>
      <c r="R58" s="779">
        <f>R24+R33+R56</f>
        <v>303750435.93733656</v>
      </c>
      <c r="S58" s="779">
        <f>S24+S33+S56</f>
        <v>10879470</v>
      </c>
      <c r="T58" s="779">
        <f>T24+T33+T56</f>
        <v>32821425</v>
      </c>
      <c r="U58" s="779">
        <f>U24+U33+U56</f>
        <v>1146574384</v>
      </c>
      <c r="V58" s="764"/>
      <c r="W58" s="779">
        <f>W24+W33+W56</f>
        <v>3888764254.3454084</v>
      </c>
      <c r="X58" s="764"/>
      <c r="Y58" s="779">
        <f>Y24+Y33+Y56</f>
        <v>12428571</v>
      </c>
      <c r="Z58" s="876"/>
      <c r="AA58" s="779">
        <f t="shared" ref="AA58" si="29">AA24+AA33+AA56</f>
        <v>3901192825.3454084</v>
      </c>
      <c r="AB58" s="368"/>
      <c r="AC58" s="779">
        <f>AC24+AC33+AC56</f>
        <v>2327923047.8996034</v>
      </c>
      <c r="AD58" s="779">
        <f>AD24+AD33+AD56</f>
        <v>310819227.91953087</v>
      </c>
      <c r="AE58" s="779">
        <f>AE24+AE33+AE56</f>
        <v>11423443.5</v>
      </c>
      <c r="AF58" s="779">
        <f>AF24+AF33+AF56</f>
        <v>34462496.25</v>
      </c>
      <c r="AG58" s="779">
        <f>AG24+AG33+AG56</f>
        <v>1241732620</v>
      </c>
      <c r="AH58" s="764"/>
      <c r="AI58" s="779">
        <f>AI24+AI33+AI56</f>
        <v>3926360835.5691342</v>
      </c>
      <c r="AJ58" s="764"/>
      <c r="AK58" s="779">
        <f>AK24+AK33+AK56</f>
        <v>13572272</v>
      </c>
      <c r="AL58" s="764"/>
      <c r="AM58" s="780">
        <f>AM24+AM33+AM56</f>
        <v>3939933107.5691342</v>
      </c>
    </row>
    <row r="59" spans="1:39">
      <c r="A59" s="91"/>
      <c r="C59" s="757"/>
      <c r="D59" s="757"/>
      <c r="F59" s="653"/>
      <c r="G59" s="653"/>
      <c r="H59" s="653"/>
      <c r="I59" s="653"/>
      <c r="J59" s="653"/>
      <c r="K59" s="368"/>
      <c r="L59" s="877"/>
      <c r="M59" s="368"/>
      <c r="N59" s="653"/>
      <c r="O59" s="653">
        <f t="shared" si="1"/>
        <v>0</v>
      </c>
      <c r="P59" s="368"/>
      <c r="Q59" s="653"/>
      <c r="R59" s="653"/>
      <c r="S59" s="653"/>
      <c r="T59" s="653"/>
      <c r="U59" s="653"/>
      <c r="V59" s="368"/>
      <c r="W59" s="653"/>
      <c r="X59" s="368"/>
      <c r="Y59" s="653"/>
      <c r="Z59" s="861"/>
      <c r="AA59" s="653"/>
      <c r="AB59" s="368"/>
      <c r="AC59" s="653"/>
      <c r="AD59" s="653"/>
      <c r="AE59" s="653"/>
      <c r="AF59" s="653"/>
      <c r="AG59" s="653"/>
      <c r="AH59" s="368"/>
      <c r="AI59" s="653"/>
      <c r="AJ59" s="368"/>
      <c r="AK59" s="653"/>
      <c r="AL59" s="368"/>
      <c r="AM59" s="653"/>
    </row>
    <row r="60" spans="1:39">
      <c r="A60" s="91">
        <f>IF(C60&lt;&gt;"",MAX(A55:A58)+1,"")</f>
        <v>48</v>
      </c>
      <c r="C60" s="80" t="s">
        <v>326</v>
      </c>
      <c r="D60" s="80"/>
      <c r="E60" s="2"/>
      <c r="F60" s="369">
        <v>0</v>
      </c>
      <c r="G60" s="369">
        <v>0</v>
      </c>
      <c r="H60" s="369">
        <v>2537000</v>
      </c>
      <c r="I60" s="369">
        <v>3805000</v>
      </c>
      <c r="J60" s="369">
        <v>0</v>
      </c>
      <c r="K60" s="368"/>
      <c r="L60" s="370">
        <f t="shared" ref="L60" si="30">SUM(F60:J60)</f>
        <v>6342000</v>
      </c>
      <c r="M60" s="368"/>
      <c r="N60" s="369">
        <v>0</v>
      </c>
      <c r="O60" s="369">
        <f t="shared" si="1"/>
        <v>6342000</v>
      </c>
      <c r="P60" s="791"/>
      <c r="Q60" s="369">
        <v>0</v>
      </c>
      <c r="R60" s="369">
        <v>0</v>
      </c>
      <c r="S60" s="369">
        <f>H60*1.05</f>
        <v>2663850</v>
      </c>
      <c r="T60" s="369">
        <f>I60*1.05</f>
        <v>3995250</v>
      </c>
      <c r="U60" s="369">
        <v>0</v>
      </c>
      <c r="V60" s="368"/>
      <c r="W60" s="369">
        <f t="shared" ref="W60" si="31">SUM(Q60:U60)</f>
        <v>6659100</v>
      </c>
      <c r="X60" s="368"/>
      <c r="Y60" s="369">
        <v>0</v>
      </c>
      <c r="Z60" s="861"/>
      <c r="AA60" s="369">
        <f t="shared" ref="AA60" si="32">W60+Y60</f>
        <v>6659100</v>
      </c>
      <c r="AB60" s="368"/>
      <c r="AC60" s="369">
        <v>0</v>
      </c>
      <c r="AD60" s="369">
        <v>0</v>
      </c>
      <c r="AE60" s="369">
        <f>S60*1.05</f>
        <v>2797042.5</v>
      </c>
      <c r="AF60" s="369">
        <f>T60*1.05</f>
        <v>4195012.5</v>
      </c>
      <c r="AG60" s="369">
        <v>0</v>
      </c>
      <c r="AH60" s="368"/>
      <c r="AI60" s="369">
        <f t="shared" ref="AI60" si="33">SUM(AC60:AG60)</f>
        <v>6992055</v>
      </c>
      <c r="AJ60" s="368"/>
      <c r="AK60" s="369">
        <v>0</v>
      </c>
      <c r="AL60" s="368"/>
      <c r="AM60" s="369">
        <f t="shared" ref="AM60" si="34">AI60+AK60</f>
        <v>6992055</v>
      </c>
    </row>
    <row r="61" spans="1:39">
      <c r="A61" s="91">
        <f>IF(C61&lt;&gt;"",MAX(A58:A60)+1,"")</f>
        <v>49</v>
      </c>
      <c r="C61" s="792" t="s">
        <v>327</v>
      </c>
      <c r="D61" s="874"/>
      <c r="F61" s="779">
        <f>F58+SUM(F60:F60)</f>
        <v>2488377502.0664296</v>
      </c>
      <c r="G61" s="779">
        <f>G58+SUM(G60:G60)</f>
        <v>305593370.07010585</v>
      </c>
      <c r="H61" s="779">
        <f>H58+SUM(H60:H60)</f>
        <v>12898400</v>
      </c>
      <c r="I61" s="779">
        <f>I58+SUM(I60:I60)</f>
        <v>35063500</v>
      </c>
      <c r="J61" s="779">
        <f>J58+SUM(J60:J60)</f>
        <v>1012675138.3162749</v>
      </c>
      <c r="K61" s="764"/>
      <c r="L61" s="875">
        <f>L58+SUM(L60:L60)</f>
        <v>3854607910.4528103</v>
      </c>
      <c r="M61" s="764"/>
      <c r="N61" s="779">
        <f>N58+SUM(N60:N60)</f>
        <v>27074981.774259999</v>
      </c>
      <c r="O61" s="779">
        <f t="shared" si="1"/>
        <v>3881682892.2270703</v>
      </c>
      <c r="P61" s="368"/>
      <c r="Q61" s="779">
        <f>Q58+SUM(Q60:Q60)</f>
        <v>2394738539.408072</v>
      </c>
      <c r="R61" s="779">
        <f>R58+SUM(R60:R60)</f>
        <v>303750435.93733656</v>
      </c>
      <c r="S61" s="779">
        <f>S58+SUM(S60:S60)</f>
        <v>13543320</v>
      </c>
      <c r="T61" s="779">
        <f>T58+SUM(T60:T60)</f>
        <v>36816675</v>
      </c>
      <c r="U61" s="779">
        <f>U58+SUM(U60:U60)</f>
        <v>1146574384</v>
      </c>
      <c r="V61" s="764"/>
      <c r="W61" s="779">
        <f>W58+SUM(W60:W60)</f>
        <v>3895423354.3454084</v>
      </c>
      <c r="X61" s="764"/>
      <c r="Y61" s="779">
        <f>Y58+SUM(Y60:Y60)</f>
        <v>12428571</v>
      </c>
      <c r="Z61" s="876"/>
      <c r="AA61" s="779">
        <f t="shared" ref="AA61" si="35">AA58+SUM(AA60:AA60)</f>
        <v>3907851925.3454084</v>
      </c>
      <c r="AB61" s="368"/>
      <c r="AC61" s="779">
        <f>AC58+SUM(AC60:AC60)</f>
        <v>2327923047.8996034</v>
      </c>
      <c r="AD61" s="779">
        <f>AD58+SUM(AD60:AD60)</f>
        <v>310819227.91953087</v>
      </c>
      <c r="AE61" s="779">
        <f>AE58+SUM(AE60:AE60)</f>
        <v>14220486</v>
      </c>
      <c r="AF61" s="779">
        <f>AF58+SUM(AF60:AF60)</f>
        <v>38657508.75</v>
      </c>
      <c r="AG61" s="779">
        <f>AG58+SUM(AG60:AG60)</f>
        <v>1241732620</v>
      </c>
      <c r="AH61" s="764"/>
      <c r="AI61" s="779">
        <f>AI58+SUM(AI60:AI60)</f>
        <v>3933352890.5691342</v>
      </c>
      <c r="AJ61" s="764"/>
      <c r="AK61" s="779">
        <f>AK58+SUM(AK60:AK60)</f>
        <v>13572272</v>
      </c>
      <c r="AL61" s="764"/>
      <c r="AM61" s="780">
        <f>AM58+SUM(AM60:AM60)</f>
        <v>3946925162.5691342</v>
      </c>
    </row>
    <row r="62" spans="1:39">
      <c r="A62" s="91"/>
      <c r="C62" s="757"/>
      <c r="D62" s="757"/>
      <c r="E62" s="2"/>
      <c r="F62" s="653"/>
      <c r="G62" s="653"/>
      <c r="H62" s="653"/>
      <c r="I62" s="653"/>
      <c r="J62" s="653"/>
      <c r="K62" s="368"/>
      <c r="L62" s="877"/>
      <c r="M62" s="368"/>
      <c r="N62" s="653"/>
      <c r="O62" s="653">
        <f t="shared" si="1"/>
        <v>0</v>
      </c>
      <c r="P62" s="791"/>
      <c r="Q62" s="653"/>
      <c r="R62" s="653"/>
      <c r="S62" s="653"/>
      <c r="T62" s="653"/>
      <c r="U62" s="653"/>
      <c r="V62" s="368"/>
      <c r="W62" s="653"/>
      <c r="X62" s="368"/>
      <c r="Y62" s="653"/>
      <c r="Z62" s="861"/>
      <c r="AA62" s="653"/>
      <c r="AB62" s="368"/>
      <c r="AC62" s="653"/>
      <c r="AD62" s="653"/>
      <c r="AE62" s="653"/>
      <c r="AF62" s="653"/>
      <c r="AG62" s="653"/>
      <c r="AH62" s="368"/>
      <c r="AI62" s="653"/>
      <c r="AJ62" s="368"/>
      <c r="AK62" s="653"/>
      <c r="AL62" s="368"/>
      <c r="AM62" s="653"/>
    </row>
    <row r="63" spans="1:39">
      <c r="A63" s="91">
        <f t="shared" si="0"/>
        <v>50</v>
      </c>
      <c r="C63" s="80" t="s">
        <v>328</v>
      </c>
      <c r="D63" s="80"/>
      <c r="F63" s="369">
        <v>0</v>
      </c>
      <c r="G63" s="369">
        <v>0</v>
      </c>
      <c r="H63" s="369">
        <v>0</v>
      </c>
      <c r="I63" s="369">
        <v>0</v>
      </c>
      <c r="J63" s="369">
        <v>139367260.62835845</v>
      </c>
      <c r="K63" s="368"/>
      <c r="L63" s="370">
        <f t="shared" ref="L63:L69" si="36">SUM(F63:J63)</f>
        <v>139367260.62835845</v>
      </c>
      <c r="M63" s="368"/>
      <c r="N63" s="369">
        <v>0</v>
      </c>
      <c r="O63" s="369">
        <f t="shared" si="1"/>
        <v>139367260.62835845</v>
      </c>
      <c r="P63" s="368"/>
      <c r="Q63" s="369">
        <v>0</v>
      </c>
      <c r="R63" s="369">
        <v>0</v>
      </c>
      <c r="S63" s="369">
        <v>0</v>
      </c>
      <c r="T63" s="369">
        <v>0</v>
      </c>
      <c r="U63" s="369">
        <v>103711031.67572564</v>
      </c>
      <c r="V63" s="368"/>
      <c r="W63" s="369">
        <f t="shared" ref="W63:W69" si="37">SUM(Q63:U63)</f>
        <v>103711031.67572564</v>
      </c>
      <c r="X63" s="368"/>
      <c r="Y63" s="369">
        <v>0</v>
      </c>
      <c r="Z63" s="861"/>
      <c r="AA63" s="369">
        <f t="shared" ref="AA63:AA69" si="38">W63+Y63</f>
        <v>103711031.67572564</v>
      </c>
      <c r="AB63" s="368"/>
      <c r="AC63" s="369">
        <v>0</v>
      </c>
      <c r="AD63" s="369">
        <v>0</v>
      </c>
      <c r="AE63" s="369">
        <v>0</v>
      </c>
      <c r="AF63" s="369">
        <v>0</v>
      </c>
      <c r="AG63" s="369">
        <v>137717441.62652031</v>
      </c>
      <c r="AH63" s="368"/>
      <c r="AI63" s="369">
        <f t="shared" ref="AI63:AI69" si="39">SUM(AC63:AG63)</f>
        <v>137717441.62652031</v>
      </c>
      <c r="AJ63" s="368"/>
      <c r="AK63" s="369">
        <v>0</v>
      </c>
      <c r="AL63" s="368"/>
      <c r="AM63" s="369">
        <f t="shared" ref="AM63:AM69" si="40">AI63+AK63</f>
        <v>137717441.62652031</v>
      </c>
    </row>
    <row r="64" spans="1:39">
      <c r="A64" s="91">
        <f t="shared" si="0"/>
        <v>51</v>
      </c>
      <c r="C64" s="80" t="s">
        <v>288</v>
      </c>
      <c r="D64" s="80"/>
      <c r="E64" s="2"/>
      <c r="F64" s="369">
        <v>158980998.42899999</v>
      </c>
      <c r="G64" s="369">
        <v>0</v>
      </c>
      <c r="H64" s="369">
        <v>0</v>
      </c>
      <c r="I64" s="369">
        <v>0</v>
      </c>
      <c r="J64" s="369">
        <v>0</v>
      </c>
      <c r="K64" s="368"/>
      <c r="L64" s="370">
        <f>SUM(F64:J64)</f>
        <v>158980998.42899999</v>
      </c>
      <c r="M64" s="368"/>
      <c r="N64" s="369">
        <v>0</v>
      </c>
      <c r="O64" s="369">
        <f t="shared" si="1"/>
        <v>158980998.42899999</v>
      </c>
      <c r="P64" s="791"/>
      <c r="Q64" s="369">
        <v>166713168.24360001</v>
      </c>
      <c r="R64" s="369">
        <v>0</v>
      </c>
      <c r="S64" s="369">
        <v>0</v>
      </c>
      <c r="T64" s="369">
        <v>0</v>
      </c>
      <c r="U64" s="369">
        <v>0</v>
      </c>
      <c r="V64" s="368"/>
      <c r="W64" s="369">
        <f>SUM(Q64:U64)</f>
        <v>166713168.24360001</v>
      </c>
      <c r="X64" s="368"/>
      <c r="Y64" s="369">
        <v>0</v>
      </c>
      <c r="Z64" s="861"/>
      <c r="AA64" s="369">
        <f>W64+Y64</f>
        <v>166713168.24360001</v>
      </c>
      <c r="AB64" s="368"/>
      <c r="AC64" s="369">
        <v>167782434.44490001</v>
      </c>
      <c r="AD64" s="369">
        <v>0</v>
      </c>
      <c r="AE64" s="369">
        <v>0</v>
      </c>
      <c r="AF64" s="369">
        <v>0</v>
      </c>
      <c r="AG64" s="369">
        <v>0</v>
      </c>
      <c r="AH64" s="368"/>
      <c r="AI64" s="369">
        <f>SUM(AC64:AG64)</f>
        <v>167782434.44490001</v>
      </c>
      <c r="AJ64" s="368"/>
      <c r="AK64" s="369">
        <v>0</v>
      </c>
      <c r="AL64" s="368"/>
      <c r="AM64" s="369">
        <f>AI64+AK64</f>
        <v>167782434.44490001</v>
      </c>
    </row>
    <row r="65" spans="1:39">
      <c r="A65" s="91">
        <f t="shared" si="0"/>
        <v>52</v>
      </c>
      <c r="C65" s="80" t="s">
        <v>329</v>
      </c>
      <c r="D65" s="80"/>
      <c r="F65" s="369">
        <v>0</v>
      </c>
      <c r="G65" s="369">
        <v>0</v>
      </c>
      <c r="H65" s="369">
        <v>0</v>
      </c>
      <c r="I65" s="369">
        <v>0</v>
      </c>
      <c r="J65" s="369">
        <f>(J58+J73)*0.02</f>
        <v>32304887.432432756</v>
      </c>
      <c r="K65" s="368"/>
      <c r="L65" s="370">
        <f t="shared" si="36"/>
        <v>32304887.432432756</v>
      </c>
      <c r="M65" s="368"/>
      <c r="N65" s="369">
        <v>0</v>
      </c>
      <c r="O65" s="369">
        <f t="shared" si="1"/>
        <v>32304887.432432756</v>
      </c>
      <c r="P65" s="368"/>
      <c r="Q65" s="369">
        <v>0</v>
      </c>
      <c r="R65" s="369">
        <v>0</v>
      </c>
      <c r="S65" s="369">
        <v>0</v>
      </c>
      <c r="T65" s="369">
        <v>0</v>
      </c>
      <c r="U65" s="369">
        <f>(U58+U73)*0.02</f>
        <v>38178621.943051539</v>
      </c>
      <c r="V65" s="368"/>
      <c r="W65" s="369">
        <f t="shared" si="37"/>
        <v>38178621.943051539</v>
      </c>
      <c r="X65" s="368"/>
      <c r="Y65" s="369">
        <v>0</v>
      </c>
      <c r="Z65" s="861"/>
      <c r="AA65" s="369">
        <f t="shared" si="38"/>
        <v>38178621.943051539</v>
      </c>
      <c r="AB65" s="368"/>
      <c r="AC65" s="369">
        <v>0</v>
      </c>
      <c r="AD65" s="369">
        <v>0</v>
      </c>
      <c r="AE65" s="369">
        <v>0</v>
      </c>
      <c r="AF65" s="369">
        <v>0</v>
      </c>
      <c r="AG65" s="369">
        <f>(AG58+AG73)*0.02</f>
        <v>43401219.731889181</v>
      </c>
      <c r="AH65" s="368"/>
      <c r="AI65" s="369">
        <f t="shared" si="39"/>
        <v>43401219.731889181</v>
      </c>
      <c r="AJ65" s="368"/>
      <c r="AK65" s="369">
        <v>0</v>
      </c>
      <c r="AL65" s="368"/>
      <c r="AM65" s="369">
        <f t="shared" si="40"/>
        <v>43401219.731889181</v>
      </c>
    </row>
    <row r="66" spans="1:39">
      <c r="A66" s="91">
        <f>IF(C66&lt;&gt;"",MAX(A63:A65)+1,"")</f>
        <v>53</v>
      </c>
      <c r="C66" s="80" t="s">
        <v>565</v>
      </c>
      <c r="D66" s="80"/>
      <c r="F66" s="369"/>
      <c r="G66" s="369"/>
      <c r="H66" s="369"/>
      <c r="I66" s="369"/>
      <c r="J66" s="369">
        <v>120000000</v>
      </c>
      <c r="K66" s="368"/>
      <c r="L66" s="370">
        <f>SUM(F66:J66)</f>
        <v>120000000</v>
      </c>
      <c r="M66" s="368"/>
      <c r="N66" s="369"/>
      <c r="O66" s="369">
        <f t="shared" si="1"/>
        <v>120000000</v>
      </c>
      <c r="P66" s="368"/>
      <c r="Q66" s="369"/>
      <c r="R66" s="369"/>
      <c r="S66" s="369"/>
      <c r="T66" s="369"/>
      <c r="U66" s="369">
        <v>120000000</v>
      </c>
      <c r="V66" s="368"/>
      <c r="W66" s="369">
        <f>SUM(Q66:U66)</f>
        <v>120000000</v>
      </c>
      <c r="X66" s="368"/>
      <c r="Y66" s="369"/>
      <c r="Z66" s="861"/>
      <c r="AA66" s="369"/>
      <c r="AB66" s="368"/>
      <c r="AC66" s="369">
        <v>0</v>
      </c>
      <c r="AD66" s="369">
        <v>0</v>
      </c>
      <c r="AE66" s="369">
        <v>0</v>
      </c>
      <c r="AF66" s="369">
        <v>0</v>
      </c>
      <c r="AG66" s="369">
        <v>0</v>
      </c>
      <c r="AH66" s="368"/>
      <c r="AI66" s="369"/>
      <c r="AJ66" s="368"/>
      <c r="AK66" s="369"/>
      <c r="AL66" s="368"/>
      <c r="AM66" s="369"/>
    </row>
    <row r="67" spans="1:39">
      <c r="A67" s="91">
        <f>IF(C67&lt;&gt;"",MAX(A64:A66)+1,"")</f>
        <v>54</v>
      </c>
      <c r="C67" s="80" t="s">
        <v>566</v>
      </c>
      <c r="D67" s="80"/>
      <c r="F67" s="369"/>
      <c r="G67" s="377">
        <v>30000000</v>
      </c>
      <c r="H67" s="369"/>
      <c r="I67" s="369"/>
      <c r="J67" s="369"/>
      <c r="K67" s="368"/>
      <c r="L67" s="370">
        <f t="shared" si="36"/>
        <v>30000000</v>
      </c>
      <c r="M67" s="368"/>
      <c r="N67" s="369"/>
      <c r="O67" s="369">
        <f t="shared" si="1"/>
        <v>30000000</v>
      </c>
      <c r="P67" s="368"/>
      <c r="Q67" s="369"/>
      <c r="R67" s="377">
        <v>30000000</v>
      </c>
      <c r="S67" s="369"/>
      <c r="T67" s="369"/>
      <c r="U67" s="369"/>
      <c r="V67" s="368"/>
      <c r="W67" s="369"/>
      <c r="X67" s="368"/>
      <c r="Y67" s="369"/>
      <c r="Z67" s="861"/>
      <c r="AA67" s="369"/>
      <c r="AB67" s="368"/>
      <c r="AC67" s="369"/>
      <c r="AD67" s="377">
        <v>30000000</v>
      </c>
      <c r="AE67" s="369"/>
      <c r="AF67" s="369"/>
      <c r="AG67" s="369"/>
      <c r="AH67" s="368"/>
      <c r="AI67" s="369"/>
      <c r="AJ67" s="368"/>
      <c r="AK67" s="369"/>
      <c r="AL67" s="368"/>
      <c r="AM67" s="369"/>
    </row>
    <row r="68" spans="1:39">
      <c r="A68" s="91">
        <f>IF(C68&lt;&gt;"",MAX(A64:A67)+1,"")</f>
        <v>55</v>
      </c>
      <c r="C68" s="80" t="s">
        <v>330</v>
      </c>
      <c r="D68" s="80"/>
      <c r="E68" s="2"/>
      <c r="F68" s="369">
        <v>0</v>
      </c>
      <c r="G68" s="377">
        <v>26585154.466419831</v>
      </c>
      <c r="H68" s="369">
        <v>0</v>
      </c>
      <c r="I68" s="369">
        <v>0</v>
      </c>
      <c r="J68" s="369">
        <v>0</v>
      </c>
      <c r="K68" s="368"/>
      <c r="L68" s="370">
        <f t="shared" si="36"/>
        <v>26585154.466419831</v>
      </c>
      <c r="M68" s="368"/>
      <c r="N68" s="369">
        <v>0</v>
      </c>
      <c r="O68" s="369">
        <f t="shared" si="1"/>
        <v>26585154.466419831</v>
      </c>
      <c r="P68" s="791"/>
      <c r="Q68" s="369">
        <v>0</v>
      </c>
      <c r="R68" s="377">
        <v>27621329.57647486</v>
      </c>
      <c r="S68" s="369">
        <v>0</v>
      </c>
      <c r="T68" s="369">
        <v>0</v>
      </c>
      <c r="U68" s="369">
        <v>0</v>
      </c>
      <c r="V68" s="368"/>
      <c r="W68" s="369">
        <f t="shared" si="37"/>
        <v>27621329.57647486</v>
      </c>
      <c r="X68" s="368"/>
      <c r="Y68" s="369">
        <v>0</v>
      </c>
      <c r="Z68" s="861"/>
      <c r="AA68" s="369">
        <f t="shared" si="38"/>
        <v>27621329.57647486</v>
      </c>
      <c r="AB68" s="368"/>
      <c r="AC68" s="369">
        <v>0</v>
      </c>
      <c r="AD68" s="377">
        <v>28697890.340863917</v>
      </c>
      <c r="AE68" s="369">
        <v>0</v>
      </c>
      <c r="AF68" s="369">
        <v>0</v>
      </c>
      <c r="AG68" s="369">
        <v>0</v>
      </c>
      <c r="AH68" s="368"/>
      <c r="AI68" s="369">
        <f t="shared" si="39"/>
        <v>28697890.340863917</v>
      </c>
      <c r="AJ68" s="368"/>
      <c r="AK68" s="369">
        <v>0</v>
      </c>
      <c r="AL68" s="368"/>
      <c r="AM68" s="369">
        <f t="shared" si="40"/>
        <v>28697890.340863917</v>
      </c>
    </row>
    <row r="69" spans="1:39">
      <c r="A69" s="91">
        <f>IF(C69&lt;&gt;"",MAX(A63:A68)+1,"")</f>
        <v>56</v>
      </c>
      <c r="C69" s="80" t="s">
        <v>331</v>
      </c>
      <c r="D69" s="80"/>
      <c r="F69" s="369">
        <v>0</v>
      </c>
      <c r="G69" s="369">
        <v>0</v>
      </c>
      <c r="H69" s="369">
        <v>0</v>
      </c>
      <c r="I69" s="369">
        <v>0</v>
      </c>
      <c r="J69" s="369">
        <v>0</v>
      </c>
      <c r="K69" s="368"/>
      <c r="L69" s="370">
        <f t="shared" si="36"/>
        <v>0</v>
      </c>
      <c r="M69" s="368"/>
      <c r="N69" s="369">
        <v>0</v>
      </c>
      <c r="O69" s="369">
        <f t="shared" si="1"/>
        <v>0</v>
      </c>
      <c r="P69" s="368"/>
      <c r="Q69" s="369">
        <v>0</v>
      </c>
      <c r="R69" s="369">
        <v>0</v>
      </c>
      <c r="S69" s="369">
        <v>0</v>
      </c>
      <c r="T69" s="369">
        <v>0</v>
      </c>
      <c r="U69" s="369">
        <v>0</v>
      </c>
      <c r="V69" s="368"/>
      <c r="W69" s="369">
        <f t="shared" si="37"/>
        <v>0</v>
      </c>
      <c r="X69" s="368"/>
      <c r="Y69" s="369">
        <v>0</v>
      </c>
      <c r="Z69" s="861"/>
      <c r="AA69" s="369">
        <f t="shared" si="38"/>
        <v>0</v>
      </c>
      <c r="AB69" s="368"/>
      <c r="AC69" s="369">
        <v>0</v>
      </c>
      <c r="AD69" s="369">
        <v>0</v>
      </c>
      <c r="AE69" s="369">
        <v>0</v>
      </c>
      <c r="AF69" s="369">
        <v>0</v>
      </c>
      <c r="AG69" s="369">
        <v>0</v>
      </c>
      <c r="AH69" s="368"/>
      <c r="AI69" s="369">
        <f t="shared" si="39"/>
        <v>0</v>
      </c>
      <c r="AJ69" s="368"/>
      <c r="AK69" s="369">
        <v>0</v>
      </c>
      <c r="AL69" s="368"/>
      <c r="AM69" s="369">
        <f t="shared" si="40"/>
        <v>0</v>
      </c>
    </row>
    <row r="70" spans="1:39">
      <c r="A70" s="91">
        <f>IF(C70&lt;&gt;"",MAX(A65:A69)+1,"")</f>
        <v>57</v>
      </c>
      <c r="C70" s="792" t="s">
        <v>332</v>
      </c>
      <c r="D70" s="874"/>
      <c r="E70" s="2"/>
      <c r="F70" s="779">
        <f>SUM(F63:F69)</f>
        <v>158980998.42899999</v>
      </c>
      <c r="G70" s="779">
        <f t="shared" ref="G70:N70" si="41">SUM(G63:G69)</f>
        <v>56585154.466419831</v>
      </c>
      <c r="H70" s="779">
        <f t="shared" si="41"/>
        <v>0</v>
      </c>
      <c r="I70" s="779">
        <f t="shared" si="41"/>
        <v>0</v>
      </c>
      <c r="J70" s="779">
        <f t="shared" si="41"/>
        <v>291672148.06079119</v>
      </c>
      <c r="K70" s="764"/>
      <c r="L70" s="875">
        <f t="shared" si="41"/>
        <v>507238300.95621103</v>
      </c>
      <c r="M70" s="764"/>
      <c r="N70" s="779">
        <f t="shared" si="41"/>
        <v>0</v>
      </c>
      <c r="O70" s="779">
        <f t="shared" si="1"/>
        <v>507238300.95621103</v>
      </c>
      <c r="P70" s="791"/>
      <c r="Q70" s="779">
        <f>SUM(Q63:Q69)</f>
        <v>166713168.24360001</v>
      </c>
      <c r="R70" s="779">
        <f t="shared" ref="R70:U70" si="42">SUM(R63:R69)</f>
        <v>57621329.57647486</v>
      </c>
      <c r="S70" s="779">
        <f t="shared" si="42"/>
        <v>0</v>
      </c>
      <c r="T70" s="779">
        <f t="shared" si="42"/>
        <v>0</v>
      </c>
      <c r="U70" s="779">
        <f t="shared" si="42"/>
        <v>261889653.61877719</v>
      </c>
      <c r="V70" s="764"/>
      <c r="W70" s="779">
        <f t="shared" ref="W70" si="43">SUM(W63:W69)</f>
        <v>456224151.43885201</v>
      </c>
      <c r="X70" s="764"/>
      <c r="Y70" s="779">
        <f t="shared" ref="Y70" si="44">SUM(Y63:Y69)</f>
        <v>0</v>
      </c>
      <c r="Z70" s="876"/>
      <c r="AA70" s="779">
        <f t="shared" ref="AA70" si="45">SUM(AA63:AA69)</f>
        <v>336224151.43885201</v>
      </c>
      <c r="AB70" s="368"/>
      <c r="AC70" s="779">
        <f>SUM(AC63:AC69)</f>
        <v>167782434.44490001</v>
      </c>
      <c r="AD70" s="779">
        <f t="shared" ref="AD70:AG70" si="46">SUM(AD63:AD69)</f>
        <v>58697890.340863913</v>
      </c>
      <c r="AE70" s="779">
        <f t="shared" si="46"/>
        <v>0</v>
      </c>
      <c r="AF70" s="779">
        <f t="shared" si="46"/>
        <v>0</v>
      </c>
      <c r="AG70" s="779">
        <f t="shared" si="46"/>
        <v>181118661.35840949</v>
      </c>
      <c r="AH70" s="764"/>
      <c r="AI70" s="779">
        <f t="shared" ref="AI70" si="47">SUM(AI63:AI69)</f>
        <v>377598986.14417344</v>
      </c>
      <c r="AJ70" s="764"/>
      <c r="AK70" s="779">
        <f t="shared" ref="AK70" si="48">SUM(AK63:AK69)</f>
        <v>0</v>
      </c>
      <c r="AL70" s="764"/>
      <c r="AM70" s="780">
        <f t="shared" ref="AM70" si="49">SUM(AM63:AM69)</f>
        <v>377598986.14417344</v>
      </c>
    </row>
    <row r="71" spans="1:39">
      <c r="A71" s="91" t="str">
        <f t="shared" si="0"/>
        <v/>
      </c>
      <c r="C71" s="361"/>
      <c r="D71" s="361"/>
      <c r="F71" s="653"/>
      <c r="G71" s="653"/>
      <c r="H71" s="653"/>
      <c r="I71" s="653"/>
      <c r="J71" s="653"/>
      <c r="K71" s="368"/>
      <c r="L71" s="877"/>
      <c r="M71" s="368"/>
      <c r="N71" s="653"/>
      <c r="O71" s="653">
        <f t="shared" si="1"/>
        <v>0</v>
      </c>
      <c r="P71" s="368"/>
      <c r="Q71" s="653"/>
      <c r="R71" s="653"/>
      <c r="S71" s="653"/>
      <c r="T71" s="653"/>
      <c r="U71" s="653"/>
      <c r="V71" s="368"/>
      <c r="W71" s="653"/>
      <c r="X71" s="368"/>
      <c r="Y71" s="653"/>
      <c r="Z71" s="861"/>
      <c r="AA71" s="653"/>
      <c r="AB71" s="368"/>
      <c r="AC71" s="653"/>
      <c r="AD71" s="653"/>
      <c r="AE71" s="653"/>
      <c r="AF71" s="653"/>
      <c r="AG71" s="653"/>
      <c r="AH71" s="368"/>
      <c r="AI71" s="653"/>
      <c r="AJ71" s="368"/>
      <c r="AK71" s="653"/>
      <c r="AL71" s="368"/>
      <c r="AM71" s="653"/>
    </row>
    <row r="72" spans="1:39">
      <c r="A72" s="91">
        <f t="shared" si="0"/>
        <v>58</v>
      </c>
      <c r="C72" s="361" t="s">
        <v>333</v>
      </c>
      <c r="D72" s="361"/>
      <c r="E72" s="2"/>
      <c r="F72" s="653"/>
      <c r="G72" s="653"/>
      <c r="H72" s="653"/>
      <c r="I72" s="653"/>
      <c r="J72" s="653"/>
      <c r="K72" s="653"/>
      <c r="L72" s="877"/>
      <c r="M72" s="653"/>
      <c r="N72" s="653"/>
      <c r="O72" s="653">
        <f t="shared" ref="O72:O84" si="50">+N72+L72</f>
        <v>0</v>
      </c>
      <c r="P72" s="791"/>
      <c r="Q72" s="653"/>
      <c r="R72" s="653"/>
      <c r="S72" s="653"/>
      <c r="T72" s="653"/>
      <c r="U72" s="653"/>
      <c r="V72" s="653"/>
      <c r="W72" s="653"/>
      <c r="X72" s="653"/>
      <c r="Y72" s="653"/>
      <c r="Z72" s="877"/>
      <c r="AA72" s="653"/>
      <c r="AB72" s="368"/>
      <c r="AC72" s="653"/>
      <c r="AD72" s="653"/>
      <c r="AE72" s="653"/>
      <c r="AF72" s="653"/>
      <c r="AG72" s="653"/>
      <c r="AH72" s="653"/>
      <c r="AI72" s="653"/>
      <c r="AJ72" s="653"/>
      <c r="AK72" s="653"/>
      <c r="AL72" s="653"/>
      <c r="AM72" s="653"/>
    </row>
    <row r="73" spans="1:39">
      <c r="A73" s="91">
        <f t="shared" si="0"/>
        <v>59</v>
      </c>
      <c r="C73" s="80" t="s">
        <v>264</v>
      </c>
      <c r="D73" s="80"/>
      <c r="F73" s="369">
        <v>0</v>
      </c>
      <c r="G73" s="369">
        <v>0</v>
      </c>
      <c r="H73" s="369">
        <v>0</v>
      </c>
      <c r="I73" s="369">
        <v>0</v>
      </c>
      <c r="J73" s="369">
        <f>SUM('D-1-Optimal'!I6,'D-1-Optimal'!I39,'D-1-Optimal'!I45,'D-1-Optimal'!I52,'D-1-Optimal'!I57,'D-1-Optimal'!I63,'D-1-Optimal'!I77)</f>
        <v>602569233.30536306</v>
      </c>
      <c r="K73" s="368"/>
      <c r="L73" s="370">
        <f t="shared" ref="L73:L79" si="51">SUM(F73:J73)</f>
        <v>602569233.30536306</v>
      </c>
      <c r="M73" s="368"/>
      <c r="N73" s="369">
        <v>0</v>
      </c>
      <c r="O73" s="369">
        <f t="shared" si="50"/>
        <v>602569233.30536306</v>
      </c>
      <c r="P73" s="368"/>
      <c r="Q73" s="369">
        <v>0</v>
      </c>
      <c r="R73" s="369">
        <v>0</v>
      </c>
      <c r="S73" s="369">
        <v>0</v>
      </c>
      <c r="T73" s="369">
        <v>0</v>
      </c>
      <c r="U73" s="369">
        <f>SUM('D-1-Optimal'!M6,'D-1-Optimal'!M39,'D-1-Optimal'!M45,'D-1-Optimal'!M52,'D-1-Optimal'!M57,'D-1-Optimal'!M63,'D-1-Optimal'!M77)</f>
        <v>762356713.15257704</v>
      </c>
      <c r="V73" s="368"/>
      <c r="W73" s="369">
        <f t="shared" ref="W73:W79" si="52">SUM(Q73:U73)</f>
        <v>762356713.15257704</v>
      </c>
      <c r="X73" s="368"/>
      <c r="Y73" s="369">
        <v>0</v>
      </c>
      <c r="Z73" s="861"/>
      <c r="AA73" s="369">
        <f t="shared" ref="AA73:AA79" si="53">W73+Y73</f>
        <v>762356713.15257704</v>
      </c>
      <c r="AB73" s="368"/>
      <c r="AC73" s="369">
        <v>0</v>
      </c>
      <c r="AD73" s="369">
        <v>0</v>
      </c>
      <c r="AE73" s="369">
        <v>0</v>
      </c>
      <c r="AF73" s="369">
        <v>0</v>
      </c>
      <c r="AG73" s="369">
        <f>SUM('D-1-Optimal'!Q6,'D-1-Optimal'!Q39,'D-1-Optimal'!Q45,'D-1-Optimal'!Q52,'D-1-Optimal'!Q57,'D-1-Optimal'!Q63,'D-1-Optimal'!Q77)</f>
        <v>928328366.59445906</v>
      </c>
      <c r="AH73" s="368"/>
      <c r="AI73" s="369">
        <f t="shared" ref="AI73:AI79" si="54">SUM(AC73:AG73)</f>
        <v>928328366.59445906</v>
      </c>
      <c r="AJ73" s="368"/>
      <c r="AK73" s="369">
        <v>0</v>
      </c>
      <c r="AL73" s="368"/>
      <c r="AM73" s="369">
        <f t="shared" ref="AM73:AM79" si="55">AI73+AK73</f>
        <v>928328366.59445906</v>
      </c>
    </row>
    <row r="74" spans="1:39">
      <c r="A74" s="91">
        <f t="shared" si="0"/>
        <v>60</v>
      </c>
      <c r="C74" s="80" t="s">
        <v>248</v>
      </c>
      <c r="D74" s="80"/>
      <c r="E74" s="2"/>
      <c r="F74" s="369">
        <v>0</v>
      </c>
      <c r="G74" s="369">
        <f>'D-1-Optimal'!I18</f>
        <v>290965353</v>
      </c>
      <c r="H74" s="369">
        <v>0</v>
      </c>
      <c r="I74" s="369">
        <v>0</v>
      </c>
      <c r="J74" s="369">
        <v>0</v>
      </c>
      <c r="K74" s="368"/>
      <c r="L74" s="370">
        <f t="shared" si="51"/>
        <v>290965353</v>
      </c>
      <c r="M74" s="368"/>
      <c r="N74" s="369">
        <v>0</v>
      </c>
      <c r="O74" s="369">
        <f t="shared" si="50"/>
        <v>290965353</v>
      </c>
      <c r="P74" s="791"/>
      <c r="Q74" s="369">
        <v>0</v>
      </c>
      <c r="R74" s="377">
        <f>'D-1-Optimal'!M18</f>
        <v>292183945.82999998</v>
      </c>
      <c r="S74" s="369">
        <v>0</v>
      </c>
      <c r="T74" s="369">
        <v>0</v>
      </c>
      <c r="U74" s="369">
        <v>0</v>
      </c>
      <c r="V74" s="368"/>
      <c r="W74" s="369">
        <f t="shared" si="52"/>
        <v>292183945.82999998</v>
      </c>
      <c r="X74" s="368"/>
      <c r="Y74" s="369">
        <v>0</v>
      </c>
      <c r="Z74" s="861"/>
      <c r="AA74" s="369">
        <f t="shared" si="53"/>
        <v>292183945.82999998</v>
      </c>
      <c r="AB74" s="368"/>
      <c r="AC74" s="369">
        <v>0</v>
      </c>
      <c r="AD74" s="369">
        <f>'D-1-Optimal'!Q18</f>
        <v>277698776</v>
      </c>
      <c r="AE74" s="369">
        <v>0</v>
      </c>
      <c r="AF74" s="369">
        <v>0</v>
      </c>
      <c r="AG74" s="369">
        <v>0</v>
      </c>
      <c r="AH74" s="368"/>
      <c r="AI74" s="369">
        <f t="shared" si="54"/>
        <v>277698776</v>
      </c>
      <c r="AJ74" s="368"/>
      <c r="AK74" s="369">
        <v>0</v>
      </c>
      <c r="AL74" s="368"/>
      <c r="AM74" s="369">
        <f t="shared" si="55"/>
        <v>277698776</v>
      </c>
    </row>
    <row r="75" spans="1:39">
      <c r="A75" s="91">
        <f t="shared" si="0"/>
        <v>61</v>
      </c>
      <c r="C75" s="80" t="s">
        <v>253</v>
      </c>
      <c r="D75" s="80"/>
      <c r="F75" s="369">
        <v>0</v>
      </c>
      <c r="G75" s="369">
        <v>0</v>
      </c>
      <c r="H75" s="369">
        <f>'D-1-Optimal'!I36</f>
        <v>1234000</v>
      </c>
      <c r="I75" s="369">
        <v>0</v>
      </c>
      <c r="J75" s="369">
        <v>0</v>
      </c>
      <c r="K75" s="368"/>
      <c r="L75" s="370">
        <f t="shared" si="51"/>
        <v>1234000</v>
      </c>
      <c r="M75" s="368"/>
      <c r="N75" s="369">
        <v>0</v>
      </c>
      <c r="O75" s="369">
        <f t="shared" si="50"/>
        <v>1234000</v>
      </c>
      <c r="P75" s="368"/>
      <c r="Q75" s="369">
        <v>0</v>
      </c>
      <c r="R75" s="369">
        <v>0</v>
      </c>
      <c r="S75" s="369">
        <f>'D-1-Optimal'!M36</f>
        <v>1295700</v>
      </c>
      <c r="T75" s="369">
        <v>0</v>
      </c>
      <c r="U75" s="369">
        <v>0</v>
      </c>
      <c r="V75" s="368"/>
      <c r="W75" s="369">
        <f t="shared" si="52"/>
        <v>1295700</v>
      </c>
      <c r="X75" s="368"/>
      <c r="Y75" s="369">
        <v>0</v>
      </c>
      <c r="Z75" s="861"/>
      <c r="AA75" s="369">
        <f t="shared" si="53"/>
        <v>1295700</v>
      </c>
      <c r="AB75" s="368"/>
      <c r="AC75" s="369">
        <v>0</v>
      </c>
      <c r="AD75" s="369">
        <v>0</v>
      </c>
      <c r="AE75" s="369">
        <f>'D-1-Optimal'!Q36</f>
        <v>1360485</v>
      </c>
      <c r="AF75" s="369">
        <v>0</v>
      </c>
      <c r="AG75" s="369">
        <v>0</v>
      </c>
      <c r="AH75" s="368"/>
      <c r="AI75" s="369">
        <f t="shared" si="54"/>
        <v>1360485</v>
      </c>
      <c r="AJ75" s="368"/>
      <c r="AK75" s="369">
        <v>0</v>
      </c>
      <c r="AL75" s="368"/>
      <c r="AM75" s="369">
        <f t="shared" si="55"/>
        <v>1360485</v>
      </c>
    </row>
    <row r="76" spans="1:39">
      <c r="A76" s="91">
        <f t="shared" si="0"/>
        <v>62</v>
      </c>
      <c r="C76" s="80" t="s">
        <v>258</v>
      </c>
      <c r="D76" s="80"/>
      <c r="E76" s="2"/>
      <c r="F76" s="369">
        <v>0</v>
      </c>
      <c r="G76" s="369">
        <v>0</v>
      </c>
      <c r="H76" s="369">
        <v>0</v>
      </c>
      <c r="I76" s="369">
        <f>'D-1-Optimal'!I91</f>
        <v>38565069.597069591</v>
      </c>
      <c r="J76" s="369">
        <v>0</v>
      </c>
      <c r="K76" s="368"/>
      <c r="L76" s="370">
        <f t="shared" si="51"/>
        <v>38565069.597069591</v>
      </c>
      <c r="M76" s="368"/>
      <c r="N76" s="369">
        <v>0</v>
      </c>
      <c r="O76" s="369">
        <f t="shared" si="50"/>
        <v>38565069.597069591</v>
      </c>
      <c r="P76" s="791"/>
      <c r="Q76" s="369">
        <v>0</v>
      </c>
      <c r="R76" s="369">
        <v>0</v>
      </c>
      <c r="S76" s="369">
        <v>0</v>
      </c>
      <c r="T76" s="369">
        <f>'D-1-Optimal'!M91</f>
        <v>59471982.380952381</v>
      </c>
      <c r="U76" s="369">
        <v>0</v>
      </c>
      <c r="V76" s="368"/>
      <c r="W76" s="369">
        <f t="shared" si="52"/>
        <v>59471982.380952381</v>
      </c>
      <c r="X76" s="368"/>
      <c r="Y76" s="369">
        <v>0</v>
      </c>
      <c r="Z76" s="861"/>
      <c r="AA76" s="369">
        <f t="shared" si="53"/>
        <v>59471982.380952381</v>
      </c>
      <c r="AB76" s="368"/>
      <c r="AC76" s="369">
        <v>0</v>
      </c>
      <c r="AD76" s="369">
        <v>0</v>
      </c>
      <c r="AE76" s="369">
        <v>0</v>
      </c>
      <c r="AF76" s="369">
        <f>'D-1-Optimal'!Q91</f>
        <v>63128897.676190473</v>
      </c>
      <c r="AG76" s="369">
        <v>0</v>
      </c>
      <c r="AH76" s="368"/>
      <c r="AI76" s="369">
        <f t="shared" si="54"/>
        <v>63128897.676190473</v>
      </c>
      <c r="AJ76" s="368"/>
      <c r="AK76" s="369">
        <v>0</v>
      </c>
      <c r="AL76" s="368"/>
      <c r="AM76" s="369">
        <f t="shared" si="55"/>
        <v>63128897.676190473</v>
      </c>
    </row>
    <row r="77" spans="1:39">
      <c r="A77" s="91">
        <f t="shared" ref="A77:A85" si="56">IF(C77&lt;&gt;"",MAX(A74:A76)+1,"")</f>
        <v>63</v>
      </c>
      <c r="C77" s="80" t="s">
        <v>335</v>
      </c>
      <c r="D77" s="80"/>
      <c r="F77" s="369">
        <v>0</v>
      </c>
      <c r="G77" s="369">
        <v>0</v>
      </c>
      <c r="H77" s="369">
        <v>0</v>
      </c>
      <c r="I77" s="369">
        <v>0</v>
      </c>
      <c r="J77" s="369">
        <v>0</v>
      </c>
      <c r="K77" s="368"/>
      <c r="L77" s="370">
        <f t="shared" si="51"/>
        <v>0</v>
      </c>
      <c r="M77" s="368"/>
      <c r="N77" s="369">
        <v>0</v>
      </c>
      <c r="O77" s="369">
        <f t="shared" si="50"/>
        <v>0</v>
      </c>
      <c r="P77" s="368"/>
      <c r="Q77" s="369">
        <v>0</v>
      </c>
      <c r="R77" s="369">
        <v>0</v>
      </c>
      <c r="S77" s="369">
        <v>0</v>
      </c>
      <c r="T77" s="369">
        <v>0</v>
      </c>
      <c r="U77" s="369">
        <v>0</v>
      </c>
      <c r="V77" s="368"/>
      <c r="W77" s="369">
        <f t="shared" si="52"/>
        <v>0</v>
      </c>
      <c r="X77" s="368"/>
      <c r="Y77" s="369">
        <v>0</v>
      </c>
      <c r="Z77" s="861"/>
      <c r="AA77" s="369">
        <f t="shared" si="53"/>
        <v>0</v>
      </c>
      <c r="AB77" s="368"/>
      <c r="AC77" s="369">
        <v>0</v>
      </c>
      <c r="AD77" s="369">
        <v>0</v>
      </c>
      <c r="AE77" s="369">
        <v>0</v>
      </c>
      <c r="AF77" s="369">
        <v>0</v>
      </c>
      <c r="AG77" s="369">
        <v>0</v>
      </c>
      <c r="AH77" s="368"/>
      <c r="AI77" s="369">
        <f t="shared" si="54"/>
        <v>0</v>
      </c>
      <c r="AJ77" s="368"/>
      <c r="AK77" s="369">
        <v>0</v>
      </c>
      <c r="AL77" s="368"/>
      <c r="AM77" s="369">
        <f t="shared" si="55"/>
        <v>0</v>
      </c>
    </row>
    <row r="78" spans="1:39">
      <c r="A78" s="91">
        <f t="shared" si="56"/>
        <v>64</v>
      </c>
      <c r="C78" s="80" t="s">
        <v>336</v>
      </c>
      <c r="D78" s="80"/>
      <c r="E78" s="2"/>
      <c r="F78" s="369">
        <v>0</v>
      </c>
      <c r="G78" s="369">
        <v>0</v>
      </c>
      <c r="H78" s="369">
        <v>0</v>
      </c>
      <c r="I78" s="369">
        <v>0</v>
      </c>
      <c r="J78" s="369">
        <v>0</v>
      </c>
      <c r="K78" s="368"/>
      <c r="L78" s="370">
        <f t="shared" si="51"/>
        <v>0</v>
      </c>
      <c r="M78" s="368"/>
      <c r="N78" s="369">
        <v>0</v>
      </c>
      <c r="O78" s="369">
        <f t="shared" si="50"/>
        <v>0</v>
      </c>
      <c r="P78" s="791"/>
      <c r="Q78" s="369">
        <v>0</v>
      </c>
      <c r="R78" s="369">
        <v>0</v>
      </c>
      <c r="S78" s="369">
        <v>0</v>
      </c>
      <c r="T78" s="369">
        <v>0</v>
      </c>
      <c r="U78" s="369">
        <v>0</v>
      </c>
      <c r="V78" s="368"/>
      <c r="W78" s="369">
        <f t="shared" si="52"/>
        <v>0</v>
      </c>
      <c r="X78" s="368"/>
      <c r="Y78" s="369">
        <v>0</v>
      </c>
      <c r="Z78" s="861"/>
      <c r="AA78" s="369">
        <f t="shared" si="53"/>
        <v>0</v>
      </c>
      <c r="AB78" s="368"/>
      <c r="AC78" s="369">
        <v>0</v>
      </c>
      <c r="AD78" s="369">
        <v>0</v>
      </c>
      <c r="AE78" s="369">
        <v>0</v>
      </c>
      <c r="AF78" s="369">
        <v>0</v>
      </c>
      <c r="AG78" s="369">
        <v>0</v>
      </c>
      <c r="AH78" s="368"/>
      <c r="AI78" s="369">
        <f t="shared" si="54"/>
        <v>0</v>
      </c>
      <c r="AJ78" s="368"/>
      <c r="AK78" s="369">
        <v>0</v>
      </c>
      <c r="AL78" s="368"/>
      <c r="AM78" s="369">
        <f t="shared" si="55"/>
        <v>0</v>
      </c>
    </row>
    <row r="79" spans="1:39">
      <c r="A79" s="91">
        <f t="shared" si="56"/>
        <v>65</v>
      </c>
      <c r="C79" s="80" t="s">
        <v>337</v>
      </c>
      <c r="D79" s="80"/>
      <c r="F79" s="369">
        <v>0</v>
      </c>
      <c r="G79" s="369">
        <v>0</v>
      </c>
      <c r="H79" s="369">
        <v>0</v>
      </c>
      <c r="I79" s="369">
        <v>0</v>
      </c>
      <c r="J79" s="369">
        <v>0</v>
      </c>
      <c r="K79" s="368"/>
      <c r="L79" s="370">
        <f t="shared" si="51"/>
        <v>0</v>
      </c>
      <c r="M79" s="368"/>
      <c r="N79" s="369">
        <v>0</v>
      </c>
      <c r="O79" s="369">
        <f t="shared" si="50"/>
        <v>0</v>
      </c>
      <c r="P79" s="368"/>
      <c r="Q79" s="369">
        <v>0</v>
      </c>
      <c r="R79" s="369">
        <v>0</v>
      </c>
      <c r="S79" s="369">
        <v>0</v>
      </c>
      <c r="T79" s="369">
        <v>0</v>
      </c>
      <c r="U79" s="369">
        <v>0</v>
      </c>
      <c r="V79" s="368"/>
      <c r="W79" s="369">
        <f t="shared" si="52"/>
        <v>0</v>
      </c>
      <c r="X79" s="368"/>
      <c r="Y79" s="369">
        <v>0</v>
      </c>
      <c r="Z79" s="861"/>
      <c r="AA79" s="369">
        <f t="shared" si="53"/>
        <v>0</v>
      </c>
      <c r="AB79" s="368"/>
      <c r="AC79" s="369">
        <v>0</v>
      </c>
      <c r="AD79" s="369">
        <v>0</v>
      </c>
      <c r="AE79" s="369">
        <v>0</v>
      </c>
      <c r="AF79" s="369">
        <v>0</v>
      </c>
      <c r="AG79" s="369">
        <v>0</v>
      </c>
      <c r="AH79" s="368"/>
      <c r="AI79" s="369">
        <f t="shared" si="54"/>
        <v>0</v>
      </c>
      <c r="AJ79" s="368"/>
      <c r="AK79" s="369">
        <v>0</v>
      </c>
      <c r="AL79" s="368"/>
      <c r="AM79" s="369">
        <f t="shared" si="55"/>
        <v>0</v>
      </c>
    </row>
    <row r="80" spans="1:39">
      <c r="A80" s="91">
        <f>IF(C80&lt;&gt;"",MAX(A77:A79)+1,"")</f>
        <v>66</v>
      </c>
      <c r="C80" s="792" t="s">
        <v>338</v>
      </c>
      <c r="D80" s="874"/>
      <c r="F80" s="779">
        <f>SUM(F73:F79)</f>
        <v>0</v>
      </c>
      <c r="G80" s="779">
        <f t="shared" ref="G80:I80" si="57">SUM(G73:G79)</f>
        <v>290965353</v>
      </c>
      <c r="H80" s="779">
        <f t="shared" si="57"/>
        <v>1234000</v>
      </c>
      <c r="I80" s="779">
        <f t="shared" si="57"/>
        <v>38565069.597069591</v>
      </c>
      <c r="J80" s="779">
        <f>SUM(J73:J79)</f>
        <v>602569233.30536306</v>
      </c>
      <c r="K80" s="764"/>
      <c r="L80" s="875">
        <f>SUM(L73:L76)</f>
        <v>933333655.90243268</v>
      </c>
      <c r="M80" s="764"/>
      <c r="N80" s="779">
        <f>SUM(N73:N76)</f>
        <v>0</v>
      </c>
      <c r="O80" s="779">
        <f t="shared" si="50"/>
        <v>933333655.90243268</v>
      </c>
      <c r="P80" s="368"/>
      <c r="Q80" s="779">
        <f>SUM(Q73:Q79)</f>
        <v>0</v>
      </c>
      <c r="R80" s="779">
        <f t="shared" ref="R80" si="58">SUM(R73:R79)</f>
        <v>292183945.82999998</v>
      </c>
      <c r="S80" s="779">
        <f t="shared" ref="S80" si="59">SUM(S73:S79)</f>
        <v>1295700</v>
      </c>
      <c r="T80" s="779">
        <f t="shared" ref="T80" si="60">SUM(T73:T79)</f>
        <v>59471982.380952381</v>
      </c>
      <c r="U80" s="779">
        <f t="shared" ref="U80" si="61">SUM(U73:U79)</f>
        <v>762356713.15257704</v>
      </c>
      <c r="V80" s="764"/>
      <c r="W80" s="779">
        <f>SUM(W73:W76)</f>
        <v>1115308341.3635294</v>
      </c>
      <c r="X80" s="764"/>
      <c r="Y80" s="779">
        <f>SUM(Y73:Y76)</f>
        <v>0</v>
      </c>
      <c r="Z80" s="876"/>
      <c r="AA80" s="779">
        <f>SUM(AA73:AA76)</f>
        <v>1115308341.3635294</v>
      </c>
      <c r="AB80" s="368"/>
      <c r="AC80" s="779">
        <f>SUM(AC73:AC79)</f>
        <v>0</v>
      </c>
      <c r="AD80" s="779">
        <f t="shared" ref="AD80" si="62">SUM(AD73:AD79)</f>
        <v>277698776</v>
      </c>
      <c r="AE80" s="779">
        <f t="shared" ref="AE80" si="63">SUM(AE73:AE79)</f>
        <v>1360485</v>
      </c>
      <c r="AF80" s="779">
        <f t="shared" ref="AF80" si="64">SUM(AF73:AF79)</f>
        <v>63128897.676190473</v>
      </c>
      <c r="AG80" s="779">
        <f t="shared" ref="AG80" si="65">SUM(AG73:AG79)</f>
        <v>928328366.59445906</v>
      </c>
      <c r="AH80" s="764"/>
      <c r="AI80" s="779">
        <f>SUM(AI73:AI76)</f>
        <v>1270516525.2706494</v>
      </c>
      <c r="AJ80" s="764"/>
      <c r="AK80" s="779">
        <f>SUM(AK73:AK76)</f>
        <v>0</v>
      </c>
      <c r="AL80" s="764"/>
      <c r="AM80" s="780">
        <f>SUM(AM73:AM76)</f>
        <v>1270516525.2706494</v>
      </c>
    </row>
    <row r="81" spans="1:39">
      <c r="A81" s="91" t="str">
        <f>IF(C81&lt;&gt;"",MAX(A77:A79)+1,"")</f>
        <v/>
      </c>
      <c r="C81" s="80"/>
      <c r="D81" s="80"/>
      <c r="E81" s="2"/>
      <c r="F81" s="369"/>
      <c r="G81" s="369"/>
      <c r="H81" s="369"/>
      <c r="I81" s="369"/>
      <c r="J81" s="369"/>
      <c r="K81" s="368"/>
      <c r="L81" s="370"/>
      <c r="M81" s="368"/>
      <c r="N81" s="369"/>
      <c r="O81" s="369">
        <f t="shared" si="50"/>
        <v>0</v>
      </c>
      <c r="P81" s="791"/>
      <c r="Q81" s="369"/>
      <c r="R81" s="369"/>
      <c r="S81" s="369"/>
      <c r="T81" s="369"/>
      <c r="U81" s="369"/>
      <c r="V81" s="368"/>
      <c r="W81" s="369"/>
      <c r="X81" s="368"/>
      <c r="Y81" s="369"/>
      <c r="Z81" s="861"/>
      <c r="AA81" s="369"/>
      <c r="AB81" s="368"/>
      <c r="AC81" s="369"/>
      <c r="AD81" s="369"/>
      <c r="AE81" s="369"/>
      <c r="AF81" s="369"/>
      <c r="AG81" s="369"/>
      <c r="AH81" s="368"/>
      <c r="AI81" s="369"/>
      <c r="AJ81" s="368"/>
      <c r="AK81" s="369"/>
      <c r="AL81" s="368"/>
      <c r="AM81" s="369"/>
    </row>
    <row r="82" spans="1:39">
      <c r="A82" s="91">
        <f>IF(C82&lt;&gt;"",MAX(A79:A81)+1,"")</f>
        <v>67</v>
      </c>
      <c r="C82" s="80" t="s">
        <v>339</v>
      </c>
      <c r="D82" s="80"/>
      <c r="E82" s="2"/>
      <c r="F82" s="369">
        <v>0</v>
      </c>
      <c r="G82" s="377">
        <v>67403088.084444642</v>
      </c>
      <c r="H82" s="369">
        <v>0</v>
      </c>
      <c r="I82" s="369">
        <v>0</v>
      </c>
      <c r="J82" s="369">
        <f>SUM('D-1-Optimal'!H6,'D-1-Optimal'!H39,'D-1-Optimal'!H45,'D-1-Optimal'!H52,'D-1-Optimal'!H57,'D-1-Optimal'!H63,'D-1-Optimal'!H77)*0.1</f>
        <v>90138971.987098172</v>
      </c>
      <c r="K82" s="368"/>
      <c r="L82" s="370">
        <f t="shared" ref="L82" si="66">SUM(F82:J82)</f>
        <v>157542060.0715428</v>
      </c>
      <c r="M82" s="368"/>
      <c r="N82" s="369">
        <v>0</v>
      </c>
      <c r="O82" s="369">
        <f t="shared" si="50"/>
        <v>157542060.0715428</v>
      </c>
      <c r="P82" s="791"/>
      <c r="Q82" s="369">
        <v>0</v>
      </c>
      <c r="R82" s="377">
        <v>34288638.684478566</v>
      </c>
      <c r="S82" s="369">
        <v>0</v>
      </c>
      <c r="T82" s="369">
        <v>0</v>
      </c>
      <c r="U82" s="369">
        <f>SUM('D-1-Optimal'!L6,'D-1-Optimal'!L39,'D-1-Optimal'!L45,'D-1-Optimal'!L52,'D-1-Optimal'!L57,'D-1-Optimal'!L63,'D-1-Optimal'!L77)*0.1</f>
        <v>165894944.55776396</v>
      </c>
      <c r="V82" s="368"/>
      <c r="W82" s="369">
        <f t="shared" ref="W82" si="67">SUM(Q82:U82)</f>
        <v>200183583.24224252</v>
      </c>
      <c r="X82" s="368"/>
      <c r="Y82" s="369">
        <v>0</v>
      </c>
      <c r="Z82" s="861"/>
      <c r="AA82" s="369">
        <f t="shared" ref="AA82" si="68">W82+Y82</f>
        <v>200183583.24224252</v>
      </c>
      <c r="AB82" s="368"/>
      <c r="AC82" s="369">
        <v>0</v>
      </c>
      <c r="AD82" s="377">
        <v>8502694.1737267859</v>
      </c>
      <c r="AE82" s="369">
        <v>0</v>
      </c>
      <c r="AF82" s="369">
        <v>0</v>
      </c>
      <c r="AG82" s="369">
        <f>SUM('D-1-Optimal'!P6,'D-1-Optimal'!P39,'D-1-Optimal'!P45,'D-1-Optimal'!P52,'D-1-Optimal'!P57,'D-1-Optimal'!P63,'D-1-Optimal'!P77)*0.1</f>
        <v>188690476.6468811</v>
      </c>
      <c r="AH82" s="368"/>
      <c r="AI82" s="369">
        <f t="shared" ref="AI82" si="69">SUM(AC82:AG82)</f>
        <v>197193170.8206079</v>
      </c>
      <c r="AJ82" s="368"/>
      <c r="AK82" s="369">
        <v>0</v>
      </c>
      <c r="AL82" s="368"/>
      <c r="AM82" s="369">
        <f t="shared" ref="AM82" si="70">AI82+AK82</f>
        <v>197193170.8206079</v>
      </c>
    </row>
    <row r="83" spans="1:39">
      <c r="A83" s="91">
        <f>IF(C83&lt;&gt;"",MAX(A81:A82)+1,"")</f>
        <v>68</v>
      </c>
      <c r="C83" s="80" t="s">
        <v>340</v>
      </c>
      <c r="D83" s="80"/>
      <c r="F83" s="369">
        <v>0</v>
      </c>
      <c r="G83" s="377">
        <f>G80+G61</f>
        <v>596558723.07010579</v>
      </c>
      <c r="H83" s="369">
        <v>0</v>
      </c>
      <c r="I83" s="369">
        <v>0</v>
      </c>
      <c r="J83" s="377">
        <f>J80+J61</f>
        <v>1615244371.6216378</v>
      </c>
      <c r="K83" s="368"/>
      <c r="L83" s="370">
        <f>L33+L56+L80</f>
        <v>2344886266.5145535</v>
      </c>
      <c r="M83" s="368"/>
      <c r="N83" s="369">
        <v>0</v>
      </c>
      <c r="O83" s="369">
        <f t="shared" si="50"/>
        <v>2344886266.5145535</v>
      </c>
      <c r="P83" s="368"/>
      <c r="Q83" s="369">
        <v>0</v>
      </c>
      <c r="R83" s="369">
        <v>0</v>
      </c>
      <c r="S83" s="369">
        <v>0</v>
      </c>
      <c r="T83" s="369">
        <v>0</v>
      </c>
      <c r="U83" s="369">
        <v>0</v>
      </c>
      <c r="V83" s="368"/>
      <c r="W83" s="369">
        <f>W33+W56+W80</f>
        <v>2640262577.6363101</v>
      </c>
      <c r="X83" s="368"/>
      <c r="Y83" s="369">
        <v>0</v>
      </c>
      <c r="Z83" s="861"/>
      <c r="AA83" s="369">
        <f>AA33+AA56+AA80</f>
        <v>2652691148.6363101</v>
      </c>
      <c r="AB83" s="368"/>
      <c r="AC83" s="369">
        <v>0</v>
      </c>
      <c r="AD83" s="369">
        <v>0</v>
      </c>
      <c r="AE83" s="369">
        <v>0</v>
      </c>
      <c r="AF83" s="369">
        <v>0</v>
      </c>
      <c r="AG83" s="369">
        <v>0</v>
      </c>
      <c r="AH83" s="368"/>
      <c r="AI83" s="369">
        <f>AI33+AI56+AI80</f>
        <v>2884245363.4966154</v>
      </c>
      <c r="AJ83" s="368"/>
      <c r="AK83" s="369">
        <v>0</v>
      </c>
      <c r="AL83" s="368"/>
      <c r="AM83" s="369">
        <f>AM33+AM56+AM80</f>
        <v>2897817635.4966154</v>
      </c>
    </row>
    <row r="84" spans="1:39">
      <c r="A84" s="91">
        <f>IF(C84&lt;&gt;"",MAX(A80:A83)+1,"")</f>
        <v>69</v>
      </c>
      <c r="C84" s="792" t="s">
        <v>341</v>
      </c>
      <c r="D84" s="874"/>
      <c r="E84" s="2"/>
      <c r="F84" s="779">
        <f t="shared" ref="F84:L84" si="71">F61+F70+F80</f>
        <v>2647358500.4954295</v>
      </c>
      <c r="G84" s="779">
        <f t="shared" si="71"/>
        <v>653143877.53652573</v>
      </c>
      <c r="H84" s="779">
        <f t="shared" si="71"/>
        <v>14132400</v>
      </c>
      <c r="I84" s="779">
        <f t="shared" si="71"/>
        <v>73628569.597069591</v>
      </c>
      <c r="J84" s="779">
        <f t="shared" si="71"/>
        <v>1906916519.6824293</v>
      </c>
      <c r="K84" s="779">
        <f t="shared" si="71"/>
        <v>0</v>
      </c>
      <c r="L84" s="779">
        <f t="shared" si="71"/>
        <v>5295179867.3114538</v>
      </c>
      <c r="M84" s="779"/>
      <c r="N84" s="779">
        <f>N24+N33+N56+N60+N70+N80</f>
        <v>27074981.774259999</v>
      </c>
      <c r="O84" s="779">
        <f t="shared" si="50"/>
        <v>5322254849.0857134</v>
      </c>
      <c r="P84" s="791"/>
      <c r="Q84" s="779">
        <f>Q24+Q33+Q56+Q60+Q70+Q80</f>
        <v>2561451707.6516719</v>
      </c>
      <c r="R84" s="779">
        <f>R24+R33+R56+R60+R70+R80</f>
        <v>653555711.34381139</v>
      </c>
      <c r="S84" s="779">
        <f>S24+S33+S56+S60+S70+S80</f>
        <v>14839020</v>
      </c>
      <c r="T84" s="779">
        <f>T24+T33+T56+T60+T70+T80</f>
        <v>96288657.380952388</v>
      </c>
      <c r="U84" s="779">
        <f>U24+U33+U56+U60+U70+U80</f>
        <v>2170820750.7713542</v>
      </c>
      <c r="V84" s="779"/>
      <c r="W84" s="779">
        <f>W24+W33+W56+W60+W70+W80</f>
        <v>5466955847.14779</v>
      </c>
      <c r="X84" s="779"/>
      <c r="Y84" s="779">
        <f>Y24+Y33+Y56+Y60+Y70+Y80</f>
        <v>12428571</v>
      </c>
      <c r="Z84" s="875"/>
      <c r="AA84" s="779">
        <f>AA24+AA33+AA56+AA60+AA70+AA80</f>
        <v>5359384418.14779</v>
      </c>
      <c r="AB84" s="368"/>
      <c r="AC84" s="779">
        <f>AC24+AC33+AC56+AC60+AC70+AC80</f>
        <v>2495705482.3445034</v>
      </c>
      <c r="AD84" s="779">
        <f>AD24+AD33+AD56+AD60+AD70+AD80</f>
        <v>647215894.26039481</v>
      </c>
      <c r="AE84" s="779">
        <f>AE24+AE33+AE56+AE60+AE70+AE80</f>
        <v>15580971</v>
      </c>
      <c r="AF84" s="779">
        <f>AF24+AF33+AF56+AF60+AF70+AF80</f>
        <v>101786406.42619047</v>
      </c>
      <c r="AG84" s="779">
        <f>AG24+AG33+AG56+AG60+AG70+AG80</f>
        <v>2351179647.9528685</v>
      </c>
      <c r="AH84" s="779"/>
      <c r="AI84" s="779">
        <f>AI24+AI33+AI56+AI60+AI70+AI80</f>
        <v>5581468401.9839573</v>
      </c>
      <c r="AJ84" s="779"/>
      <c r="AK84" s="779">
        <f>AK24+AK33+AK56+AK60+AK70+AK80</f>
        <v>13572272</v>
      </c>
      <c r="AL84" s="779"/>
      <c r="AM84" s="779">
        <f>AM24+AM33+AM56+AM60+AM70+AM80</f>
        <v>5595040673.9839573</v>
      </c>
    </row>
    <row r="85" spans="1:39">
      <c r="A85" s="91" t="str">
        <f t="shared" si="56"/>
        <v/>
      </c>
      <c r="C85" s="29"/>
      <c r="D85" s="29"/>
      <c r="F85" s="653"/>
      <c r="G85" s="653"/>
      <c r="H85" s="653"/>
      <c r="I85" s="653"/>
      <c r="J85" s="653"/>
      <c r="K85" s="368"/>
      <c r="L85" s="877"/>
      <c r="M85" s="368"/>
      <c r="N85" s="653"/>
      <c r="O85" s="653"/>
      <c r="P85" s="368"/>
      <c r="Q85" s="653"/>
      <c r="R85" s="653"/>
      <c r="S85" s="653"/>
      <c r="T85" s="653"/>
      <c r="U85" s="653"/>
      <c r="V85" s="368"/>
      <c r="W85" s="653"/>
      <c r="X85" s="368"/>
      <c r="Y85" s="653"/>
      <c r="Z85" s="861"/>
      <c r="AA85" s="653"/>
      <c r="AB85" s="368"/>
      <c r="AC85" s="653"/>
      <c r="AD85" s="653"/>
      <c r="AE85" s="653"/>
      <c r="AF85" s="653"/>
      <c r="AG85" s="653"/>
      <c r="AH85" s="368"/>
      <c r="AI85" s="653"/>
      <c r="AJ85" s="368"/>
      <c r="AK85" s="653"/>
      <c r="AL85" s="368"/>
      <c r="AM85" s="653"/>
    </row>
    <row r="86" spans="1:39">
      <c r="A86" s="91">
        <v>71</v>
      </c>
      <c r="C86" s="80" t="s">
        <v>343</v>
      </c>
      <c r="D86" s="80"/>
      <c r="E86" s="2"/>
      <c r="F86" s="369">
        <v>0</v>
      </c>
      <c r="G86" s="369">
        <v>0</v>
      </c>
      <c r="H86" s="369">
        <v>0</v>
      </c>
      <c r="I86" s="369">
        <v>0</v>
      </c>
      <c r="J86" s="369">
        <v>0</v>
      </c>
      <c r="K86" s="368"/>
      <c r="L86" s="370">
        <f t="shared" ref="L86" si="72">SUM(F86:J86)</f>
        <v>0</v>
      </c>
      <c r="M86" s="368"/>
      <c r="N86" s="369">
        <v>0</v>
      </c>
      <c r="O86" s="369">
        <f t="shared" ref="O86" si="73">K86+M86</f>
        <v>0</v>
      </c>
      <c r="P86" s="791"/>
      <c r="Q86" s="369">
        <v>0</v>
      </c>
      <c r="R86" s="369">
        <v>0</v>
      </c>
      <c r="S86" s="369">
        <v>0</v>
      </c>
      <c r="T86" s="369">
        <v>0</v>
      </c>
      <c r="U86" s="369">
        <v>0</v>
      </c>
      <c r="V86" s="368"/>
      <c r="W86" s="369">
        <f t="shared" ref="W86" si="74">SUM(Q86:U86)</f>
        <v>0</v>
      </c>
      <c r="X86" s="368"/>
      <c r="Y86" s="369">
        <v>0</v>
      </c>
      <c r="Z86" s="861"/>
      <c r="AA86" s="369">
        <f t="shared" ref="AA86" si="75">W86+Y86</f>
        <v>0</v>
      </c>
      <c r="AB86" s="368"/>
      <c r="AC86" s="369">
        <v>0</v>
      </c>
      <c r="AD86" s="369">
        <v>0</v>
      </c>
      <c r="AE86" s="369">
        <v>0</v>
      </c>
      <c r="AF86" s="369">
        <v>0</v>
      </c>
      <c r="AG86" s="369">
        <v>0</v>
      </c>
      <c r="AH86" s="368"/>
      <c r="AI86" s="369">
        <f t="shared" ref="AI86" si="76">SUM(AC86:AG86)</f>
        <v>0</v>
      </c>
      <c r="AJ86" s="368"/>
      <c r="AK86" s="369">
        <v>0</v>
      </c>
      <c r="AL86" s="368"/>
      <c r="AM86" s="369">
        <f t="shared" ref="AM86" si="77">AI86+AK86</f>
        <v>0</v>
      </c>
    </row>
    <row r="87" spans="1:39">
      <c r="A87" s="91" t="str">
        <f>IF(C87&lt;&gt;"",MAX(A86:A86)+1,"")</f>
        <v/>
      </c>
      <c r="F87" s="368"/>
      <c r="G87" s="368"/>
      <c r="H87" s="368"/>
      <c r="I87" s="368"/>
      <c r="J87" s="368"/>
      <c r="K87" s="368"/>
      <c r="L87" s="861"/>
      <c r="M87" s="368"/>
      <c r="N87" s="368"/>
      <c r="O87" s="368"/>
      <c r="P87" s="368"/>
      <c r="Q87" s="368"/>
      <c r="R87" s="368"/>
      <c r="S87" s="368"/>
      <c r="T87" s="368"/>
      <c r="U87" s="368"/>
      <c r="V87" s="368"/>
      <c r="W87" s="368"/>
      <c r="X87" s="368"/>
      <c r="Y87" s="368"/>
      <c r="Z87" s="861"/>
      <c r="AA87" s="368"/>
      <c r="AB87" s="368"/>
      <c r="AC87" s="368"/>
      <c r="AD87" s="368"/>
      <c r="AE87" s="368"/>
      <c r="AF87" s="368"/>
      <c r="AG87" s="368"/>
      <c r="AH87" s="368"/>
      <c r="AI87" s="368"/>
      <c r="AJ87" s="368"/>
      <c r="AK87" s="368"/>
      <c r="AL87" s="368"/>
      <c r="AM87" s="368"/>
    </row>
    <row r="88" spans="1:39">
      <c r="A88" s="91">
        <f>IF(C88&lt;&gt;"",MAX(A86:A87)+1,"")</f>
        <v>72</v>
      </c>
      <c r="C88" s="80" t="s">
        <v>348</v>
      </c>
      <c r="D88" s="80"/>
      <c r="E88" s="2"/>
      <c r="F88" s="369">
        <v>0</v>
      </c>
      <c r="G88" s="369">
        <v>0</v>
      </c>
      <c r="H88" s="369">
        <v>0</v>
      </c>
      <c r="I88" s="369">
        <v>0</v>
      </c>
      <c r="J88" s="369">
        <v>0</v>
      </c>
      <c r="K88" s="368"/>
      <c r="L88" s="370">
        <f>SUM(F88:J88)</f>
        <v>0</v>
      </c>
      <c r="M88" s="368"/>
      <c r="N88" s="369">
        <v>0</v>
      </c>
      <c r="O88" s="369">
        <f>K88+M88</f>
        <v>0</v>
      </c>
      <c r="P88" s="791"/>
      <c r="Q88" s="369">
        <v>0</v>
      </c>
      <c r="R88" s="369">
        <v>0</v>
      </c>
      <c r="S88" s="369">
        <v>0</v>
      </c>
      <c r="T88" s="369">
        <v>0</v>
      </c>
      <c r="U88" s="369">
        <v>0</v>
      </c>
      <c r="V88" s="368"/>
      <c r="W88" s="369">
        <f>SUM(Q88:U88)</f>
        <v>0</v>
      </c>
      <c r="X88" s="368"/>
      <c r="Y88" s="369">
        <v>0</v>
      </c>
      <c r="Z88" s="861"/>
      <c r="AA88" s="369">
        <f>W88+Y88</f>
        <v>0</v>
      </c>
      <c r="AB88" s="368"/>
      <c r="AC88" s="369">
        <v>0</v>
      </c>
      <c r="AD88" s="369">
        <v>0</v>
      </c>
      <c r="AE88" s="369">
        <v>0</v>
      </c>
      <c r="AF88" s="369">
        <v>0</v>
      </c>
      <c r="AG88" s="369">
        <v>0</v>
      </c>
      <c r="AH88" s="368"/>
      <c r="AI88" s="369">
        <f>SUM(AC88:AG88)</f>
        <v>0</v>
      </c>
      <c r="AJ88" s="368"/>
      <c r="AK88" s="369">
        <v>0</v>
      </c>
      <c r="AL88" s="368"/>
      <c r="AM88" s="369">
        <f>AI88+AK88</f>
        <v>0</v>
      </c>
    </row>
    <row r="89" spans="1:39">
      <c r="A89" s="77"/>
    </row>
    <row r="90" spans="1:39">
      <c r="A90" s="77"/>
    </row>
    <row r="91" spans="1:39">
      <c r="A91" s="77"/>
      <c r="J91" s="768"/>
      <c r="L91" s="882"/>
      <c r="U91" s="768">
        <f>1.02*(U73+U58)</f>
        <v>1947109719.0956285</v>
      </c>
      <c r="AG91" s="768">
        <f>1.02*(AG73+AG58)</f>
        <v>2213462206.3263483</v>
      </c>
    </row>
    <row r="92" spans="1:39">
      <c r="A92" s="77"/>
      <c r="L92" s="882"/>
    </row>
    <row r="93" spans="1:39">
      <c r="A93" s="77"/>
    </row>
    <row r="94" spans="1:39">
      <c r="A94" s="77"/>
      <c r="L94" s="882"/>
    </row>
    <row r="95" spans="1:39">
      <c r="A95" s="77"/>
    </row>
    <row r="96" spans="1:39">
      <c r="A96" s="77"/>
    </row>
    <row r="97" spans="1:41">
      <c r="A97" s="77"/>
    </row>
    <row r="98" spans="1:41">
      <c r="A98" s="77"/>
    </row>
    <row r="99" spans="1:41">
      <c r="A99" s="77"/>
    </row>
    <row r="100" spans="1:41">
      <c r="A100" s="77"/>
    </row>
    <row r="101" spans="1:41">
      <c r="A101" s="77"/>
    </row>
    <row r="102" spans="1:41">
      <c r="L102"/>
      <c r="Z102"/>
      <c r="AO102"/>
    </row>
    <row r="103" spans="1:41">
      <c r="L103"/>
      <c r="Z103"/>
      <c r="AO103"/>
    </row>
    <row r="104" spans="1:41">
      <c r="L104"/>
      <c r="Z104"/>
      <c r="AO104"/>
    </row>
    <row r="105" spans="1:41">
      <c r="L105"/>
      <c r="Z105"/>
      <c r="AO105"/>
    </row>
  </sheetData>
  <mergeCells count="3">
    <mergeCell ref="AC1:AM1"/>
    <mergeCell ref="Q1:AA1"/>
    <mergeCell ref="F1:N1"/>
  </mergeCells>
  <phoneticPr fontId="67" type="noConversion"/>
  <pageMargins left="0.7" right="0.7" top="0.75" bottom="0.75" header="0.3" footer="0.3"/>
  <pageSetup scale="40" orientation="portrait" r:id="rId1"/>
  <headerFooter>
    <oddHeader>&amp;LPuerto Rico Electric Power Authority   
Docket NEPR-AP-2023-0003
Rate Year Result of Operations &amp;RSchedule C-2.1 (Optimal)
Page &amp;P of &amp;N</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4EA2E-A8C9-461B-B75A-627C5D7B4BB7}">
  <sheetPr>
    <tabColor theme="7" tint="0.79998168889431442"/>
    <pageSetUpPr autoPageBreaks="0"/>
  </sheetPr>
  <dimension ref="A1:AY105"/>
  <sheetViews>
    <sheetView workbookViewId="0"/>
    <sheetView workbookViewId="1"/>
    <sheetView workbookViewId="2"/>
  </sheetViews>
  <sheetFormatPr defaultColWidth="8.5703125" defaultRowHeight="15" outlineLevelCol="2"/>
  <cols>
    <col min="1" max="1" width="5.5703125" customWidth="1"/>
    <col min="2" max="2" width="5.42578125" customWidth="1"/>
    <col min="3" max="3" width="74.85546875" customWidth="1"/>
    <col min="4" max="5" width="5.5703125" customWidth="1"/>
    <col min="6" max="10" width="20.5703125" hidden="1" customWidth="1" outlineLevel="2"/>
    <col min="11" max="11" width="5.5703125" hidden="1" customWidth="1" outlineLevel="2"/>
    <col min="12" max="12" width="14.140625" style="863" bestFit="1" customWidth="1" collapsed="1"/>
    <col min="13" max="13" width="5.5703125" customWidth="1"/>
    <col min="14" max="15" width="20.5703125" customWidth="1"/>
    <col min="16" max="16" width="8.5703125" customWidth="1"/>
    <col min="17" max="21" width="20.5703125" hidden="1" customWidth="1" outlineLevel="1"/>
    <col min="22" max="22" width="5.5703125" customWidth="1" collapsed="1"/>
    <col min="23" max="23" width="14.140625" bestFit="1" customWidth="1"/>
    <col min="24" max="24" width="5.5703125" customWidth="1"/>
    <col min="25" max="25" width="20.5703125" customWidth="1"/>
    <col min="26" max="26" width="5.5703125" style="863" customWidth="1"/>
    <col min="27" max="27" width="20.5703125" customWidth="1"/>
    <col min="28" max="28" width="8.5703125" customWidth="1"/>
    <col min="29" max="33" width="20.5703125" hidden="1" customWidth="1" outlineLevel="1"/>
    <col min="34" max="34" width="5.5703125" customWidth="1" collapsed="1"/>
    <col min="35" max="35" width="14.140625" bestFit="1" customWidth="1"/>
    <col min="36" max="36" width="5.5703125" customWidth="1"/>
    <col min="37" max="37" width="20.5703125" customWidth="1"/>
    <col min="38" max="38" width="5.5703125" customWidth="1"/>
    <col min="39" max="39" width="20.5703125" customWidth="1"/>
    <col min="40" max="40" width="8.5703125" customWidth="1"/>
    <col min="41" max="41" width="8.5703125" style="863"/>
  </cols>
  <sheetData>
    <row r="1" spans="1:51" ht="17.25">
      <c r="A1" s="91"/>
      <c r="F1" s="1205" t="s">
        <v>567</v>
      </c>
      <c r="G1" s="1206"/>
      <c r="H1" s="1206"/>
      <c r="I1" s="1206"/>
      <c r="J1" s="1206"/>
      <c r="K1" s="1206"/>
      <c r="L1" s="1206"/>
      <c r="M1" s="1206"/>
      <c r="N1" s="1206"/>
      <c r="O1" s="2"/>
      <c r="Q1" s="1205" t="s">
        <v>568</v>
      </c>
      <c r="R1" s="1205"/>
      <c r="S1" s="1205"/>
      <c r="T1" s="1205"/>
      <c r="U1" s="1205"/>
      <c r="V1" s="1205"/>
      <c r="W1" s="1205"/>
      <c r="X1" s="1205"/>
      <c r="Y1" s="1205"/>
      <c r="Z1" s="1205"/>
      <c r="AA1" s="1205"/>
      <c r="AC1" s="1205" t="s">
        <v>569</v>
      </c>
      <c r="AD1" s="1205"/>
      <c r="AE1" s="1205"/>
      <c r="AF1" s="1205"/>
      <c r="AG1" s="1205"/>
      <c r="AH1" s="1205"/>
      <c r="AI1" s="1205"/>
      <c r="AJ1" s="1205"/>
      <c r="AK1" s="1205"/>
      <c r="AL1" s="1205"/>
      <c r="AM1" s="1205"/>
      <c r="AO1"/>
      <c r="AQ1" s="869"/>
      <c r="AR1" s="869"/>
      <c r="AS1" s="869"/>
      <c r="AT1" s="869"/>
      <c r="AU1" s="869"/>
      <c r="AV1" s="869"/>
      <c r="AW1" s="869"/>
      <c r="AY1" s="863"/>
    </row>
    <row r="2" spans="1:51" ht="45">
      <c r="A2" s="842" t="s">
        <v>242</v>
      </c>
      <c r="B2" s="2"/>
      <c r="C2" s="58" t="s">
        <v>5</v>
      </c>
      <c r="D2" s="58"/>
      <c r="E2" s="2"/>
      <c r="F2" s="58" t="s">
        <v>243</v>
      </c>
      <c r="G2" s="58" t="s">
        <v>248</v>
      </c>
      <c r="H2" s="58" t="s">
        <v>253</v>
      </c>
      <c r="I2" s="58" t="s">
        <v>258</v>
      </c>
      <c r="J2" s="58" t="s">
        <v>264</v>
      </c>
      <c r="K2" s="2"/>
      <c r="L2" s="843" t="s">
        <v>541</v>
      </c>
      <c r="M2" s="2"/>
      <c r="N2" s="903" t="s">
        <v>352</v>
      </c>
      <c r="O2" s="58" t="s">
        <v>542</v>
      </c>
      <c r="P2" s="2"/>
      <c r="Q2" s="58" t="s">
        <v>243</v>
      </c>
      <c r="R2" s="58" t="s">
        <v>248</v>
      </c>
      <c r="S2" s="58" t="s">
        <v>253</v>
      </c>
      <c r="T2" s="58" t="s">
        <v>258</v>
      </c>
      <c r="U2" s="58" t="s">
        <v>264</v>
      </c>
      <c r="V2" s="2"/>
      <c r="W2" s="58" t="s">
        <v>543</v>
      </c>
      <c r="X2" s="2"/>
      <c r="Y2" s="903" t="s">
        <v>352</v>
      </c>
      <c r="Z2" s="844"/>
      <c r="AA2" s="58" t="s">
        <v>544</v>
      </c>
      <c r="AC2" s="58" t="s">
        <v>243</v>
      </c>
      <c r="AD2" s="58" t="s">
        <v>248</v>
      </c>
      <c r="AE2" s="58" t="s">
        <v>253</v>
      </c>
      <c r="AF2" s="58" t="s">
        <v>258</v>
      </c>
      <c r="AG2" s="58" t="s">
        <v>264</v>
      </c>
      <c r="AH2" s="2"/>
      <c r="AI2" s="58" t="s">
        <v>545</v>
      </c>
      <c r="AJ2" s="2"/>
      <c r="AK2" s="903" t="s">
        <v>352</v>
      </c>
      <c r="AL2" s="2"/>
      <c r="AM2" s="58" t="s">
        <v>546</v>
      </c>
    </row>
    <row r="3" spans="1:51">
      <c r="A3" s="91"/>
      <c r="F3" s="2" t="s">
        <v>547</v>
      </c>
      <c r="G3" s="2" t="s">
        <v>358</v>
      </c>
      <c r="H3" s="2" t="s">
        <v>462</v>
      </c>
      <c r="I3" s="2" t="s">
        <v>463</v>
      </c>
      <c r="J3" s="2" t="s">
        <v>548</v>
      </c>
      <c r="L3" s="844" t="s">
        <v>549</v>
      </c>
      <c r="N3" s="2" t="s">
        <v>550</v>
      </c>
      <c r="O3" s="2" t="s">
        <v>551</v>
      </c>
      <c r="Q3" s="2" t="s">
        <v>552</v>
      </c>
      <c r="R3" s="2" t="s">
        <v>553</v>
      </c>
      <c r="S3" s="2" t="s">
        <v>554</v>
      </c>
      <c r="T3" s="2" t="s">
        <v>555</v>
      </c>
      <c r="U3" s="2" t="s">
        <v>556</v>
      </c>
      <c r="W3" s="2" t="s">
        <v>557</v>
      </c>
      <c r="Y3" s="2" t="s">
        <v>558</v>
      </c>
      <c r="AA3" s="2" t="s">
        <v>551</v>
      </c>
      <c r="AC3" s="2" t="s">
        <v>559</v>
      </c>
      <c r="AD3" s="2" t="s">
        <v>560</v>
      </c>
      <c r="AE3" s="2" t="s">
        <v>561</v>
      </c>
      <c r="AF3" s="2" t="s">
        <v>562</v>
      </c>
      <c r="AG3" s="2" t="s">
        <v>563</v>
      </c>
      <c r="AI3" s="2" t="s">
        <v>549</v>
      </c>
      <c r="AK3" s="2" t="s">
        <v>550</v>
      </c>
      <c r="AM3" s="2" t="s">
        <v>564</v>
      </c>
    </row>
    <row r="4" spans="1:51" ht="15.75" thickBot="1">
      <c r="A4" s="91">
        <v>1</v>
      </c>
      <c r="C4" s="870" t="s">
        <v>278</v>
      </c>
      <c r="D4" s="870"/>
      <c r="E4" s="2"/>
      <c r="F4" s="871" t="s">
        <v>279</v>
      </c>
      <c r="G4" s="871" t="s">
        <v>279</v>
      </c>
      <c r="H4" s="871" t="s">
        <v>279</v>
      </c>
      <c r="I4" s="871" t="s">
        <v>279</v>
      </c>
      <c r="J4" s="871" t="s">
        <v>279</v>
      </c>
      <c r="K4" s="380"/>
      <c r="L4" s="872" t="s">
        <v>279</v>
      </c>
      <c r="M4" s="380"/>
      <c r="N4" s="871"/>
      <c r="O4" s="871"/>
      <c r="P4" s="791"/>
      <c r="Q4" s="871" t="s">
        <v>279</v>
      </c>
      <c r="R4" s="871" t="s">
        <v>279</v>
      </c>
      <c r="S4" s="871" t="s">
        <v>279</v>
      </c>
      <c r="T4" s="871" t="s">
        <v>279</v>
      </c>
      <c r="U4" s="871" t="s">
        <v>279</v>
      </c>
      <c r="V4" s="380"/>
      <c r="W4" s="871" t="s">
        <v>279</v>
      </c>
      <c r="X4" s="380"/>
      <c r="Y4" s="871"/>
      <c r="Z4" s="873"/>
      <c r="AA4" s="871"/>
      <c r="AB4" s="368"/>
      <c r="AC4" s="871" t="s">
        <v>279</v>
      </c>
      <c r="AD4" s="871" t="s">
        <v>279</v>
      </c>
      <c r="AE4" s="871" t="s">
        <v>279</v>
      </c>
      <c r="AF4" s="871" t="s">
        <v>279</v>
      </c>
      <c r="AG4" s="871" t="s">
        <v>279</v>
      </c>
      <c r="AH4" s="380"/>
      <c r="AI4" s="871" t="s">
        <v>279</v>
      </c>
      <c r="AJ4" s="380"/>
      <c r="AK4" s="871"/>
      <c r="AL4" s="380"/>
      <c r="AM4" s="871"/>
    </row>
    <row r="5" spans="1:51">
      <c r="A5" s="91"/>
      <c r="C5" s="29"/>
      <c r="D5" s="29"/>
      <c r="F5" s="368"/>
      <c r="G5" s="368"/>
      <c r="H5" s="368"/>
      <c r="I5" s="368"/>
      <c r="J5" s="368"/>
      <c r="K5" s="368"/>
      <c r="L5" s="861"/>
      <c r="M5" s="368"/>
      <c r="N5" s="368"/>
      <c r="O5" s="368"/>
      <c r="P5" s="368"/>
      <c r="Q5" s="368"/>
      <c r="R5" s="368"/>
      <c r="S5" s="368"/>
      <c r="T5" s="368"/>
      <c r="U5" s="368"/>
      <c r="V5" s="368"/>
      <c r="W5" s="368"/>
      <c r="X5" s="368"/>
      <c r="Y5" s="368"/>
      <c r="Z5" s="861"/>
      <c r="AA5" s="368"/>
      <c r="AB5" s="368"/>
      <c r="AC5" s="368"/>
      <c r="AD5" s="368"/>
      <c r="AE5" s="368"/>
      <c r="AF5" s="368"/>
      <c r="AG5" s="368"/>
      <c r="AH5" s="368"/>
      <c r="AI5" s="368"/>
      <c r="AJ5" s="368"/>
      <c r="AK5" s="368"/>
      <c r="AL5" s="368"/>
      <c r="AM5" s="368"/>
    </row>
    <row r="6" spans="1:51">
      <c r="A6" s="91">
        <f t="shared" ref="A6:A71" si="0">IF(C6&lt;&gt;"",MAX(A3:A5)+1,"")</f>
        <v>2</v>
      </c>
      <c r="C6" s="361" t="s">
        <v>280</v>
      </c>
      <c r="D6" s="361"/>
      <c r="E6" s="2"/>
      <c r="F6" s="368"/>
      <c r="G6" s="368"/>
      <c r="H6" s="368"/>
      <c r="I6" s="368"/>
      <c r="J6" s="368"/>
      <c r="K6" s="368"/>
      <c r="L6" s="861"/>
      <c r="M6" s="368"/>
      <c r="N6" s="368"/>
      <c r="O6" s="368"/>
      <c r="P6" s="791"/>
      <c r="Q6" s="368"/>
      <c r="R6" s="368"/>
      <c r="S6" s="368"/>
      <c r="T6" s="368"/>
      <c r="U6" s="368"/>
      <c r="V6" s="368"/>
      <c r="W6" s="368"/>
      <c r="X6" s="368"/>
      <c r="Y6" s="368"/>
      <c r="Z6" s="861"/>
      <c r="AA6" s="368"/>
      <c r="AB6" s="368"/>
      <c r="AC6" s="368"/>
      <c r="AD6" s="368"/>
      <c r="AE6" s="368"/>
      <c r="AF6" s="368"/>
      <c r="AG6" s="368"/>
      <c r="AH6" s="368"/>
      <c r="AI6" s="368"/>
      <c r="AJ6" s="368"/>
      <c r="AK6" s="368"/>
      <c r="AL6" s="368"/>
      <c r="AM6" s="368"/>
    </row>
    <row r="7" spans="1:51">
      <c r="A7" s="91">
        <f t="shared" si="0"/>
        <v>3</v>
      </c>
      <c r="C7" s="80" t="s">
        <v>281</v>
      </c>
      <c r="D7" s="80"/>
      <c r="F7" s="369">
        <f>F24</f>
        <v>2436713299.8406897</v>
      </c>
      <c r="G7" s="369"/>
      <c r="H7" s="369"/>
      <c r="I7" s="369"/>
      <c r="J7" s="369"/>
      <c r="K7" s="368"/>
      <c r="L7" s="370">
        <f>SUM(F7:J7)</f>
        <v>2436713299.8406897</v>
      </c>
      <c r="M7" s="368"/>
      <c r="N7" s="369"/>
      <c r="O7" s="369">
        <f>+N7+L7</f>
        <v>2436713299.8406897</v>
      </c>
      <c r="P7" s="368"/>
      <c r="Q7" s="369">
        <f>Q24</f>
        <v>2363810018.072628</v>
      </c>
      <c r="R7" s="369"/>
      <c r="S7" s="369"/>
      <c r="T7" s="369"/>
      <c r="U7" s="369"/>
      <c r="V7" s="368"/>
      <c r="W7" s="369">
        <f>SUM(Q7:U7)</f>
        <v>2363810018.072628</v>
      </c>
      <c r="X7" s="368"/>
      <c r="Y7" s="369"/>
      <c r="Z7" s="861"/>
      <c r="AA7" s="369">
        <f>W7+Y7</f>
        <v>2363810018.072628</v>
      </c>
      <c r="AB7" s="368"/>
      <c r="AC7" s="369">
        <f>AC24</f>
        <v>2312631997.3431683</v>
      </c>
      <c r="AD7" s="369"/>
      <c r="AE7" s="369"/>
      <c r="AF7" s="369"/>
      <c r="AG7" s="369"/>
      <c r="AH7" s="368"/>
      <c r="AI7" s="369">
        <f>SUM(AC7:AG7)</f>
        <v>2312631997.3431683</v>
      </c>
      <c r="AJ7" s="368"/>
      <c r="AK7" s="369"/>
      <c r="AL7" s="368"/>
      <c r="AM7" s="369">
        <f>+AK7+AI7</f>
        <v>2312631997.3431683</v>
      </c>
    </row>
    <row r="8" spans="1:51">
      <c r="A8" s="91">
        <f t="shared" si="0"/>
        <v>4</v>
      </c>
      <c r="C8" s="80" t="s">
        <v>282</v>
      </c>
      <c r="D8" s="80"/>
      <c r="E8" s="2"/>
      <c r="F8" s="369">
        <f>'E-1'!E33</f>
        <v>1179202426.8818486</v>
      </c>
      <c r="G8" s="369"/>
      <c r="H8" s="369"/>
      <c r="I8" s="369"/>
      <c r="J8" s="369"/>
      <c r="K8" s="368"/>
      <c r="L8" s="370">
        <f>SUM(F8:J8)</f>
        <v>1179202426.8818486</v>
      </c>
      <c r="M8" s="368"/>
      <c r="N8" s="369"/>
      <c r="O8" s="369">
        <f>+N8+L8</f>
        <v>1179202426.8818486</v>
      </c>
      <c r="P8" s="791"/>
      <c r="Q8" s="369">
        <f>'E-1'!H33</f>
        <v>1153897329.9670923</v>
      </c>
      <c r="R8" s="369"/>
      <c r="S8" s="369"/>
      <c r="T8" s="369"/>
      <c r="U8" s="369"/>
      <c r="V8" s="368"/>
      <c r="W8" s="369">
        <f>SUM(Q8:U8)</f>
        <v>1153897329.9670923</v>
      </c>
      <c r="X8" s="368"/>
      <c r="Y8" s="369"/>
      <c r="Z8" s="861"/>
      <c r="AA8" s="369">
        <f>W8+Y8</f>
        <v>1153897329.9670923</v>
      </c>
      <c r="AB8" s="368"/>
      <c r="AC8" s="369">
        <f>'E-1'!K33</f>
        <v>1138445034.8482292</v>
      </c>
      <c r="AD8" s="369"/>
      <c r="AE8" s="369"/>
      <c r="AF8" s="369"/>
      <c r="AG8" s="369"/>
      <c r="AH8" s="368"/>
      <c r="AI8" s="369">
        <f>SUM(AC8:AG8)</f>
        <v>1138445034.8482292</v>
      </c>
      <c r="AJ8" s="368"/>
      <c r="AK8" s="369"/>
      <c r="AL8" s="368"/>
      <c r="AM8" s="369">
        <f t="shared" ref="AM8:AM70" si="1">+AK8+AI8</f>
        <v>1138445034.8482292</v>
      </c>
    </row>
    <row r="9" spans="1:51">
      <c r="A9" s="91">
        <f t="shared" si="0"/>
        <v>5</v>
      </c>
      <c r="C9" s="80" t="s">
        <v>370</v>
      </c>
      <c r="D9" s="80"/>
      <c r="F9" s="850">
        <f>'C-2 - OPTIMAL'!F9</f>
        <v>320077800</v>
      </c>
      <c r="G9" s="369"/>
      <c r="H9" s="369"/>
      <c r="I9" s="369"/>
      <c r="J9" s="369"/>
      <c r="K9" s="368"/>
      <c r="L9" s="370">
        <f>SUM(F9:J9)</f>
        <v>320077800</v>
      </c>
      <c r="M9" s="368"/>
      <c r="N9" s="369"/>
      <c r="O9" s="369">
        <f>+N9+L9</f>
        <v>320077800</v>
      </c>
      <c r="P9" s="368"/>
      <c r="Q9" s="850">
        <f>F9</f>
        <v>320077800</v>
      </c>
      <c r="R9" s="369"/>
      <c r="S9" s="369"/>
      <c r="T9" s="369"/>
      <c r="U9" s="369"/>
      <c r="V9" s="368"/>
      <c r="W9" s="369">
        <f>SUM(Q9:U9)</f>
        <v>320077800</v>
      </c>
      <c r="X9" s="368"/>
      <c r="Y9" s="369"/>
      <c r="Z9" s="861"/>
      <c r="AA9" s="369">
        <f>W9+Y9</f>
        <v>320077800</v>
      </c>
      <c r="AB9" s="368"/>
      <c r="AC9" s="850">
        <f>Q9</f>
        <v>320077800</v>
      </c>
      <c r="AD9" s="369"/>
      <c r="AE9" s="369"/>
      <c r="AF9" s="369"/>
      <c r="AG9" s="369"/>
      <c r="AH9" s="368"/>
      <c r="AI9" s="369">
        <f>SUM(AC9:AG9)</f>
        <v>320077800</v>
      </c>
      <c r="AJ9" s="368"/>
      <c r="AK9" s="369"/>
      <c r="AL9" s="368"/>
      <c r="AM9" s="369">
        <f t="shared" si="1"/>
        <v>320077800</v>
      </c>
    </row>
    <row r="10" spans="1:51">
      <c r="A10" s="91">
        <f>IF(C10&lt;&gt;"",MAX(A8:A9)+1,"")</f>
        <v>6</v>
      </c>
      <c r="C10" s="792" t="s">
        <v>284</v>
      </c>
      <c r="D10" s="874"/>
      <c r="E10" s="2"/>
      <c r="F10" s="875">
        <f>F7+SUM(F8:F9)</f>
        <v>3935993526.722538</v>
      </c>
      <c r="G10" s="875">
        <f t="shared" ref="G10:L10" si="2">G7+SUM(G8:G9)</f>
        <v>0</v>
      </c>
      <c r="H10" s="875">
        <f t="shared" si="2"/>
        <v>0</v>
      </c>
      <c r="I10" s="875">
        <f t="shared" si="2"/>
        <v>0</v>
      </c>
      <c r="J10" s="875">
        <f t="shared" si="2"/>
        <v>0</v>
      </c>
      <c r="K10" s="875"/>
      <c r="L10" s="875">
        <f t="shared" si="2"/>
        <v>3935993526.722538</v>
      </c>
      <c r="M10" s="764"/>
      <c r="N10" s="779"/>
      <c r="O10" s="779">
        <f>+N10+L10</f>
        <v>3935993526.722538</v>
      </c>
      <c r="P10" s="791"/>
      <c r="Q10" s="875">
        <f>Q7+SUM(Q8:Q9)</f>
        <v>3837785148.0397205</v>
      </c>
      <c r="R10" s="875">
        <f t="shared" ref="R10" si="3">R7+SUM(R8:R9)</f>
        <v>0</v>
      </c>
      <c r="S10" s="875">
        <f t="shared" ref="S10" si="4">S7+SUM(S8:S9)</f>
        <v>0</v>
      </c>
      <c r="T10" s="875">
        <f t="shared" ref="T10" si="5">T7+SUM(T8:T9)</f>
        <v>0</v>
      </c>
      <c r="U10" s="875">
        <f t="shared" ref="U10" si="6">U7+SUM(U8:U9)</f>
        <v>0</v>
      </c>
      <c r="V10" s="875"/>
      <c r="W10" s="875">
        <f t="shared" ref="W10" si="7">W7+SUM(W8:W9)</f>
        <v>3837785148.0397205</v>
      </c>
      <c r="X10" s="764"/>
      <c r="Y10" s="779"/>
      <c r="Z10" s="876"/>
      <c r="AA10" s="779">
        <f>W10+Y10</f>
        <v>3837785148.0397205</v>
      </c>
      <c r="AB10" s="368"/>
      <c r="AC10" s="875">
        <f>AC7+SUM(AC8:AC9)</f>
        <v>3771154832.1913977</v>
      </c>
      <c r="AD10" s="875">
        <f t="shared" ref="AD10" si="8">AD7+SUM(AD8:AD9)</f>
        <v>0</v>
      </c>
      <c r="AE10" s="875">
        <f t="shared" ref="AE10" si="9">AE7+SUM(AE8:AE9)</f>
        <v>0</v>
      </c>
      <c r="AF10" s="875">
        <f t="shared" ref="AF10" si="10">AF7+SUM(AF8:AF9)</f>
        <v>0</v>
      </c>
      <c r="AG10" s="875">
        <f t="shared" ref="AG10" si="11">AG7+SUM(AG8:AG9)</f>
        <v>0</v>
      </c>
      <c r="AH10" s="875"/>
      <c r="AI10" s="875">
        <f t="shared" ref="AI10" si="12">AI7+SUM(AI8:AI9)</f>
        <v>3771154832.1913977</v>
      </c>
      <c r="AJ10" s="764"/>
      <c r="AK10" s="779"/>
      <c r="AL10" s="764"/>
      <c r="AM10" s="780">
        <f t="shared" si="1"/>
        <v>3771154832.1913977</v>
      </c>
    </row>
    <row r="11" spans="1:51">
      <c r="A11" s="91"/>
      <c r="C11" s="757"/>
      <c r="D11" s="757"/>
      <c r="F11" s="653"/>
      <c r="G11" s="653"/>
      <c r="H11" s="653"/>
      <c r="I11" s="653"/>
      <c r="J11" s="653"/>
      <c r="K11" s="368"/>
      <c r="L11" s="877"/>
      <c r="M11" s="368"/>
      <c r="N11" s="653"/>
      <c r="O11" s="653"/>
      <c r="P11" s="368"/>
      <c r="Q11" s="653"/>
      <c r="R11" s="653"/>
      <c r="S11" s="653"/>
      <c r="T11" s="653"/>
      <c r="U11" s="653"/>
      <c r="V11" s="368"/>
      <c r="W11" s="653"/>
      <c r="X11" s="368"/>
      <c r="Y11" s="653"/>
      <c r="Z11" s="861"/>
      <c r="AA11" s="653"/>
      <c r="AB11" s="368"/>
      <c r="AC11" s="653"/>
      <c r="AD11" s="653"/>
      <c r="AE11" s="653"/>
      <c r="AF11" s="653"/>
      <c r="AG11" s="653"/>
      <c r="AH11" s="368"/>
      <c r="AI11" s="653"/>
      <c r="AJ11" s="368"/>
      <c r="AK11" s="653"/>
      <c r="AL11" s="368"/>
      <c r="AM11" s="653"/>
    </row>
    <row r="12" spans="1:51">
      <c r="A12" s="91">
        <f>IF(C12&lt;&gt;"",MAX(A10:A11)+1,"")</f>
        <v>7</v>
      </c>
      <c r="C12" s="80" t="s">
        <v>286</v>
      </c>
      <c r="D12" s="80"/>
      <c r="F12" s="369">
        <f>'B-7'!F15</f>
        <v>56501060.585000008</v>
      </c>
      <c r="G12" s="369"/>
      <c r="H12" s="369"/>
      <c r="I12" s="369"/>
      <c r="J12" s="369"/>
      <c r="K12" s="368"/>
      <c r="L12" s="370">
        <f>SUM(F12:J12)</f>
        <v>56501060.585000008</v>
      </c>
      <c r="M12" s="368"/>
      <c r="N12" s="369"/>
      <c r="O12" s="369">
        <f>+N12+L12</f>
        <v>56501060.585000008</v>
      </c>
      <c r="P12" s="368"/>
      <c r="Q12" s="369">
        <f>'B-7'!H15</f>
        <v>56695460.585000008</v>
      </c>
      <c r="R12" s="369">
        <v>0</v>
      </c>
      <c r="S12" s="369">
        <v>0</v>
      </c>
      <c r="T12" s="369">
        <v>0</v>
      </c>
      <c r="U12" s="369">
        <v>0</v>
      </c>
      <c r="V12" s="368"/>
      <c r="W12" s="369">
        <f>SUM(Q12:U12)</f>
        <v>56695460.585000008</v>
      </c>
      <c r="X12" s="368"/>
      <c r="Y12" s="369">
        <v>0</v>
      </c>
      <c r="Z12" s="861"/>
      <c r="AA12" s="369">
        <f>W12+Y12</f>
        <v>56695460.585000008</v>
      </c>
      <c r="AB12" s="368"/>
      <c r="AC12" s="369">
        <f>'B-7'!J15</f>
        <v>56370898.120000005</v>
      </c>
      <c r="AD12" s="369"/>
      <c r="AE12" s="369"/>
      <c r="AF12" s="369"/>
      <c r="AG12" s="369"/>
      <c r="AH12" s="368"/>
      <c r="AI12" s="369"/>
      <c r="AJ12" s="368"/>
      <c r="AK12" s="369"/>
      <c r="AL12" s="368"/>
      <c r="AM12" s="369">
        <f t="shared" si="1"/>
        <v>0</v>
      </c>
    </row>
    <row r="13" spans="1:51">
      <c r="A13" s="91">
        <f>IF(C13&lt;&gt;"",MAX(A11:A12)+1,"")</f>
        <v>8</v>
      </c>
      <c r="C13" s="705" t="s">
        <v>287</v>
      </c>
      <c r="D13" s="878"/>
      <c r="E13" s="2"/>
      <c r="F13" s="779">
        <f>F10+SUM(F12:F12)</f>
        <v>3992494587.307538</v>
      </c>
      <c r="G13" s="779"/>
      <c r="H13" s="779"/>
      <c r="I13" s="779"/>
      <c r="J13" s="779"/>
      <c r="K13" s="779"/>
      <c r="L13" s="875">
        <f>L10+SUM(L12:L12)</f>
        <v>3992494587.307538</v>
      </c>
      <c r="M13" s="779"/>
      <c r="N13" s="779"/>
      <c r="O13" s="779">
        <f>+N13+L13</f>
        <v>3992494587.307538</v>
      </c>
      <c r="P13" s="791"/>
      <c r="Q13" s="779">
        <f>Q10+SUM(Q12:Q12)</f>
        <v>3894480608.6247206</v>
      </c>
      <c r="R13" s="779"/>
      <c r="S13" s="779"/>
      <c r="T13" s="779"/>
      <c r="U13" s="779"/>
      <c r="V13" s="779"/>
      <c r="W13" s="875">
        <f>W10+SUM(W12:W12)</f>
        <v>3894480608.6247206</v>
      </c>
      <c r="X13" s="779"/>
      <c r="Y13" s="779"/>
      <c r="Z13" s="875"/>
      <c r="AA13" s="779">
        <f>W13+Y13</f>
        <v>3894480608.6247206</v>
      </c>
      <c r="AB13" s="368"/>
      <c r="AC13" s="779">
        <f>AC10+SUM(AC12:AC12)</f>
        <v>3827525730.3113976</v>
      </c>
      <c r="AD13" s="779"/>
      <c r="AE13" s="779"/>
      <c r="AF13" s="779"/>
      <c r="AG13" s="779"/>
      <c r="AH13" s="779"/>
      <c r="AI13" s="875">
        <f>AI10+SUM(AI12:AI12)</f>
        <v>3771154832.1913977</v>
      </c>
      <c r="AJ13" s="779"/>
      <c r="AK13" s="779"/>
      <c r="AL13" s="779"/>
      <c r="AM13" s="779">
        <f t="shared" si="1"/>
        <v>3771154832.1913977</v>
      </c>
    </row>
    <row r="14" spans="1:51">
      <c r="A14" s="91">
        <f>IF(C14&lt;&gt;"",MAX(A12:A13)+1,"")</f>
        <v>9</v>
      </c>
      <c r="C14" s="80" t="s">
        <v>370</v>
      </c>
      <c r="D14" s="80"/>
      <c r="F14" s="850">
        <f>F9</f>
        <v>320077800</v>
      </c>
      <c r="G14" s="369"/>
      <c r="H14" s="369"/>
      <c r="I14" s="369"/>
      <c r="J14" s="369"/>
      <c r="K14" s="368"/>
      <c r="L14" s="370">
        <f>SUM(F14:J14)</f>
        <v>320077800</v>
      </c>
      <c r="M14" s="368"/>
      <c r="N14" s="369"/>
      <c r="O14" s="369">
        <f>+N14+L14</f>
        <v>320077800</v>
      </c>
      <c r="P14" s="368"/>
      <c r="Q14" s="850">
        <f>F14</f>
        <v>320077800</v>
      </c>
      <c r="R14" s="369"/>
      <c r="S14" s="369"/>
      <c r="T14" s="369"/>
      <c r="U14" s="369"/>
      <c r="V14" s="368"/>
      <c r="W14" s="370">
        <f>SUM(Q14:U14)</f>
        <v>320077800</v>
      </c>
      <c r="X14" s="368"/>
      <c r="Y14" s="369"/>
      <c r="Z14" s="861"/>
      <c r="AA14" s="369">
        <f>W14+Y14</f>
        <v>320077800</v>
      </c>
      <c r="AB14" s="368"/>
      <c r="AC14" s="850">
        <f>Q14</f>
        <v>320077800</v>
      </c>
      <c r="AD14" s="369"/>
      <c r="AE14" s="369"/>
      <c r="AF14" s="369"/>
      <c r="AG14" s="369"/>
      <c r="AH14" s="368"/>
      <c r="AI14" s="370">
        <f>SUM(AC14:AG14)</f>
        <v>320077800</v>
      </c>
      <c r="AJ14" s="368"/>
      <c r="AK14" s="369"/>
      <c r="AL14" s="368"/>
      <c r="AM14" s="369">
        <f t="shared" si="1"/>
        <v>320077800</v>
      </c>
    </row>
    <row r="15" spans="1:51">
      <c r="A15" s="77"/>
      <c r="E15" s="2"/>
      <c r="F15" s="368"/>
      <c r="G15" s="368"/>
      <c r="H15" s="368"/>
      <c r="I15" s="368"/>
      <c r="J15" s="368"/>
      <c r="K15" s="368"/>
      <c r="L15" s="861"/>
      <c r="M15" s="368"/>
      <c r="N15" s="368"/>
      <c r="O15" s="368"/>
      <c r="P15" s="791"/>
      <c r="Q15" s="368"/>
      <c r="R15" s="368"/>
      <c r="S15" s="368"/>
      <c r="T15" s="368"/>
      <c r="U15" s="368"/>
      <c r="V15" s="368"/>
      <c r="W15" s="368"/>
      <c r="X15" s="368"/>
      <c r="Y15" s="368"/>
      <c r="Z15" s="861"/>
      <c r="AA15" s="368"/>
      <c r="AB15" s="368"/>
      <c r="AC15" s="368"/>
      <c r="AD15" s="368"/>
      <c r="AE15" s="368"/>
      <c r="AF15" s="368"/>
      <c r="AG15" s="368"/>
      <c r="AH15" s="368"/>
      <c r="AI15" s="368"/>
      <c r="AJ15" s="368"/>
      <c r="AK15" s="368"/>
      <c r="AL15" s="368"/>
      <c r="AM15" s="368">
        <f t="shared" si="1"/>
        <v>0</v>
      </c>
    </row>
    <row r="16" spans="1:51">
      <c r="A16" s="91">
        <f>IF(C16&lt;&gt;"",MAX(A14:A14)+1,"")</f>
        <v>10</v>
      </c>
      <c r="C16" s="710" t="s">
        <v>290</v>
      </c>
      <c r="D16" s="879"/>
      <c r="F16" s="779">
        <f>F13-SUM(F14:F14)</f>
        <v>3672416787.307538</v>
      </c>
      <c r="G16" s="779">
        <f t="shared" ref="G16:L16" si="13">G13-SUM(G14:G14)</f>
        <v>0</v>
      </c>
      <c r="H16" s="779">
        <f t="shared" si="13"/>
        <v>0</v>
      </c>
      <c r="I16" s="779">
        <f t="shared" si="13"/>
        <v>0</v>
      </c>
      <c r="J16" s="779">
        <f t="shared" si="13"/>
        <v>0</v>
      </c>
      <c r="K16" s="779"/>
      <c r="L16" s="779">
        <f t="shared" si="13"/>
        <v>3672416787.307538</v>
      </c>
      <c r="M16" s="779"/>
      <c r="N16" s="779"/>
      <c r="O16" s="779">
        <f>+N16+L16</f>
        <v>3672416787.307538</v>
      </c>
      <c r="P16" s="368"/>
      <c r="Q16" s="779">
        <f>Q13-SUM(Q14:Q14)</f>
        <v>3574402808.6247206</v>
      </c>
      <c r="R16" s="779">
        <f t="shared" ref="R16:W16" si="14">R13-SUM(R14:R14)</f>
        <v>0</v>
      </c>
      <c r="S16" s="779">
        <f t="shared" si="14"/>
        <v>0</v>
      </c>
      <c r="T16" s="779">
        <f t="shared" si="14"/>
        <v>0</v>
      </c>
      <c r="U16" s="779">
        <f t="shared" si="14"/>
        <v>0</v>
      </c>
      <c r="V16" s="779"/>
      <c r="W16" s="779">
        <f t="shared" si="14"/>
        <v>3574402808.6247206</v>
      </c>
      <c r="X16" s="779"/>
      <c r="Y16" s="779"/>
      <c r="Z16" s="875"/>
      <c r="AA16" s="779">
        <f>W16+Y16</f>
        <v>3574402808.6247206</v>
      </c>
      <c r="AB16" s="368"/>
      <c r="AC16" s="779">
        <f>AC13-SUM(AC14:AC14)</f>
        <v>3507447930.3113976</v>
      </c>
      <c r="AD16" s="779">
        <f t="shared" ref="AD16:AI16" si="15">AD13-SUM(AD14:AD14)</f>
        <v>0</v>
      </c>
      <c r="AE16" s="779">
        <f t="shared" si="15"/>
        <v>0</v>
      </c>
      <c r="AF16" s="779">
        <f t="shared" si="15"/>
        <v>0</v>
      </c>
      <c r="AG16" s="779">
        <f t="shared" si="15"/>
        <v>0</v>
      </c>
      <c r="AH16" s="779"/>
      <c r="AI16" s="779">
        <f t="shared" si="15"/>
        <v>3451077032.1913977</v>
      </c>
      <c r="AJ16" s="779"/>
      <c r="AK16" s="779"/>
      <c r="AL16" s="779"/>
      <c r="AM16" s="780">
        <f t="shared" si="1"/>
        <v>3451077032.1913977</v>
      </c>
    </row>
    <row r="17" spans="1:39">
      <c r="A17" s="91" t="str">
        <f>IF(C17&lt;&gt;"",MAX(A14:A16)+1,"")</f>
        <v/>
      </c>
      <c r="C17" s="29"/>
      <c r="D17" s="29"/>
      <c r="E17" s="2"/>
      <c r="F17" s="653"/>
      <c r="G17" s="653"/>
      <c r="H17" s="653"/>
      <c r="I17" s="653"/>
      <c r="J17" s="653"/>
      <c r="K17" s="368"/>
      <c r="L17" s="877"/>
      <c r="M17" s="368"/>
      <c r="N17" s="653"/>
      <c r="O17" s="653"/>
      <c r="P17" s="791"/>
      <c r="Q17" s="653"/>
      <c r="R17" s="653"/>
      <c r="S17" s="653"/>
      <c r="T17" s="653"/>
      <c r="U17" s="653"/>
      <c r="V17" s="368"/>
      <c r="W17" s="653"/>
      <c r="X17" s="368"/>
      <c r="Y17" s="653"/>
      <c r="Z17" s="861"/>
      <c r="AA17" s="653"/>
      <c r="AB17" s="368"/>
      <c r="AC17" s="653"/>
      <c r="AD17" s="653"/>
      <c r="AE17" s="653"/>
      <c r="AF17" s="653"/>
      <c r="AG17" s="653"/>
      <c r="AH17" s="368"/>
      <c r="AI17" s="653"/>
      <c r="AJ17" s="368"/>
      <c r="AK17" s="653"/>
      <c r="AL17" s="368"/>
      <c r="AM17" s="653"/>
    </row>
    <row r="18" spans="1:39" ht="15.75" thickBot="1">
      <c r="A18" s="91">
        <f>IF(C18&lt;&gt;"",MAX(A16:A17)+1,"")</f>
        <v>11</v>
      </c>
      <c r="C18" s="870" t="s">
        <v>291</v>
      </c>
      <c r="D18" s="870"/>
      <c r="F18" s="871"/>
      <c r="G18" s="871"/>
      <c r="H18" s="871"/>
      <c r="I18" s="871"/>
      <c r="J18" s="871"/>
      <c r="K18" s="380"/>
      <c r="L18" s="872" t="s">
        <v>279</v>
      </c>
      <c r="M18" s="380"/>
      <c r="N18" s="871"/>
      <c r="O18" s="871"/>
      <c r="P18" s="368"/>
      <c r="Q18" s="871"/>
      <c r="R18" s="871"/>
      <c r="S18" s="871"/>
      <c r="T18" s="871"/>
      <c r="U18" s="871"/>
      <c r="V18" s="380"/>
      <c r="W18" s="871"/>
      <c r="X18" s="380"/>
      <c r="Y18" s="871"/>
      <c r="Z18" s="873"/>
      <c r="AA18" s="871"/>
      <c r="AB18" s="368"/>
      <c r="AC18" s="871"/>
      <c r="AD18" s="871"/>
      <c r="AE18" s="871"/>
      <c r="AF18" s="871"/>
      <c r="AG18" s="871"/>
      <c r="AH18" s="380"/>
      <c r="AI18" s="871"/>
      <c r="AJ18" s="380"/>
      <c r="AK18" s="871"/>
      <c r="AL18" s="380"/>
      <c r="AM18" s="871"/>
    </row>
    <row r="19" spans="1:39">
      <c r="A19" s="91"/>
      <c r="C19" s="29"/>
      <c r="D19" s="29"/>
      <c r="E19" s="2"/>
      <c r="F19" s="653"/>
      <c r="G19" s="653"/>
      <c r="H19" s="653"/>
      <c r="I19" s="653"/>
      <c r="J19" s="653"/>
      <c r="K19" s="368"/>
      <c r="L19" s="877"/>
      <c r="M19" s="368"/>
      <c r="N19" s="653"/>
      <c r="O19" s="653"/>
      <c r="P19" s="791"/>
      <c r="Q19" s="653"/>
      <c r="R19" s="653"/>
      <c r="S19" s="653"/>
      <c r="T19" s="653"/>
      <c r="U19" s="653"/>
      <c r="V19" s="368"/>
      <c r="W19" s="653"/>
      <c r="X19" s="368"/>
      <c r="Y19" s="653"/>
      <c r="Z19" s="861"/>
      <c r="AA19" s="653"/>
      <c r="AB19" s="368"/>
      <c r="AC19" s="653"/>
      <c r="AD19" s="653"/>
      <c r="AE19" s="653"/>
      <c r="AF19" s="653"/>
      <c r="AG19" s="653"/>
      <c r="AH19" s="368"/>
      <c r="AI19" s="653"/>
      <c r="AJ19" s="368"/>
      <c r="AK19" s="653"/>
      <c r="AL19" s="368"/>
      <c r="AM19" s="653"/>
    </row>
    <row r="20" spans="1:39">
      <c r="A20" s="91">
        <f>IF(C20&lt;&gt;"",MAX(A17:A18)+1,"")</f>
        <v>12</v>
      </c>
      <c r="C20" s="361" t="s">
        <v>292</v>
      </c>
      <c r="D20" s="361"/>
      <c r="F20" s="368"/>
      <c r="G20" s="368"/>
      <c r="H20" s="368"/>
      <c r="I20" s="368"/>
      <c r="J20" s="368"/>
      <c r="K20" s="368"/>
      <c r="L20" s="861"/>
      <c r="M20" s="368"/>
      <c r="N20" s="368"/>
      <c r="O20" s="368"/>
      <c r="P20" s="368"/>
      <c r="Q20" s="368"/>
      <c r="R20" s="368"/>
      <c r="S20" s="368"/>
      <c r="T20" s="368"/>
      <c r="U20" s="368"/>
      <c r="V20" s="368"/>
      <c r="W20" s="368"/>
      <c r="X20" s="368"/>
      <c r="Y20" s="368"/>
      <c r="Z20" s="861"/>
      <c r="AA20" s="368"/>
      <c r="AB20" s="368"/>
      <c r="AC20" s="368"/>
      <c r="AD20" s="368"/>
      <c r="AE20" s="368"/>
      <c r="AF20" s="368"/>
      <c r="AG20" s="368"/>
      <c r="AH20" s="368"/>
      <c r="AI20" s="368"/>
      <c r="AJ20" s="368"/>
      <c r="AK20" s="368"/>
      <c r="AL20" s="368"/>
      <c r="AM20" s="368"/>
    </row>
    <row r="21" spans="1:39">
      <c r="A21" s="91">
        <f>IF(C21&lt;&gt;"",MAX(A18:A20)+1,"")</f>
        <v>13</v>
      </c>
      <c r="C21" s="80" t="s">
        <v>293</v>
      </c>
      <c r="D21" s="80"/>
      <c r="E21" s="2"/>
      <c r="F21" s="377">
        <f>'F-6'!F191</f>
        <v>1710960028.6206896</v>
      </c>
      <c r="G21" s="369"/>
      <c r="H21" s="369"/>
      <c r="I21" s="369"/>
      <c r="J21" s="369"/>
      <c r="K21" s="368"/>
      <c r="L21" s="370">
        <f>SUM(F21:J21)</f>
        <v>1710960028.6206896</v>
      </c>
      <c r="M21" s="368"/>
      <c r="N21" s="369"/>
      <c r="O21" s="369">
        <f>+N21+L21</f>
        <v>1710960028.6206896</v>
      </c>
      <c r="P21" s="791"/>
      <c r="Q21" s="369">
        <f>'F-6'!Q180</f>
        <v>1659770337.5443616</v>
      </c>
      <c r="R21" s="369">
        <v>0</v>
      </c>
      <c r="S21" s="369">
        <v>0</v>
      </c>
      <c r="T21" s="369">
        <v>0</v>
      </c>
      <c r="U21" s="369">
        <v>0</v>
      </c>
      <c r="V21" s="368"/>
      <c r="W21" s="369">
        <f>SUM(Q21:U21)</f>
        <v>1659770337.5443616</v>
      </c>
      <c r="X21" s="368"/>
      <c r="Y21" s="369">
        <v>0</v>
      </c>
      <c r="Z21" s="861"/>
      <c r="AA21" s="369">
        <f>W21+Y21</f>
        <v>1659770337.5443616</v>
      </c>
      <c r="AB21" s="368"/>
      <c r="AC21" s="369">
        <f>'F-6'!Q181</f>
        <v>1623835232.7383296</v>
      </c>
      <c r="AD21" s="369"/>
      <c r="AE21" s="369"/>
      <c r="AF21" s="369"/>
      <c r="AG21" s="369"/>
      <c r="AH21" s="368"/>
      <c r="AI21" s="369">
        <f>SUM(AC21:AG21)</f>
        <v>1623835232.7383296</v>
      </c>
      <c r="AJ21" s="368"/>
      <c r="AK21" s="369"/>
      <c r="AL21" s="368"/>
      <c r="AM21" s="369">
        <f t="shared" si="1"/>
        <v>1623835232.7383296</v>
      </c>
    </row>
    <row r="22" spans="1:39">
      <c r="A22" s="91">
        <f>IF(C22&lt;&gt;"",MAX(A20:A21)+1,"")</f>
        <v>14</v>
      </c>
      <c r="C22" s="80" t="s">
        <v>294</v>
      </c>
      <c r="D22" s="80"/>
      <c r="F22" s="377">
        <f>'F-6'!D248</f>
        <v>575691701.22000003</v>
      </c>
      <c r="G22" s="369"/>
      <c r="H22" s="369"/>
      <c r="I22" s="369"/>
      <c r="J22" s="369"/>
      <c r="K22" s="368"/>
      <c r="L22" s="370">
        <f>SUM(F22:J22)</f>
        <v>575691701.22000003</v>
      </c>
      <c r="M22" s="368"/>
      <c r="N22" s="369"/>
      <c r="O22" s="369">
        <f>+N22+L22</f>
        <v>575691701.22000003</v>
      </c>
      <c r="P22" s="368"/>
      <c r="Q22" s="369">
        <f>'F-6'!K258</f>
        <v>558467756.85677922</v>
      </c>
      <c r="R22" s="369">
        <v>0</v>
      </c>
      <c r="S22" s="369">
        <v>0</v>
      </c>
      <c r="T22" s="369">
        <v>0</v>
      </c>
      <c r="U22" s="369">
        <v>0</v>
      </c>
      <c r="V22" s="368"/>
      <c r="W22" s="369">
        <f>SUM(Q22:U22)</f>
        <v>558467756.85677922</v>
      </c>
      <c r="X22" s="368"/>
      <c r="Y22" s="369">
        <v>0</v>
      </c>
      <c r="Z22" s="861"/>
      <c r="AA22" s="369">
        <f>W22+Y22</f>
        <v>558467756.85677922</v>
      </c>
      <c r="AB22" s="368"/>
      <c r="AC22" s="369">
        <f>'F-6'!K259</f>
        <v>546376567.54011166</v>
      </c>
      <c r="AD22" s="369"/>
      <c r="AE22" s="369"/>
      <c r="AF22" s="369"/>
      <c r="AG22" s="369"/>
      <c r="AH22" s="368"/>
      <c r="AI22" s="369">
        <f>SUM(AC22:AG22)</f>
        <v>546376567.54011166</v>
      </c>
      <c r="AJ22" s="368"/>
      <c r="AK22" s="369"/>
      <c r="AL22" s="368"/>
      <c r="AM22" s="369">
        <f t="shared" si="1"/>
        <v>546376567.54011166</v>
      </c>
    </row>
    <row r="23" spans="1:39">
      <c r="A23" s="91">
        <f t="shared" si="0"/>
        <v>15</v>
      </c>
      <c r="C23" s="80" t="s">
        <v>295</v>
      </c>
      <c r="D23" s="80"/>
      <c r="E23" s="2"/>
      <c r="F23" s="377">
        <f>'F-6'!L248</f>
        <v>150061570</v>
      </c>
      <c r="G23" s="369"/>
      <c r="H23" s="369"/>
      <c r="I23" s="369"/>
      <c r="J23" s="369"/>
      <c r="K23" s="368"/>
      <c r="L23" s="370">
        <f>SUM(F23:J23)</f>
        <v>150061570</v>
      </c>
      <c r="M23" s="368"/>
      <c r="N23" s="369"/>
      <c r="O23" s="369">
        <f>+N23+L23</f>
        <v>150061570</v>
      </c>
      <c r="P23" s="791"/>
      <c r="Q23" s="369">
        <f>'F-6'!M258</f>
        <v>145571923.67148736</v>
      </c>
      <c r="R23" s="369">
        <v>0</v>
      </c>
      <c r="S23" s="369">
        <v>0</v>
      </c>
      <c r="T23" s="369">
        <v>0</v>
      </c>
      <c r="U23" s="369">
        <v>0</v>
      </c>
      <c r="V23" s="368"/>
      <c r="W23" s="369">
        <f>SUM(Q23:U23)</f>
        <v>145571923.67148736</v>
      </c>
      <c r="X23" s="368"/>
      <c r="Y23" s="369">
        <v>0</v>
      </c>
      <c r="Z23" s="861"/>
      <c r="AA23" s="369">
        <f>W23+Y23</f>
        <v>145571923.67148736</v>
      </c>
      <c r="AB23" s="368"/>
      <c r="AC23" s="369">
        <f>'F-6'!M259</f>
        <v>142420197.06472677</v>
      </c>
      <c r="AD23" s="369"/>
      <c r="AE23" s="369"/>
      <c r="AF23" s="369"/>
      <c r="AG23" s="369"/>
      <c r="AH23" s="368"/>
      <c r="AI23" s="369">
        <f>SUM(AC23:AG23)</f>
        <v>142420197.06472677</v>
      </c>
      <c r="AJ23" s="368"/>
      <c r="AK23" s="369"/>
      <c r="AL23" s="368"/>
      <c r="AM23" s="369">
        <f t="shared" si="1"/>
        <v>142420197.06472677</v>
      </c>
    </row>
    <row r="24" spans="1:39">
      <c r="A24" s="91">
        <f t="shared" si="0"/>
        <v>16</v>
      </c>
      <c r="C24" s="792" t="s">
        <v>296</v>
      </c>
      <c r="D24" s="874"/>
      <c r="F24" s="779">
        <f>SUM(F21:F23)</f>
        <v>2436713299.8406897</v>
      </c>
      <c r="G24" s="779"/>
      <c r="H24" s="779"/>
      <c r="I24" s="779"/>
      <c r="J24" s="779"/>
      <c r="K24" s="764"/>
      <c r="L24" s="875">
        <f t="shared" ref="L24" si="16">SUM(L21:L23)</f>
        <v>2436713299.8406897</v>
      </c>
      <c r="M24" s="764"/>
      <c r="N24" s="779"/>
      <c r="O24" s="779">
        <f>+N24+L24</f>
        <v>2436713299.8406897</v>
      </c>
      <c r="P24" s="368"/>
      <c r="Q24" s="875">
        <f t="shared" ref="Q24" si="17">SUM(Q21:Q23)</f>
        <v>2363810018.072628</v>
      </c>
      <c r="R24" s="779"/>
      <c r="S24" s="779"/>
      <c r="T24" s="779"/>
      <c r="U24" s="779"/>
      <c r="V24" s="764"/>
      <c r="W24" s="875">
        <f t="shared" ref="W24" si="18">SUM(W21:W23)</f>
        <v>2363810018.072628</v>
      </c>
      <c r="X24" s="764"/>
      <c r="Y24" s="779"/>
      <c r="Z24" s="876"/>
      <c r="AA24" s="779">
        <f>W24+Y24</f>
        <v>2363810018.072628</v>
      </c>
      <c r="AB24" s="368"/>
      <c r="AC24" s="875">
        <f>SUM(AC21:AC23)</f>
        <v>2312631997.3431683</v>
      </c>
      <c r="AD24" s="779"/>
      <c r="AE24" s="779"/>
      <c r="AF24" s="779"/>
      <c r="AG24" s="779"/>
      <c r="AH24" s="875">
        <f t="shared" ref="AH24:AI24" si="19">SUM(AH21:AH23)</f>
        <v>0</v>
      </c>
      <c r="AI24" s="875">
        <f t="shared" si="19"/>
        <v>2312631997.3431683</v>
      </c>
      <c r="AJ24" s="764"/>
      <c r="AK24" s="779"/>
      <c r="AL24" s="764"/>
      <c r="AM24" s="780">
        <f t="shared" si="1"/>
        <v>2312631997.3431683</v>
      </c>
    </row>
    <row r="25" spans="1:39">
      <c r="A25" s="91" t="str">
        <f t="shared" si="0"/>
        <v/>
      </c>
      <c r="C25" s="29"/>
      <c r="D25" s="29"/>
      <c r="E25" s="2"/>
      <c r="F25" s="653"/>
      <c r="G25" s="653"/>
      <c r="H25" s="653"/>
      <c r="I25" s="653"/>
      <c r="J25" s="653"/>
      <c r="K25" s="368"/>
      <c r="L25" s="877"/>
      <c r="M25" s="368"/>
      <c r="N25" s="653"/>
      <c r="O25" s="653"/>
      <c r="P25" s="791"/>
      <c r="Q25" s="653"/>
      <c r="R25" s="653"/>
      <c r="S25" s="653"/>
      <c r="T25" s="653"/>
      <c r="U25" s="653"/>
      <c r="V25" s="368"/>
      <c r="W25" s="653"/>
      <c r="X25" s="368"/>
      <c r="Y25" s="653"/>
      <c r="Z25" s="861"/>
      <c r="AA25" s="653"/>
      <c r="AB25" s="368"/>
      <c r="AC25" s="653"/>
      <c r="AD25" s="653"/>
      <c r="AE25" s="653"/>
      <c r="AF25" s="653"/>
      <c r="AG25" s="653"/>
      <c r="AH25" s="368"/>
      <c r="AI25" s="653"/>
      <c r="AJ25" s="368"/>
      <c r="AK25" s="653"/>
      <c r="AL25" s="368"/>
      <c r="AM25" s="653"/>
    </row>
    <row r="26" spans="1:39" ht="15.75" thickBot="1">
      <c r="A26" s="91">
        <f t="shared" si="0"/>
        <v>17</v>
      </c>
      <c r="C26" s="880" t="s">
        <v>297</v>
      </c>
      <c r="D26" s="880"/>
      <c r="F26" s="871"/>
      <c r="G26" s="871"/>
      <c r="H26" s="871"/>
      <c r="I26" s="871"/>
      <c r="J26" s="871"/>
      <c r="K26" s="380"/>
      <c r="L26" s="872"/>
      <c r="M26" s="380"/>
      <c r="N26" s="871"/>
      <c r="O26" s="871"/>
      <c r="P26" s="368"/>
      <c r="Q26" s="871"/>
      <c r="R26" s="871"/>
      <c r="S26" s="871"/>
      <c r="T26" s="871"/>
      <c r="U26" s="871"/>
      <c r="V26" s="380"/>
      <c r="W26" s="871"/>
      <c r="X26" s="380"/>
      <c r="Y26" s="871"/>
      <c r="Z26" s="873"/>
      <c r="AA26" s="871"/>
      <c r="AB26" s="368"/>
      <c r="AC26" s="871"/>
      <c r="AD26" s="871"/>
      <c r="AE26" s="871"/>
      <c r="AF26" s="871"/>
      <c r="AG26" s="871"/>
      <c r="AH26" s="380"/>
      <c r="AI26" s="871"/>
      <c r="AJ26" s="380"/>
      <c r="AK26" s="871"/>
      <c r="AL26" s="380"/>
      <c r="AM26" s="871"/>
    </row>
    <row r="27" spans="1:39">
      <c r="A27" s="91"/>
      <c r="C27" s="414"/>
      <c r="D27" s="414"/>
      <c r="E27" s="2"/>
      <c r="F27" s="653"/>
      <c r="G27" s="653"/>
      <c r="H27" s="653"/>
      <c r="I27" s="653"/>
      <c r="J27" s="653"/>
      <c r="K27" s="368"/>
      <c r="L27" s="877"/>
      <c r="M27" s="368"/>
      <c r="N27" s="653"/>
      <c r="O27" s="653"/>
      <c r="P27" s="791"/>
      <c r="Q27" s="653"/>
      <c r="R27" s="653"/>
      <c r="S27" s="653"/>
      <c r="T27" s="653"/>
      <c r="U27" s="653"/>
      <c r="V27" s="368"/>
      <c r="W27" s="653"/>
      <c r="X27" s="368"/>
      <c r="Y27" s="653"/>
      <c r="Z27" s="861"/>
      <c r="AA27" s="653"/>
      <c r="AB27" s="368"/>
      <c r="AC27" s="653"/>
      <c r="AD27" s="653"/>
      <c r="AE27" s="653"/>
      <c r="AF27" s="653"/>
      <c r="AG27" s="653"/>
      <c r="AH27" s="368"/>
      <c r="AI27" s="653"/>
      <c r="AJ27" s="368"/>
      <c r="AK27" s="653"/>
      <c r="AL27" s="368"/>
      <c r="AM27" s="653"/>
    </row>
    <row r="28" spans="1:39">
      <c r="A28" s="91">
        <f>IF(C28&lt;&gt;"",MAX(A24:A26)+1,"")</f>
        <v>18</v>
      </c>
      <c r="C28" s="361" t="s">
        <v>298</v>
      </c>
      <c r="D28" s="361"/>
      <c r="F28" s="368"/>
      <c r="G28" s="368"/>
      <c r="H28" s="368"/>
      <c r="I28" s="368"/>
      <c r="J28" s="368"/>
      <c r="K28" s="368"/>
      <c r="L28" s="861"/>
      <c r="M28" s="368"/>
      <c r="N28" s="368"/>
      <c r="O28" s="368"/>
      <c r="P28" s="368"/>
      <c r="Q28" s="368"/>
      <c r="R28" s="368"/>
      <c r="S28" s="368"/>
      <c r="T28" s="368"/>
      <c r="U28" s="368"/>
      <c r="V28" s="368"/>
      <c r="W28" s="368"/>
      <c r="X28" s="368"/>
      <c r="Y28" s="368"/>
      <c r="Z28" s="861"/>
      <c r="AA28" s="368"/>
      <c r="AB28" s="368"/>
      <c r="AC28" s="368"/>
      <c r="AD28" s="368"/>
      <c r="AE28" s="368"/>
      <c r="AF28" s="368"/>
      <c r="AG28" s="368"/>
      <c r="AH28" s="368"/>
      <c r="AI28" s="368"/>
      <c r="AJ28" s="368"/>
      <c r="AK28" s="368"/>
      <c r="AL28" s="368"/>
      <c r="AM28" s="368"/>
    </row>
    <row r="29" spans="1:39">
      <c r="A29" s="91">
        <f>IF(C29&lt;&gt;"",MAX(A25:A28)+1,"")</f>
        <v>19</v>
      </c>
      <c r="C29" s="80" t="s">
        <v>299</v>
      </c>
      <c r="D29" s="80"/>
      <c r="E29" s="2"/>
      <c r="F29" s="369"/>
      <c r="G29" s="377">
        <v>52766361.928000003</v>
      </c>
      <c r="H29" s="369">
        <v>4617900</v>
      </c>
      <c r="I29" s="369">
        <v>8286600</v>
      </c>
      <c r="J29" s="377">
        <v>225358610</v>
      </c>
      <c r="K29" s="368"/>
      <c r="L29" s="370">
        <f>SUM(G29:J29)</f>
        <v>291029471.92799997</v>
      </c>
      <c r="M29" s="368"/>
      <c r="N29" s="369"/>
      <c r="O29" s="369">
        <f>+N29+L29</f>
        <v>291029471.92799997</v>
      </c>
      <c r="P29" s="791"/>
      <c r="Q29" s="369"/>
      <c r="R29" s="377">
        <v>54349352.785840005</v>
      </c>
      <c r="S29" s="369">
        <f>H29*1.05</f>
        <v>4848795</v>
      </c>
      <c r="T29" s="369">
        <f>I29*1.05</f>
        <v>8700930</v>
      </c>
      <c r="U29" s="377">
        <v>237103577</v>
      </c>
      <c r="V29" s="368"/>
      <c r="W29" s="370">
        <f>SUM(R29:U29)</f>
        <v>305002654.78584003</v>
      </c>
      <c r="X29" s="368"/>
      <c r="Y29" s="369"/>
      <c r="Z29" s="861"/>
      <c r="AA29" s="369">
        <f>W29+Y29</f>
        <v>305002654.78584003</v>
      </c>
      <c r="AB29" s="368"/>
      <c r="AC29" s="369"/>
      <c r="AD29" s="377">
        <v>55979833.369415201</v>
      </c>
      <c r="AE29" s="369">
        <f>S29*1.05</f>
        <v>5091234.75</v>
      </c>
      <c r="AF29" s="369">
        <f>T29*1.05</f>
        <v>9135976.5</v>
      </c>
      <c r="AG29" s="377">
        <v>250146118</v>
      </c>
      <c r="AH29" s="368"/>
      <c r="AI29" s="370">
        <f>SUM(AD29:AG29)</f>
        <v>320353162.61941516</v>
      </c>
      <c r="AJ29" s="368"/>
      <c r="AK29" s="369"/>
      <c r="AL29" s="368"/>
      <c r="AM29" s="369">
        <f t="shared" si="1"/>
        <v>320353162.61941516</v>
      </c>
    </row>
    <row r="30" spans="1:39">
      <c r="A30" s="91">
        <f>IF(C30&lt;&gt;"",MAX(A26:A29)+1,"")</f>
        <v>20</v>
      </c>
      <c r="C30" s="80" t="s">
        <v>300</v>
      </c>
      <c r="D30" s="80"/>
      <c r="F30" s="369"/>
      <c r="G30" s="377">
        <v>19245664.535999998</v>
      </c>
      <c r="H30" s="369"/>
      <c r="I30" s="369"/>
      <c r="J30" s="377">
        <v>100003083</v>
      </c>
      <c r="K30" s="368"/>
      <c r="L30" s="370">
        <f>SUM(G30:J30)</f>
        <v>119248747.536</v>
      </c>
      <c r="M30" s="368"/>
      <c r="N30" s="369"/>
      <c r="O30" s="369">
        <f>+N30+L30</f>
        <v>119248747.536</v>
      </c>
      <c r="P30" s="368"/>
      <c r="Q30" s="369"/>
      <c r="R30" s="377">
        <v>19823034.47208</v>
      </c>
      <c r="S30" s="369"/>
      <c r="T30" s="369"/>
      <c r="U30" s="377">
        <v>105214923</v>
      </c>
      <c r="V30" s="368"/>
      <c r="W30" s="370">
        <f>SUM(R30:U30)</f>
        <v>125037957.47207999</v>
      </c>
      <c r="X30" s="368"/>
      <c r="Y30" s="369"/>
      <c r="Z30" s="861"/>
      <c r="AA30" s="369">
        <f>W30+Y30</f>
        <v>125037957.47207999</v>
      </c>
      <c r="AB30" s="368"/>
      <c r="AC30" s="369"/>
      <c r="AD30" s="377">
        <v>20417725.506242398</v>
      </c>
      <c r="AE30" s="369"/>
      <c r="AF30" s="369"/>
      <c r="AG30" s="377">
        <v>111002562</v>
      </c>
      <c r="AH30" s="368"/>
      <c r="AI30" s="370">
        <f>SUM(AD30:AG30)</f>
        <v>131420287.50624239</v>
      </c>
      <c r="AJ30" s="368"/>
      <c r="AK30" s="369"/>
      <c r="AL30" s="368"/>
      <c r="AM30" s="369">
        <f t="shared" si="1"/>
        <v>131420287.50624239</v>
      </c>
    </row>
    <row r="31" spans="1:39">
      <c r="A31" s="91">
        <f t="shared" si="0"/>
        <v>21</v>
      </c>
      <c r="C31" s="80" t="s">
        <v>301</v>
      </c>
      <c r="D31" s="80"/>
      <c r="E31" s="2"/>
      <c r="F31" s="369"/>
      <c r="G31" s="377">
        <v>5654093.5360000003</v>
      </c>
      <c r="H31" s="369"/>
      <c r="I31" s="369"/>
      <c r="J31" s="377">
        <v>22102422</v>
      </c>
      <c r="K31" s="368"/>
      <c r="L31" s="370">
        <f>SUM(G31:J31)</f>
        <v>27756515.535999998</v>
      </c>
      <c r="M31" s="368"/>
      <c r="N31" s="369"/>
      <c r="O31" s="369">
        <f>+N31+L31</f>
        <v>27756515.535999998</v>
      </c>
      <c r="P31" s="791"/>
      <c r="Q31" s="369"/>
      <c r="R31" s="377">
        <v>5823716.3420800008</v>
      </c>
      <c r="S31" s="369"/>
      <c r="T31" s="369"/>
      <c r="U31" s="377">
        <v>23254329</v>
      </c>
      <c r="V31" s="368"/>
      <c r="W31" s="370">
        <f>SUM(R31:U31)</f>
        <v>29078045.342080001</v>
      </c>
      <c r="X31" s="368"/>
      <c r="Y31" s="369"/>
      <c r="Z31" s="861"/>
      <c r="AA31" s="369">
        <f>W31+Y31</f>
        <v>29078045.342080001</v>
      </c>
      <c r="AB31" s="368"/>
      <c r="AC31" s="369"/>
      <c r="AD31" s="377">
        <v>5998427.8323424011</v>
      </c>
      <c r="AE31" s="369"/>
      <c r="AF31" s="369"/>
      <c r="AG31" s="377">
        <v>24533498</v>
      </c>
      <c r="AH31" s="368"/>
      <c r="AI31" s="370">
        <f>SUM(AD31:AG31)</f>
        <v>30531925.832342401</v>
      </c>
      <c r="AJ31" s="368"/>
      <c r="AK31" s="369"/>
      <c r="AL31" s="368"/>
      <c r="AM31" s="369">
        <f t="shared" si="1"/>
        <v>30531925.832342401</v>
      </c>
    </row>
    <row r="32" spans="1:39">
      <c r="A32" s="91">
        <f t="shared" si="0"/>
        <v>22</v>
      </c>
      <c r="C32" s="80" t="s">
        <v>302</v>
      </c>
      <c r="D32" s="80"/>
      <c r="F32" s="369"/>
      <c r="G32" s="369"/>
      <c r="H32" s="369"/>
      <c r="I32" s="369"/>
      <c r="J32" s="369"/>
      <c r="K32" s="368"/>
      <c r="L32" s="370">
        <f>SUM(F32:J32)</f>
        <v>0</v>
      </c>
      <c r="M32" s="368"/>
      <c r="N32" s="369"/>
      <c r="O32" s="369"/>
      <c r="P32" s="368"/>
      <c r="Q32" s="369"/>
      <c r="R32" s="369"/>
      <c r="S32" s="369"/>
      <c r="T32" s="369"/>
      <c r="U32" s="369"/>
      <c r="V32" s="368"/>
      <c r="W32" s="370">
        <f>SUM(Q32:U32)</f>
        <v>0</v>
      </c>
      <c r="X32" s="368"/>
      <c r="Y32" s="369"/>
      <c r="Z32" s="861"/>
      <c r="AA32" s="369">
        <f>W32+Y32</f>
        <v>0</v>
      </c>
      <c r="AB32" s="368"/>
      <c r="AC32" s="369"/>
      <c r="AD32" s="369"/>
      <c r="AE32" s="369"/>
      <c r="AF32" s="369"/>
      <c r="AG32" s="369"/>
      <c r="AH32" s="368"/>
      <c r="AI32" s="370">
        <f>SUM(AC32:AG32)</f>
        <v>0</v>
      </c>
      <c r="AJ32" s="368"/>
      <c r="AK32" s="369"/>
      <c r="AL32" s="368"/>
      <c r="AM32" s="369">
        <f t="shared" si="1"/>
        <v>0</v>
      </c>
    </row>
    <row r="33" spans="1:39">
      <c r="A33" s="91">
        <f t="shared" si="0"/>
        <v>23</v>
      </c>
      <c r="C33" s="792" t="s">
        <v>303</v>
      </c>
      <c r="D33" s="874"/>
      <c r="E33" s="2"/>
      <c r="F33" s="779"/>
      <c r="G33" s="779">
        <f>SUM(G29:G32)</f>
        <v>77666120</v>
      </c>
      <c r="H33" s="779">
        <f>SUM(H29:H32)</f>
        <v>4617900</v>
      </c>
      <c r="I33" s="779">
        <f>SUM(I29:I32)</f>
        <v>8286600</v>
      </c>
      <c r="J33" s="779">
        <f>SUM(J29:J32)</f>
        <v>347464115</v>
      </c>
      <c r="K33" s="764"/>
      <c r="L33" s="875">
        <f t="shared" ref="L33" si="20">SUM(L29:L32)</f>
        <v>438034735</v>
      </c>
      <c r="M33" s="764"/>
      <c r="N33" s="779"/>
      <c r="O33" s="779">
        <f>+N33+L33</f>
        <v>438034735</v>
      </c>
      <c r="P33" s="791"/>
      <c r="Q33" s="779"/>
      <c r="R33" s="779">
        <f>SUM(R29:R32)</f>
        <v>79996103.599999994</v>
      </c>
      <c r="S33" s="779">
        <f>SUM(S29:S32)</f>
        <v>4848795</v>
      </c>
      <c r="T33" s="779">
        <f>SUM(T29:T32)</f>
        <v>8700930</v>
      </c>
      <c r="U33" s="779">
        <f>SUM(U29:U32)</f>
        <v>365572829</v>
      </c>
      <c r="V33" s="764"/>
      <c r="W33" s="875">
        <f t="shared" ref="W33" si="21">SUM(W29:W32)</f>
        <v>459118657.60000002</v>
      </c>
      <c r="X33" s="764"/>
      <c r="Y33" s="779"/>
      <c r="Z33" s="876"/>
      <c r="AA33" s="779">
        <f>W33+Y33</f>
        <v>459118657.60000002</v>
      </c>
      <c r="AB33" s="368"/>
      <c r="AC33" s="779"/>
      <c r="AD33" s="779">
        <f>SUM(AD29:AD32)</f>
        <v>82395986.708000004</v>
      </c>
      <c r="AE33" s="779">
        <f>SUM(AE29:AE32)</f>
        <v>5091234.75</v>
      </c>
      <c r="AF33" s="779">
        <f>SUM(AF29:AF32)</f>
        <v>9135976.5</v>
      </c>
      <c r="AG33" s="779">
        <f>SUM(AG29:AG32)</f>
        <v>385682178</v>
      </c>
      <c r="AH33" s="764"/>
      <c r="AI33" s="875">
        <f t="shared" ref="AI33" si="22">SUM(AI29:AI32)</f>
        <v>482305375.95799994</v>
      </c>
      <c r="AJ33" s="764"/>
      <c r="AK33" s="779"/>
      <c r="AL33" s="764"/>
      <c r="AM33" s="780">
        <f t="shared" si="1"/>
        <v>482305375.95799994</v>
      </c>
    </row>
    <row r="34" spans="1:39">
      <c r="A34" s="91">
        <f t="shared" si="0"/>
        <v>24</v>
      </c>
      <c r="C34" s="361" t="s">
        <v>279</v>
      </c>
      <c r="D34" s="361"/>
      <c r="F34" s="653"/>
      <c r="G34" s="653"/>
      <c r="H34" s="653"/>
      <c r="I34" s="653"/>
      <c r="J34" s="653"/>
      <c r="K34" s="368"/>
      <c r="L34" s="877" t="s">
        <v>279</v>
      </c>
      <c r="M34" s="368"/>
      <c r="N34" s="653"/>
      <c r="O34" s="653"/>
      <c r="P34" s="368"/>
      <c r="Q34" s="653"/>
      <c r="R34" s="653"/>
      <c r="S34" s="653"/>
      <c r="T34" s="653"/>
      <c r="U34" s="653"/>
      <c r="V34" s="368"/>
      <c r="W34" s="653"/>
      <c r="X34" s="368"/>
      <c r="Y34" s="653"/>
      <c r="Z34" s="861"/>
      <c r="AA34" s="653"/>
      <c r="AB34" s="368"/>
      <c r="AC34" s="653"/>
      <c r="AD34" s="653"/>
      <c r="AE34" s="653"/>
      <c r="AF34" s="653"/>
      <c r="AG34" s="653"/>
      <c r="AH34" s="368"/>
      <c r="AI34" s="653"/>
      <c r="AJ34" s="368"/>
      <c r="AK34" s="653"/>
      <c r="AL34" s="368"/>
      <c r="AM34" s="653"/>
    </row>
    <row r="35" spans="1:39">
      <c r="A35" s="91">
        <f t="shared" si="0"/>
        <v>25</v>
      </c>
      <c r="C35" s="361" t="s">
        <v>304</v>
      </c>
      <c r="D35" s="361"/>
      <c r="E35" s="2"/>
      <c r="F35" s="368"/>
      <c r="G35" s="368"/>
      <c r="H35" s="368"/>
      <c r="I35" s="368"/>
      <c r="J35" s="368"/>
      <c r="K35" s="368"/>
      <c r="L35" s="861"/>
      <c r="M35" s="368"/>
      <c r="N35" s="368"/>
      <c r="O35" s="368"/>
      <c r="P35" s="791"/>
      <c r="Q35" s="368"/>
      <c r="R35" s="368"/>
      <c r="S35" s="368"/>
      <c r="T35" s="368"/>
      <c r="U35" s="368"/>
      <c r="V35" s="368"/>
      <c r="W35" s="368"/>
      <c r="X35" s="368"/>
      <c r="Y35" s="368"/>
      <c r="Z35" s="861"/>
      <c r="AA35" s="368"/>
      <c r="AB35" s="368"/>
      <c r="AC35" s="368"/>
      <c r="AD35" s="368"/>
      <c r="AE35" s="368"/>
      <c r="AF35" s="368"/>
      <c r="AG35" s="368"/>
      <c r="AH35" s="368"/>
      <c r="AI35" s="368"/>
      <c r="AJ35" s="368"/>
      <c r="AK35" s="368"/>
      <c r="AL35" s="368"/>
      <c r="AM35" s="368"/>
    </row>
    <row r="36" spans="1:39">
      <c r="A36" s="91">
        <f t="shared" si="0"/>
        <v>26</v>
      </c>
      <c r="C36" s="80" t="s">
        <v>305</v>
      </c>
      <c r="D36" s="80"/>
      <c r="F36" s="369"/>
      <c r="G36" s="377">
        <v>30948377.897999998</v>
      </c>
      <c r="H36" s="369"/>
      <c r="I36" s="369"/>
      <c r="J36" s="377">
        <v>35410614</v>
      </c>
      <c r="K36" s="368"/>
      <c r="L36" s="370">
        <f t="shared" ref="L36:L55" si="23">SUM(F36:J36)</f>
        <v>66358991.898000002</v>
      </c>
      <c r="M36" s="368"/>
      <c r="N36" s="369"/>
      <c r="O36" s="369">
        <f t="shared" ref="O36:O56" si="24">+N36+L36</f>
        <v>66358991.898000002</v>
      </c>
      <c r="P36" s="368"/>
      <c r="Q36" s="369"/>
      <c r="R36" s="377">
        <v>23122938.640000001</v>
      </c>
      <c r="S36" s="369"/>
      <c r="T36" s="369"/>
      <c r="U36" s="377">
        <v>37373165</v>
      </c>
      <c r="V36" s="368"/>
      <c r="W36" s="370">
        <f t="shared" ref="W36:W55" si="25">SUM(Q36:U36)</f>
        <v>60496103.640000001</v>
      </c>
      <c r="X36" s="368"/>
      <c r="Y36" s="369"/>
      <c r="Z36" s="861"/>
      <c r="AA36" s="369">
        <f t="shared" ref="AA36:AA56" si="26">W36+Y36</f>
        <v>60496103.640000001</v>
      </c>
      <c r="AB36" s="368"/>
      <c r="AC36" s="369"/>
      <c r="AD36" s="377">
        <v>23341338.562249999</v>
      </c>
      <c r="AE36" s="369"/>
      <c r="AF36" s="369"/>
      <c r="AG36" s="377">
        <v>39237621</v>
      </c>
      <c r="AH36" s="368"/>
      <c r="AI36" s="370">
        <f t="shared" ref="AI36:AI55" si="27">SUM(AC36:AG36)</f>
        <v>62578959.562250003</v>
      </c>
      <c r="AJ36" s="368"/>
      <c r="AK36" s="369"/>
      <c r="AL36" s="368"/>
      <c r="AM36" s="369">
        <f t="shared" si="1"/>
        <v>62578959.562250003</v>
      </c>
    </row>
    <row r="37" spans="1:39">
      <c r="A37" s="91">
        <f t="shared" si="0"/>
        <v>27</v>
      </c>
      <c r="C37" s="80" t="s">
        <v>306</v>
      </c>
      <c r="D37" s="80"/>
      <c r="E37" s="2"/>
      <c r="F37" s="369"/>
      <c r="G37" s="377">
        <v>2177902</v>
      </c>
      <c r="H37" s="369"/>
      <c r="I37" s="369"/>
      <c r="J37" s="377">
        <v>17379994</v>
      </c>
      <c r="K37" s="368"/>
      <c r="L37" s="370">
        <f t="shared" si="23"/>
        <v>19557896</v>
      </c>
      <c r="M37" s="368"/>
      <c r="N37" s="369"/>
      <c r="O37" s="369">
        <f t="shared" si="24"/>
        <v>19557896</v>
      </c>
      <c r="P37" s="791"/>
      <c r="Q37" s="369"/>
      <c r="R37" s="377">
        <v>2208502</v>
      </c>
      <c r="S37" s="369"/>
      <c r="T37" s="369"/>
      <c r="U37" s="377">
        <v>18245714</v>
      </c>
      <c r="V37" s="368"/>
      <c r="W37" s="370">
        <f t="shared" si="25"/>
        <v>20454216</v>
      </c>
      <c r="X37" s="368"/>
      <c r="Y37" s="369"/>
      <c r="Z37" s="861"/>
      <c r="AA37" s="369">
        <f t="shared" si="26"/>
        <v>20454216</v>
      </c>
      <c r="AB37" s="368"/>
      <c r="AC37" s="369"/>
      <c r="AD37" s="377">
        <v>2240854</v>
      </c>
      <c r="AE37" s="369"/>
      <c r="AF37" s="369"/>
      <c r="AG37" s="377">
        <v>18346518</v>
      </c>
      <c r="AH37" s="368"/>
      <c r="AI37" s="370">
        <f t="shared" si="27"/>
        <v>20587372</v>
      </c>
      <c r="AJ37" s="368"/>
      <c r="AK37" s="369"/>
      <c r="AL37" s="368"/>
      <c r="AM37" s="369">
        <f t="shared" si="1"/>
        <v>20587372</v>
      </c>
    </row>
    <row r="38" spans="1:39">
      <c r="A38" s="91">
        <f t="shared" si="0"/>
        <v>28</v>
      </c>
      <c r="C38" s="80" t="s">
        <v>307</v>
      </c>
      <c r="D38" s="80"/>
      <c r="F38" s="369"/>
      <c r="G38" s="377">
        <v>49900000</v>
      </c>
      <c r="H38" s="369"/>
      <c r="I38" s="369"/>
      <c r="J38" s="377">
        <v>18093442</v>
      </c>
      <c r="K38" s="368"/>
      <c r="L38" s="370">
        <f t="shared" si="23"/>
        <v>67993442</v>
      </c>
      <c r="M38" s="368"/>
      <c r="N38" s="369"/>
      <c r="O38" s="369">
        <f t="shared" si="24"/>
        <v>67993442</v>
      </c>
      <c r="P38" s="368"/>
      <c r="Q38" s="369"/>
      <c r="R38" s="377">
        <v>55150000</v>
      </c>
      <c r="S38" s="369"/>
      <c r="T38" s="369"/>
      <c r="U38" s="377">
        <v>18998114</v>
      </c>
      <c r="V38" s="368"/>
      <c r="W38" s="370">
        <f t="shared" si="25"/>
        <v>74148114</v>
      </c>
      <c r="X38" s="368"/>
      <c r="Y38" s="369"/>
      <c r="Z38" s="861"/>
      <c r="AA38" s="369">
        <f t="shared" si="26"/>
        <v>74148114</v>
      </c>
      <c r="AB38" s="368"/>
      <c r="AC38" s="369"/>
      <c r="AD38" s="377">
        <v>55400000</v>
      </c>
      <c r="AE38" s="369"/>
      <c r="AF38" s="369"/>
      <c r="AG38" s="377">
        <v>19948020</v>
      </c>
      <c r="AH38" s="368"/>
      <c r="AI38" s="370">
        <f t="shared" si="27"/>
        <v>75348020</v>
      </c>
      <c r="AJ38" s="368"/>
      <c r="AK38" s="369"/>
      <c r="AL38" s="368"/>
      <c r="AM38" s="369">
        <f t="shared" si="1"/>
        <v>75348020</v>
      </c>
    </row>
    <row r="39" spans="1:39">
      <c r="A39" s="91">
        <f t="shared" si="0"/>
        <v>29</v>
      </c>
      <c r="C39" s="80" t="s">
        <v>308</v>
      </c>
      <c r="D39" s="80"/>
      <c r="E39" s="2"/>
      <c r="F39" s="369"/>
      <c r="G39" s="377">
        <v>0</v>
      </c>
      <c r="H39" s="369"/>
      <c r="I39" s="369"/>
      <c r="J39" s="377">
        <v>0</v>
      </c>
      <c r="K39" s="368"/>
      <c r="L39" s="370">
        <f t="shared" si="23"/>
        <v>0</v>
      </c>
      <c r="M39" s="368"/>
      <c r="N39" s="369"/>
      <c r="O39" s="369">
        <f t="shared" si="24"/>
        <v>0</v>
      </c>
      <c r="P39" s="791"/>
      <c r="Q39" s="369"/>
      <c r="R39" s="377">
        <v>0</v>
      </c>
      <c r="S39" s="369"/>
      <c r="T39" s="369"/>
      <c r="U39" s="377">
        <v>0</v>
      </c>
      <c r="V39" s="368"/>
      <c r="W39" s="370">
        <f t="shared" si="25"/>
        <v>0</v>
      </c>
      <c r="X39" s="368"/>
      <c r="Y39" s="369"/>
      <c r="Z39" s="861"/>
      <c r="AA39" s="369">
        <f t="shared" si="26"/>
        <v>0</v>
      </c>
      <c r="AB39" s="368"/>
      <c r="AC39" s="369"/>
      <c r="AD39" s="377">
        <v>0</v>
      </c>
      <c r="AE39" s="369"/>
      <c r="AF39" s="369"/>
      <c r="AG39" s="377">
        <v>0</v>
      </c>
      <c r="AH39" s="368"/>
      <c r="AI39" s="370">
        <f t="shared" si="27"/>
        <v>0</v>
      </c>
      <c r="AJ39" s="368"/>
      <c r="AK39" s="369"/>
      <c r="AL39" s="368"/>
      <c r="AM39" s="369">
        <f t="shared" si="1"/>
        <v>0</v>
      </c>
    </row>
    <row r="40" spans="1:39">
      <c r="A40" s="91">
        <f t="shared" si="0"/>
        <v>30</v>
      </c>
      <c r="C40" s="80" t="s">
        <v>309</v>
      </c>
      <c r="D40" s="80"/>
      <c r="F40" s="369"/>
      <c r="G40" s="377">
        <v>7126875</v>
      </c>
      <c r="H40" s="369"/>
      <c r="I40" s="369"/>
      <c r="J40" s="377">
        <v>7480496</v>
      </c>
      <c r="K40" s="368"/>
      <c r="L40" s="370">
        <f t="shared" si="23"/>
        <v>14607371</v>
      </c>
      <c r="M40" s="368"/>
      <c r="N40" s="369"/>
      <c r="O40" s="369">
        <f t="shared" si="24"/>
        <v>14607371</v>
      </c>
      <c r="P40" s="368"/>
      <c r="Q40" s="369"/>
      <c r="R40" s="377">
        <v>7483218.75</v>
      </c>
      <c r="S40" s="369"/>
      <c r="T40" s="369"/>
      <c r="U40" s="377">
        <v>7854521</v>
      </c>
      <c r="V40" s="368"/>
      <c r="W40" s="370">
        <f t="shared" si="25"/>
        <v>15337739.75</v>
      </c>
      <c r="X40" s="368"/>
      <c r="Y40" s="369"/>
      <c r="Z40" s="861"/>
      <c r="AA40" s="369">
        <f t="shared" si="26"/>
        <v>15337739.75</v>
      </c>
      <c r="AB40" s="368"/>
      <c r="AC40" s="369"/>
      <c r="AD40" s="377">
        <v>7857379.4375</v>
      </c>
      <c r="AE40" s="369"/>
      <c r="AF40" s="369"/>
      <c r="AG40" s="377">
        <v>8247247</v>
      </c>
      <c r="AH40" s="368"/>
      <c r="AI40" s="370">
        <f t="shared" si="27"/>
        <v>16104626.4375</v>
      </c>
      <c r="AJ40" s="368"/>
      <c r="AK40" s="369"/>
      <c r="AL40" s="368"/>
      <c r="AM40" s="369">
        <f t="shared" si="1"/>
        <v>16104626.4375</v>
      </c>
    </row>
    <row r="41" spans="1:39">
      <c r="A41" s="91">
        <f t="shared" si="0"/>
        <v>31</v>
      </c>
      <c r="C41" s="80" t="s">
        <v>310</v>
      </c>
      <c r="D41" s="80"/>
      <c r="E41" s="2"/>
      <c r="F41" s="369"/>
      <c r="G41" s="377">
        <v>8529500</v>
      </c>
      <c r="H41" s="369"/>
      <c r="I41" s="369"/>
      <c r="J41" s="377">
        <v>48696416</v>
      </c>
      <c r="K41" s="368"/>
      <c r="L41" s="370">
        <f t="shared" si="23"/>
        <v>57225916</v>
      </c>
      <c r="M41" s="368"/>
      <c r="N41" s="369"/>
      <c r="O41" s="369">
        <f t="shared" si="24"/>
        <v>57225916</v>
      </c>
      <c r="P41" s="791"/>
      <c r="Q41" s="369"/>
      <c r="R41" s="377">
        <v>9020975</v>
      </c>
      <c r="S41" s="369"/>
      <c r="T41" s="369"/>
      <c r="U41" s="377">
        <v>79764763</v>
      </c>
      <c r="V41" s="368"/>
      <c r="W41" s="370">
        <f t="shared" si="25"/>
        <v>88785738</v>
      </c>
      <c r="X41" s="368"/>
      <c r="Y41" s="369"/>
      <c r="Z41" s="861"/>
      <c r="AA41" s="369">
        <f t="shared" si="26"/>
        <v>88785738</v>
      </c>
      <c r="AB41" s="368"/>
      <c r="AC41" s="369"/>
      <c r="AD41" s="377">
        <v>9551588.75</v>
      </c>
      <c r="AE41" s="369"/>
      <c r="AF41" s="369"/>
      <c r="AG41" s="377">
        <v>97670758</v>
      </c>
      <c r="AH41" s="368"/>
      <c r="AI41" s="370">
        <f t="shared" si="27"/>
        <v>107222346.75</v>
      </c>
      <c r="AJ41" s="368"/>
      <c r="AK41" s="369"/>
      <c r="AL41" s="368"/>
      <c r="AM41" s="369">
        <f t="shared" si="1"/>
        <v>107222346.75</v>
      </c>
    </row>
    <row r="42" spans="1:39">
      <c r="A42" s="91">
        <f t="shared" si="0"/>
        <v>32</v>
      </c>
      <c r="C42" s="80" t="s">
        <v>311</v>
      </c>
      <c r="D42" s="80"/>
      <c r="F42" s="369"/>
      <c r="G42" s="377">
        <v>0</v>
      </c>
      <c r="H42" s="369"/>
      <c r="I42" s="369"/>
      <c r="J42" s="377">
        <v>2050000</v>
      </c>
      <c r="K42" s="368"/>
      <c r="L42" s="370">
        <f t="shared" si="23"/>
        <v>2050000</v>
      </c>
      <c r="M42" s="368"/>
      <c r="N42" s="369"/>
      <c r="O42" s="369">
        <f t="shared" si="24"/>
        <v>2050000</v>
      </c>
      <c r="P42" s="368"/>
      <c r="Q42" s="369"/>
      <c r="R42" s="377">
        <v>0</v>
      </c>
      <c r="S42" s="369"/>
      <c r="T42" s="369"/>
      <c r="U42" s="377">
        <v>2152500</v>
      </c>
      <c r="V42" s="368"/>
      <c r="W42" s="370">
        <f t="shared" si="25"/>
        <v>2152500</v>
      </c>
      <c r="X42" s="368"/>
      <c r="Y42" s="369"/>
      <c r="Z42" s="861"/>
      <c r="AA42" s="369">
        <f t="shared" si="26"/>
        <v>2152500</v>
      </c>
      <c r="AB42" s="368"/>
      <c r="AC42" s="369"/>
      <c r="AD42" s="377">
        <v>0</v>
      </c>
      <c r="AE42" s="369"/>
      <c r="AF42" s="369"/>
      <c r="AG42" s="377">
        <v>2260125</v>
      </c>
      <c r="AH42" s="368"/>
      <c r="AI42" s="370">
        <f t="shared" si="27"/>
        <v>2260125</v>
      </c>
      <c r="AJ42" s="368"/>
      <c r="AK42" s="369"/>
      <c r="AL42" s="368"/>
      <c r="AM42" s="369">
        <f t="shared" si="1"/>
        <v>2260125</v>
      </c>
    </row>
    <row r="43" spans="1:39">
      <c r="A43" s="91">
        <f t="shared" si="0"/>
        <v>33</v>
      </c>
      <c r="C43" s="80" t="s">
        <v>312</v>
      </c>
      <c r="D43" s="80"/>
      <c r="E43" s="2"/>
      <c r="F43" s="369"/>
      <c r="G43" s="377">
        <v>18872294</v>
      </c>
      <c r="H43" s="369"/>
      <c r="I43" s="369"/>
      <c r="J43" s="377">
        <v>19104050</v>
      </c>
      <c r="K43" s="368"/>
      <c r="L43" s="370">
        <f t="shared" si="23"/>
        <v>37976344</v>
      </c>
      <c r="M43" s="368"/>
      <c r="N43" s="369"/>
      <c r="O43" s="369">
        <f t="shared" si="24"/>
        <v>37976344</v>
      </c>
      <c r="P43" s="791"/>
      <c r="Q43" s="369"/>
      <c r="R43" s="377">
        <v>18893168.879999999</v>
      </c>
      <c r="S43" s="369"/>
      <c r="T43" s="369"/>
      <c r="U43" s="377">
        <v>20055652</v>
      </c>
      <c r="V43" s="368"/>
      <c r="W43" s="370">
        <f t="shared" si="25"/>
        <v>38948820.879999995</v>
      </c>
      <c r="X43" s="368"/>
      <c r="Y43" s="369"/>
      <c r="Z43" s="861"/>
      <c r="AA43" s="369">
        <f t="shared" si="26"/>
        <v>38948820.879999995</v>
      </c>
      <c r="AB43" s="368"/>
      <c r="AC43" s="369"/>
      <c r="AD43" s="377">
        <v>18914519.440000001</v>
      </c>
      <c r="AE43" s="369"/>
      <c r="AF43" s="369"/>
      <c r="AG43" s="377">
        <v>21054835</v>
      </c>
      <c r="AH43" s="368"/>
      <c r="AI43" s="370">
        <f t="shared" si="27"/>
        <v>39969354.439999998</v>
      </c>
      <c r="AJ43" s="368"/>
      <c r="AK43" s="369"/>
      <c r="AL43" s="368"/>
      <c r="AM43" s="369">
        <f t="shared" si="1"/>
        <v>39969354.439999998</v>
      </c>
    </row>
    <row r="44" spans="1:39">
      <c r="A44" s="91">
        <f t="shared" si="0"/>
        <v>34</v>
      </c>
      <c r="C44" s="80" t="s">
        <v>313</v>
      </c>
      <c r="D44" s="80"/>
      <c r="F44" s="369"/>
      <c r="G44" s="377">
        <v>2250000</v>
      </c>
      <c r="H44" s="369"/>
      <c r="I44" s="369"/>
      <c r="J44" s="377">
        <v>15551324</v>
      </c>
      <c r="K44" s="368"/>
      <c r="L44" s="370">
        <f t="shared" si="23"/>
        <v>17801324</v>
      </c>
      <c r="M44" s="368"/>
      <c r="N44" s="369"/>
      <c r="O44" s="369">
        <f t="shared" si="24"/>
        <v>17801324</v>
      </c>
      <c r="P44" s="368"/>
      <c r="Q44" s="369"/>
      <c r="R44" s="377">
        <v>2250000</v>
      </c>
      <c r="S44" s="369"/>
      <c r="T44" s="369"/>
      <c r="U44" s="377">
        <v>16328890</v>
      </c>
      <c r="V44" s="368"/>
      <c r="W44" s="370">
        <f t="shared" si="25"/>
        <v>18578890</v>
      </c>
      <c r="X44" s="368"/>
      <c r="Y44" s="369"/>
      <c r="Z44" s="861"/>
      <c r="AA44" s="369">
        <f t="shared" si="26"/>
        <v>18578890</v>
      </c>
      <c r="AB44" s="368"/>
      <c r="AC44" s="369"/>
      <c r="AD44" s="377">
        <v>2250000</v>
      </c>
      <c r="AE44" s="369"/>
      <c r="AF44" s="369"/>
      <c r="AG44" s="377">
        <v>17542835</v>
      </c>
      <c r="AH44" s="368"/>
      <c r="AI44" s="370">
        <f t="shared" si="27"/>
        <v>19792835</v>
      </c>
      <c r="AJ44" s="368"/>
      <c r="AK44" s="369"/>
      <c r="AL44" s="368"/>
      <c r="AM44" s="369">
        <f t="shared" si="1"/>
        <v>19792835</v>
      </c>
    </row>
    <row r="45" spans="1:39">
      <c r="A45" s="91">
        <f t="shared" si="0"/>
        <v>35</v>
      </c>
      <c r="C45" s="80" t="s">
        <v>314</v>
      </c>
      <c r="D45" s="80"/>
      <c r="E45" s="2"/>
      <c r="F45" s="369"/>
      <c r="G45" s="377">
        <v>832000</v>
      </c>
      <c r="H45" s="369"/>
      <c r="I45" s="369"/>
      <c r="J45" s="377">
        <v>2049177</v>
      </c>
      <c r="K45" s="368"/>
      <c r="L45" s="370">
        <f t="shared" si="23"/>
        <v>2881177</v>
      </c>
      <c r="M45" s="368"/>
      <c r="N45" s="369"/>
      <c r="O45" s="369">
        <f t="shared" si="24"/>
        <v>2881177</v>
      </c>
      <c r="P45" s="791"/>
      <c r="Q45" s="369"/>
      <c r="R45" s="377">
        <v>832000</v>
      </c>
      <c r="S45" s="369"/>
      <c r="T45" s="369"/>
      <c r="U45" s="377">
        <v>2151636</v>
      </c>
      <c r="V45" s="368"/>
      <c r="W45" s="370">
        <f t="shared" si="25"/>
        <v>2983636</v>
      </c>
      <c r="X45" s="368"/>
      <c r="Y45" s="369"/>
      <c r="Z45" s="861"/>
      <c r="AA45" s="369">
        <f t="shared" si="26"/>
        <v>2983636</v>
      </c>
      <c r="AB45" s="368"/>
      <c r="AC45" s="369"/>
      <c r="AD45" s="377">
        <v>832000</v>
      </c>
      <c r="AE45" s="369"/>
      <c r="AF45" s="369"/>
      <c r="AG45" s="377">
        <v>2259218</v>
      </c>
      <c r="AH45" s="368"/>
      <c r="AI45" s="370">
        <f t="shared" si="27"/>
        <v>3091218</v>
      </c>
      <c r="AJ45" s="368"/>
      <c r="AK45" s="369"/>
      <c r="AL45" s="368"/>
      <c r="AM45" s="369">
        <f t="shared" si="1"/>
        <v>3091218</v>
      </c>
    </row>
    <row r="46" spans="1:39">
      <c r="A46" s="91">
        <f t="shared" si="0"/>
        <v>36</v>
      </c>
      <c r="C46" s="80" t="s">
        <v>315</v>
      </c>
      <c r="D46" s="80"/>
      <c r="F46" s="369"/>
      <c r="G46" s="377">
        <v>13762832.344999999</v>
      </c>
      <c r="H46" s="369"/>
      <c r="I46" s="369"/>
      <c r="J46" s="377">
        <v>215556193</v>
      </c>
      <c r="K46" s="368"/>
      <c r="L46" s="370">
        <f t="shared" si="23"/>
        <v>229319025.345</v>
      </c>
      <c r="M46" s="368"/>
      <c r="N46" s="369"/>
      <c r="O46" s="369">
        <f t="shared" si="24"/>
        <v>229319025.345</v>
      </c>
      <c r="P46" s="368"/>
      <c r="Q46" s="369"/>
      <c r="R46" s="377">
        <v>12203778.68275</v>
      </c>
      <c r="S46" s="369"/>
      <c r="T46" s="369"/>
      <c r="U46" s="377">
        <v>252522110</v>
      </c>
      <c r="V46" s="368"/>
      <c r="W46" s="370">
        <f t="shared" si="25"/>
        <v>264725888.68274999</v>
      </c>
      <c r="X46" s="368"/>
      <c r="Y46" s="369"/>
      <c r="Z46" s="861"/>
      <c r="AA46" s="369">
        <f t="shared" si="26"/>
        <v>264725888.68274999</v>
      </c>
      <c r="AB46" s="368"/>
      <c r="AC46" s="369"/>
      <c r="AD46" s="377">
        <v>12382168.366887501</v>
      </c>
      <c r="AE46" s="369"/>
      <c r="AF46" s="369"/>
      <c r="AG46" s="377">
        <v>272991349</v>
      </c>
      <c r="AH46" s="368"/>
      <c r="AI46" s="370">
        <f t="shared" si="27"/>
        <v>285373517.36688751</v>
      </c>
      <c r="AJ46" s="368"/>
      <c r="AK46" s="369"/>
      <c r="AL46" s="368"/>
      <c r="AM46" s="369">
        <f t="shared" si="1"/>
        <v>285373517.36688751</v>
      </c>
    </row>
    <row r="47" spans="1:39">
      <c r="A47" s="91">
        <f t="shared" si="0"/>
        <v>37</v>
      </c>
      <c r="C47" s="80" t="s">
        <v>316</v>
      </c>
      <c r="D47" s="80"/>
      <c r="E47" s="2"/>
      <c r="F47" s="369"/>
      <c r="G47" s="377">
        <v>0</v>
      </c>
      <c r="H47" s="369"/>
      <c r="I47" s="369"/>
      <c r="J47" s="377">
        <v>70700000</v>
      </c>
      <c r="K47" s="368"/>
      <c r="L47" s="370">
        <f t="shared" si="23"/>
        <v>70700000</v>
      </c>
      <c r="M47" s="368"/>
      <c r="N47" s="369"/>
      <c r="O47" s="369">
        <f t="shared" si="24"/>
        <v>70700000</v>
      </c>
      <c r="P47" s="791"/>
      <c r="Q47" s="369"/>
      <c r="R47" s="377">
        <v>0</v>
      </c>
      <c r="S47" s="369"/>
      <c r="T47" s="369"/>
      <c r="U47" s="377">
        <v>125000000</v>
      </c>
      <c r="V47" s="368"/>
      <c r="W47" s="370">
        <f t="shared" si="25"/>
        <v>125000000</v>
      </c>
      <c r="X47" s="368"/>
      <c r="Y47" s="369"/>
      <c r="Z47" s="861"/>
      <c r="AA47" s="369">
        <f t="shared" si="26"/>
        <v>125000000</v>
      </c>
      <c r="AB47" s="368"/>
      <c r="AC47" s="369"/>
      <c r="AD47" s="377">
        <v>0</v>
      </c>
      <c r="AE47" s="369"/>
      <c r="AF47" s="369"/>
      <c r="AG47" s="377">
        <v>131250000</v>
      </c>
      <c r="AH47" s="368"/>
      <c r="AI47" s="370">
        <f t="shared" si="27"/>
        <v>131250000</v>
      </c>
      <c r="AJ47" s="368"/>
      <c r="AK47" s="369"/>
      <c r="AL47" s="368"/>
      <c r="AM47" s="369">
        <f t="shared" si="1"/>
        <v>131250000</v>
      </c>
    </row>
    <row r="48" spans="1:39">
      <c r="A48" s="91">
        <f t="shared" si="0"/>
        <v>38</v>
      </c>
      <c r="C48" s="80" t="s">
        <v>317</v>
      </c>
      <c r="D48" s="80"/>
      <c r="F48" s="369"/>
      <c r="G48" s="377">
        <v>5172500</v>
      </c>
      <c r="H48" s="369"/>
      <c r="I48" s="369"/>
      <c r="J48" s="377">
        <v>0</v>
      </c>
      <c r="K48" s="368"/>
      <c r="L48" s="370">
        <f t="shared" si="23"/>
        <v>5172500</v>
      </c>
      <c r="M48" s="368"/>
      <c r="N48" s="369"/>
      <c r="O48" s="369">
        <f t="shared" si="24"/>
        <v>5172500</v>
      </c>
      <c r="P48" s="368"/>
      <c r="Q48" s="369"/>
      <c r="R48" s="377">
        <v>5206625</v>
      </c>
      <c r="S48" s="369"/>
      <c r="T48" s="369"/>
      <c r="U48" s="377">
        <v>0</v>
      </c>
      <c r="V48" s="368"/>
      <c r="W48" s="370">
        <f t="shared" si="25"/>
        <v>5206625</v>
      </c>
      <c r="X48" s="368"/>
      <c r="Y48" s="369"/>
      <c r="Z48" s="861"/>
      <c r="AA48" s="369">
        <f t="shared" si="26"/>
        <v>5206625</v>
      </c>
      <c r="AB48" s="368"/>
      <c r="AC48" s="369"/>
      <c r="AD48" s="377">
        <v>5206625</v>
      </c>
      <c r="AE48" s="369"/>
      <c r="AF48" s="369"/>
      <c r="AG48" s="377">
        <v>0</v>
      </c>
      <c r="AH48" s="368"/>
      <c r="AI48" s="370">
        <f t="shared" si="27"/>
        <v>5206625</v>
      </c>
      <c r="AJ48" s="368"/>
      <c r="AK48" s="369"/>
      <c r="AL48" s="368"/>
      <c r="AM48" s="369">
        <f t="shared" si="1"/>
        <v>5206625</v>
      </c>
    </row>
    <row r="49" spans="1:39">
      <c r="A49" s="91">
        <f t="shared" si="0"/>
        <v>39</v>
      </c>
      <c r="C49" s="80" t="s">
        <v>318</v>
      </c>
      <c r="D49" s="80"/>
      <c r="E49" s="2"/>
      <c r="F49" s="369"/>
      <c r="G49" s="377">
        <v>500000</v>
      </c>
      <c r="H49" s="369"/>
      <c r="I49" s="369"/>
      <c r="J49" s="377">
        <v>300000</v>
      </c>
      <c r="K49" s="368"/>
      <c r="L49" s="370">
        <f t="shared" si="23"/>
        <v>800000</v>
      </c>
      <c r="M49" s="368"/>
      <c r="N49" s="369"/>
      <c r="O49" s="369">
        <f t="shared" si="24"/>
        <v>800000</v>
      </c>
      <c r="P49" s="791"/>
      <c r="Q49" s="369"/>
      <c r="R49" s="377">
        <v>510000</v>
      </c>
      <c r="S49" s="369"/>
      <c r="T49" s="369"/>
      <c r="U49" s="377">
        <v>315000</v>
      </c>
      <c r="V49" s="368"/>
      <c r="W49" s="370">
        <f t="shared" si="25"/>
        <v>825000</v>
      </c>
      <c r="X49" s="368"/>
      <c r="Y49" s="369"/>
      <c r="Z49" s="861"/>
      <c r="AA49" s="369">
        <f t="shared" si="26"/>
        <v>825000</v>
      </c>
      <c r="AB49" s="368"/>
      <c r="AC49" s="369"/>
      <c r="AD49" s="377">
        <v>520200</v>
      </c>
      <c r="AE49" s="369"/>
      <c r="AF49" s="369"/>
      <c r="AG49" s="377">
        <v>330750</v>
      </c>
      <c r="AH49" s="368"/>
      <c r="AI49" s="370">
        <f t="shared" si="27"/>
        <v>850950</v>
      </c>
      <c r="AJ49" s="368"/>
      <c r="AK49" s="369"/>
      <c r="AL49" s="368"/>
      <c r="AM49" s="369">
        <f t="shared" si="1"/>
        <v>850950</v>
      </c>
    </row>
    <row r="50" spans="1:39">
      <c r="A50" s="91">
        <f t="shared" si="0"/>
        <v>40</v>
      </c>
      <c r="C50" s="80" t="s">
        <v>455</v>
      </c>
      <c r="D50" s="80"/>
      <c r="E50" s="2"/>
      <c r="F50" s="369"/>
      <c r="G50" s="377">
        <v>22692308.684999999</v>
      </c>
      <c r="H50" s="369"/>
      <c r="I50" s="369"/>
      <c r="J50" s="377">
        <v>0</v>
      </c>
      <c r="K50" s="368"/>
      <c r="L50" s="370">
        <f t="shared" si="23"/>
        <v>22692308.684999999</v>
      </c>
      <c r="M50" s="368"/>
      <c r="N50" s="369"/>
      <c r="O50" s="369">
        <f t="shared" si="24"/>
        <v>22692308.684999999</v>
      </c>
      <c r="P50" s="791"/>
      <c r="Q50" s="369"/>
      <c r="R50" s="377">
        <v>23588060.203499999</v>
      </c>
      <c r="S50" s="369"/>
      <c r="T50" s="369"/>
      <c r="U50" s="377">
        <v>0</v>
      </c>
      <c r="V50" s="368"/>
      <c r="W50" s="370">
        <f t="shared" si="25"/>
        <v>23588060.203499999</v>
      </c>
      <c r="X50" s="368"/>
      <c r="Y50" s="369"/>
      <c r="Z50" s="861"/>
      <c r="AA50" s="369">
        <f t="shared" si="26"/>
        <v>23588060.203499999</v>
      </c>
      <c r="AB50" s="368"/>
      <c r="AC50" s="369"/>
      <c r="AD50" s="377">
        <v>24971445.468224999</v>
      </c>
      <c r="AE50" s="369"/>
      <c r="AF50" s="369"/>
      <c r="AG50" s="377">
        <v>0</v>
      </c>
      <c r="AH50" s="368"/>
      <c r="AI50" s="370">
        <f t="shared" si="27"/>
        <v>24971445.468224999</v>
      </c>
      <c r="AJ50" s="368"/>
      <c r="AK50" s="369"/>
      <c r="AL50" s="368"/>
      <c r="AM50" s="369">
        <f t="shared" si="1"/>
        <v>24971445.468224999</v>
      </c>
    </row>
    <row r="51" spans="1:39">
      <c r="A51" s="91">
        <f t="shared" si="0"/>
        <v>41</v>
      </c>
      <c r="C51" s="80" t="s">
        <v>319</v>
      </c>
      <c r="D51" s="80"/>
      <c r="F51" s="369"/>
      <c r="G51" s="377">
        <v>0</v>
      </c>
      <c r="H51" s="369"/>
      <c r="I51" s="369"/>
      <c r="J51" s="377">
        <v>0</v>
      </c>
      <c r="K51" s="368"/>
      <c r="L51" s="370">
        <f t="shared" si="23"/>
        <v>0</v>
      </c>
      <c r="M51" s="368"/>
      <c r="N51" s="369"/>
      <c r="O51" s="369">
        <f t="shared" si="24"/>
        <v>0</v>
      </c>
      <c r="P51" s="368"/>
      <c r="Q51" s="369"/>
      <c r="R51" s="377">
        <v>0</v>
      </c>
      <c r="S51" s="369"/>
      <c r="T51" s="369"/>
      <c r="U51" s="377">
        <v>0</v>
      </c>
      <c r="V51" s="368"/>
      <c r="W51" s="370">
        <f t="shared" si="25"/>
        <v>0</v>
      </c>
      <c r="X51" s="368"/>
      <c r="Y51" s="369"/>
      <c r="Z51" s="861"/>
      <c r="AA51" s="369">
        <f t="shared" si="26"/>
        <v>0</v>
      </c>
      <c r="AB51" s="368"/>
      <c r="AC51" s="369"/>
      <c r="AD51" s="377">
        <v>0</v>
      </c>
      <c r="AE51" s="369"/>
      <c r="AF51" s="369"/>
      <c r="AG51" s="377">
        <v>0</v>
      </c>
      <c r="AH51" s="368"/>
      <c r="AI51" s="370">
        <f t="shared" si="27"/>
        <v>0</v>
      </c>
      <c r="AJ51" s="368"/>
      <c r="AK51" s="369"/>
      <c r="AL51" s="368"/>
      <c r="AM51" s="369">
        <f t="shared" si="1"/>
        <v>0</v>
      </c>
    </row>
    <row r="52" spans="1:39">
      <c r="A52" s="91">
        <f>IF(C52&lt;&gt;"",MAX(A48:A51)+1,"")</f>
        <v>42</v>
      </c>
      <c r="C52" s="80" t="s">
        <v>320</v>
      </c>
      <c r="D52" s="80"/>
      <c r="E52" s="2"/>
      <c r="F52" s="868">
        <v>18700000</v>
      </c>
      <c r="G52" s="377">
        <v>0</v>
      </c>
      <c r="H52" s="369"/>
      <c r="I52" s="868"/>
      <c r="J52" s="377">
        <v>0</v>
      </c>
      <c r="K52" s="368"/>
      <c r="L52" s="370">
        <f t="shared" si="23"/>
        <v>18700000</v>
      </c>
      <c r="M52" s="368"/>
      <c r="N52" s="369">
        <v>8750000</v>
      </c>
      <c r="O52" s="369">
        <f t="shared" si="24"/>
        <v>27450000</v>
      </c>
      <c r="P52" s="791"/>
      <c r="Q52" s="369">
        <v>11150000</v>
      </c>
      <c r="R52" s="377">
        <v>0</v>
      </c>
      <c r="S52" s="369"/>
      <c r="T52" s="369"/>
      <c r="U52" s="377">
        <v>0</v>
      </c>
      <c r="V52" s="368"/>
      <c r="W52" s="370">
        <f t="shared" si="25"/>
        <v>11150000</v>
      </c>
      <c r="X52" s="368"/>
      <c r="Y52" s="369">
        <v>6562500</v>
      </c>
      <c r="Z52" s="861"/>
      <c r="AA52" s="369">
        <f t="shared" si="26"/>
        <v>17712500</v>
      </c>
      <c r="AB52" s="368"/>
      <c r="AC52" s="369">
        <v>7050000</v>
      </c>
      <c r="AD52" s="377">
        <v>0</v>
      </c>
      <c r="AE52" s="369"/>
      <c r="AF52" s="369"/>
      <c r="AG52" s="377">
        <v>0</v>
      </c>
      <c r="AH52" s="368"/>
      <c r="AI52" s="370">
        <f t="shared" si="27"/>
        <v>7050000</v>
      </c>
      <c r="AJ52" s="368"/>
      <c r="AK52" s="369">
        <v>4375000</v>
      </c>
      <c r="AL52" s="368"/>
      <c r="AM52" s="369">
        <f t="shared" si="1"/>
        <v>11425000</v>
      </c>
    </row>
    <row r="53" spans="1:39">
      <c r="A53" s="91">
        <f>IF(C53&lt;&gt;"",MAX(A49:A52)+1,"")</f>
        <v>43</v>
      </c>
      <c r="C53" s="80" t="s">
        <v>321</v>
      </c>
      <c r="D53" s="80"/>
      <c r="F53" s="369">
        <v>32964202.225740001</v>
      </c>
      <c r="G53" s="377">
        <v>0</v>
      </c>
      <c r="H53" s="369"/>
      <c r="I53" s="369"/>
      <c r="J53" s="377">
        <v>0</v>
      </c>
      <c r="K53" s="368"/>
      <c r="L53" s="370">
        <f t="shared" si="23"/>
        <v>32964202.225740001</v>
      </c>
      <c r="M53" s="368"/>
      <c r="N53" s="369">
        <v>18324981.774259999</v>
      </c>
      <c r="O53" s="369">
        <f t="shared" si="24"/>
        <v>51289184</v>
      </c>
      <c r="P53" s="368"/>
      <c r="Q53" s="369">
        <v>19778521.335444</v>
      </c>
      <c r="R53" s="377">
        <v>0</v>
      </c>
      <c r="S53" s="369"/>
      <c r="T53" s="369"/>
      <c r="U53" s="377">
        <v>0</v>
      </c>
      <c r="V53" s="368"/>
      <c r="W53" s="370">
        <f t="shared" si="25"/>
        <v>19778521.335444</v>
      </c>
      <c r="X53" s="368"/>
      <c r="Y53" s="369">
        <v>5866071</v>
      </c>
      <c r="Z53" s="861"/>
      <c r="AA53" s="369">
        <f t="shared" si="26"/>
        <v>25644592.335444</v>
      </c>
      <c r="AB53" s="368"/>
      <c r="AC53" s="369">
        <v>8241050.5564350002</v>
      </c>
      <c r="AD53" s="377">
        <v>0</v>
      </c>
      <c r="AE53" s="369"/>
      <c r="AF53" s="369"/>
      <c r="AG53" s="377">
        <v>0</v>
      </c>
      <c r="AH53" s="368"/>
      <c r="AI53" s="370">
        <f t="shared" si="27"/>
        <v>8241050.5564350002</v>
      </c>
      <c r="AJ53" s="368"/>
      <c r="AK53" s="369">
        <v>9197272</v>
      </c>
      <c r="AL53" s="368"/>
      <c r="AM53" s="369">
        <f t="shared" si="1"/>
        <v>17438322.556435</v>
      </c>
    </row>
    <row r="54" spans="1:39">
      <c r="A54" s="91">
        <f t="shared" si="0"/>
        <v>44</v>
      </c>
      <c r="C54" s="80" t="s">
        <v>322</v>
      </c>
      <c r="D54" s="80"/>
      <c r="E54" s="2"/>
      <c r="F54" s="369"/>
      <c r="G54" s="377">
        <v>0</v>
      </c>
      <c r="H54" s="369"/>
      <c r="I54" s="369"/>
      <c r="J54" s="377">
        <v>0</v>
      </c>
      <c r="K54" s="368"/>
      <c r="L54" s="370">
        <f t="shared" si="23"/>
        <v>0</v>
      </c>
      <c r="M54" s="368"/>
      <c r="N54" s="369"/>
      <c r="O54" s="369">
        <f t="shared" si="24"/>
        <v>0</v>
      </c>
      <c r="P54" s="791"/>
      <c r="Q54" s="369"/>
      <c r="R54" s="377">
        <v>0</v>
      </c>
      <c r="S54" s="369"/>
      <c r="T54" s="369"/>
      <c r="U54" s="377">
        <v>0</v>
      </c>
      <c r="V54" s="368"/>
      <c r="W54" s="370">
        <f t="shared" si="25"/>
        <v>0</v>
      </c>
      <c r="X54" s="368"/>
      <c r="Y54" s="369"/>
      <c r="Z54" s="861"/>
      <c r="AA54" s="369">
        <f t="shared" si="26"/>
        <v>0</v>
      </c>
      <c r="AB54" s="368"/>
      <c r="AC54" s="369"/>
      <c r="AD54" s="377">
        <v>0</v>
      </c>
      <c r="AE54" s="369"/>
      <c r="AF54" s="369"/>
      <c r="AG54" s="377">
        <v>0</v>
      </c>
      <c r="AH54" s="368"/>
      <c r="AI54" s="370">
        <f t="shared" si="27"/>
        <v>0</v>
      </c>
      <c r="AJ54" s="368"/>
      <c r="AK54" s="369"/>
      <c r="AL54" s="368"/>
      <c r="AM54" s="369">
        <f t="shared" si="1"/>
        <v>0</v>
      </c>
    </row>
    <row r="55" spans="1:39">
      <c r="A55" s="91">
        <f t="shared" si="0"/>
        <v>45</v>
      </c>
      <c r="C55" s="80" t="s">
        <v>456</v>
      </c>
      <c r="D55" s="80"/>
      <c r="F55" s="369"/>
      <c r="G55" s="377">
        <v>5794748.2000000002</v>
      </c>
      <c r="H55" s="369">
        <v>5743500</v>
      </c>
      <c r="I55" s="369">
        <v>22971900</v>
      </c>
      <c r="J55" s="377">
        <v>8304915</v>
      </c>
      <c r="K55" s="368"/>
      <c r="L55" s="370">
        <f t="shared" si="23"/>
        <v>42815063.200000003</v>
      </c>
      <c r="M55" s="368"/>
      <c r="N55" s="369"/>
      <c r="O55" s="369">
        <f t="shared" si="24"/>
        <v>42815063.200000003</v>
      </c>
      <c r="P55" s="368"/>
      <c r="Q55" s="369"/>
      <c r="R55" s="377">
        <v>5180115.79</v>
      </c>
      <c r="S55" s="369">
        <f>H55*1.05</f>
        <v>6030675</v>
      </c>
      <c r="T55" s="369">
        <f>I55*1.05</f>
        <v>24120495</v>
      </c>
      <c r="U55" s="377">
        <v>8720161</v>
      </c>
      <c r="V55" s="368"/>
      <c r="W55" s="370">
        <f t="shared" si="25"/>
        <v>44051446.789999999</v>
      </c>
      <c r="X55" s="368"/>
      <c r="Y55" s="369"/>
      <c r="Z55" s="861"/>
      <c r="AA55" s="369">
        <f t="shared" si="26"/>
        <v>44051446.789999999</v>
      </c>
      <c r="AB55" s="368"/>
      <c r="AC55" s="369"/>
      <c r="AD55" s="377">
        <v>5496372.7681999998</v>
      </c>
      <c r="AE55" s="369">
        <f>S55*1.05</f>
        <v>6332208.75</v>
      </c>
      <c r="AF55" s="369">
        <f>T55*1.05</f>
        <v>25326519.75</v>
      </c>
      <c r="AG55" s="377">
        <v>9155169</v>
      </c>
      <c r="AH55" s="368"/>
      <c r="AI55" s="370">
        <f t="shared" si="27"/>
        <v>46310270.268199995</v>
      </c>
      <c r="AJ55" s="368"/>
      <c r="AK55" s="369"/>
      <c r="AL55" s="368"/>
      <c r="AM55" s="369">
        <f t="shared" si="1"/>
        <v>46310270.268199995</v>
      </c>
    </row>
    <row r="56" spans="1:39">
      <c r="A56" s="91">
        <f t="shared" si="0"/>
        <v>46</v>
      </c>
      <c r="C56" s="792" t="s">
        <v>324</v>
      </c>
      <c r="D56" s="874"/>
      <c r="E56" s="2"/>
      <c r="F56" s="779"/>
      <c r="G56" s="779">
        <f>SUM(G36:G55)</f>
        <v>168559338.12799999</v>
      </c>
      <c r="H56" s="779">
        <f>SUM(H36:H55)</f>
        <v>5743500</v>
      </c>
      <c r="I56" s="779">
        <f>SUM(I36:I55)</f>
        <v>22971900</v>
      </c>
      <c r="J56" s="779">
        <f>SUM(J36:J55)</f>
        <v>460676621</v>
      </c>
      <c r="K56" s="764"/>
      <c r="L56" s="875">
        <f>SUM(L36:L55)</f>
        <v>709615561.35373998</v>
      </c>
      <c r="M56" s="764"/>
      <c r="N56" s="779"/>
      <c r="O56" s="779">
        <f t="shared" si="24"/>
        <v>709615561.35373998</v>
      </c>
      <c r="P56" s="791"/>
      <c r="Q56" s="779"/>
      <c r="R56" s="779">
        <f>SUM(R36:R55)</f>
        <v>165649382.94624999</v>
      </c>
      <c r="S56" s="779">
        <f>SUM(S36:S55)</f>
        <v>6030675</v>
      </c>
      <c r="T56" s="779">
        <f>SUM(T36:T55)</f>
        <v>24120495</v>
      </c>
      <c r="U56" s="779">
        <f>SUM(U36:U55)</f>
        <v>589482226</v>
      </c>
      <c r="V56" s="764"/>
      <c r="W56" s="875">
        <f>SUM(W36:W55)</f>
        <v>816211300.28169394</v>
      </c>
      <c r="X56" s="764"/>
      <c r="Y56" s="779"/>
      <c r="Z56" s="876"/>
      <c r="AA56" s="779">
        <f t="shared" si="26"/>
        <v>816211300.28169394</v>
      </c>
      <c r="AB56" s="368"/>
      <c r="AC56" s="779">
        <f>SUM(AC36:AC55)</f>
        <v>15291050.556435</v>
      </c>
      <c r="AD56" s="779">
        <f>SUM(AD36:AD55)</f>
        <v>168964491.79306251</v>
      </c>
      <c r="AE56" s="779">
        <f>SUM(AE36:AE55)</f>
        <v>6332208.75</v>
      </c>
      <c r="AF56" s="779">
        <f>SUM(AF36:AF55)</f>
        <v>25326519.75</v>
      </c>
      <c r="AG56" s="779">
        <f>SUM(AG36:AG55)</f>
        <v>640294445</v>
      </c>
      <c r="AH56" s="764"/>
      <c r="AI56" s="875">
        <f>SUM(AI36:AI55)</f>
        <v>856208715.84949756</v>
      </c>
      <c r="AJ56" s="764"/>
      <c r="AK56" s="779"/>
      <c r="AL56" s="764"/>
      <c r="AM56" s="780">
        <f t="shared" si="1"/>
        <v>856208715.84949756</v>
      </c>
    </row>
    <row r="57" spans="1:39">
      <c r="A57" s="91"/>
      <c r="C57" s="757"/>
      <c r="D57" s="757"/>
      <c r="F57" s="652"/>
      <c r="G57" s="652"/>
      <c r="H57" s="652"/>
      <c r="I57" s="652"/>
      <c r="J57" s="652"/>
      <c r="K57" s="368"/>
      <c r="L57" s="881"/>
      <c r="M57" s="368"/>
      <c r="N57" s="652"/>
      <c r="O57" s="652"/>
      <c r="P57" s="368"/>
      <c r="Q57" s="652"/>
      <c r="R57" s="652"/>
      <c r="S57" s="652"/>
      <c r="T57" s="652"/>
      <c r="U57" s="652"/>
      <c r="V57" s="368"/>
      <c r="W57" s="652"/>
      <c r="X57" s="368"/>
      <c r="Y57" s="652"/>
      <c r="Z57" s="861"/>
      <c r="AA57" s="652"/>
      <c r="AB57" s="368"/>
      <c r="AC57" s="652"/>
      <c r="AD57" s="652"/>
      <c r="AE57" s="652"/>
      <c r="AF57" s="652"/>
      <c r="AG57" s="652"/>
      <c r="AH57" s="368"/>
      <c r="AI57" s="652"/>
      <c r="AJ57" s="368"/>
      <c r="AK57" s="652"/>
      <c r="AL57" s="368"/>
      <c r="AM57" s="652"/>
    </row>
    <row r="58" spans="1:39">
      <c r="A58" s="91">
        <f>IF(C58&lt;&gt;"",MAX(A54:A56)+1,"")</f>
        <v>47</v>
      </c>
      <c r="C58" s="792" t="s">
        <v>325</v>
      </c>
      <c r="D58" s="874"/>
      <c r="E58" s="2"/>
      <c r="F58" s="779">
        <f>F24+F33+F56</f>
        <v>2436713299.8406897</v>
      </c>
      <c r="G58" s="779">
        <f>G24+G33+G56</f>
        <v>246225458.12799999</v>
      </c>
      <c r="H58" s="779">
        <f t="shared" ref="H58:I58" si="28">H24+H33+H56</f>
        <v>10361400</v>
      </c>
      <c r="I58" s="779">
        <f t="shared" si="28"/>
        <v>31258500</v>
      </c>
      <c r="J58" s="779">
        <f>J24+J33+J56</f>
        <v>808140736</v>
      </c>
      <c r="K58" s="764"/>
      <c r="L58" s="875">
        <f>L24+L33+L56</f>
        <v>3584363596.1944294</v>
      </c>
      <c r="M58" s="764"/>
      <c r="N58" s="779"/>
      <c r="O58" s="779">
        <f>+N58+L58</f>
        <v>3584363596.1944294</v>
      </c>
      <c r="P58" s="791"/>
      <c r="Q58" s="779">
        <f>Q24+Q33+Q56</f>
        <v>2363810018.072628</v>
      </c>
      <c r="R58" s="779">
        <f>R24+R33+R56</f>
        <v>245645486.54624999</v>
      </c>
      <c r="S58" s="779">
        <f t="shared" ref="S58:T58" si="29">S24+S33+S56</f>
        <v>10879470</v>
      </c>
      <c r="T58" s="779">
        <f t="shared" si="29"/>
        <v>32821425</v>
      </c>
      <c r="U58" s="779">
        <f>U24+U33+U56</f>
        <v>955055055</v>
      </c>
      <c r="V58" s="764"/>
      <c r="W58" s="875">
        <f>W24+W33+W56</f>
        <v>3639139975.9543219</v>
      </c>
      <c r="X58" s="764"/>
      <c r="Y58" s="779"/>
      <c r="Z58" s="876"/>
      <c r="AA58" s="779">
        <f>W58+Y58</f>
        <v>3639139975.9543219</v>
      </c>
      <c r="AB58" s="368"/>
      <c r="AC58" s="779"/>
      <c r="AD58" s="779">
        <f>AD24+AD33+AD56</f>
        <v>251360478.50106251</v>
      </c>
      <c r="AE58" s="779">
        <f t="shared" ref="AE58:AF58" si="30">AE24+AE33+AE56</f>
        <v>11423443.5</v>
      </c>
      <c r="AF58" s="779">
        <f t="shared" si="30"/>
        <v>34462496.25</v>
      </c>
      <c r="AG58" s="779">
        <f>AG24+AG33+AG56</f>
        <v>1025976623</v>
      </c>
      <c r="AH58" s="764"/>
      <c r="AI58" s="875">
        <f>AI24+AI33+AI56</f>
        <v>3651146089.1506662</v>
      </c>
      <c r="AJ58" s="764"/>
      <c r="AK58" s="779"/>
      <c r="AL58" s="764"/>
      <c r="AM58" s="780">
        <f t="shared" si="1"/>
        <v>3651146089.1506662</v>
      </c>
    </row>
    <row r="59" spans="1:39">
      <c r="A59" s="91"/>
      <c r="C59" s="757"/>
      <c r="D59" s="757"/>
      <c r="F59" s="653"/>
      <c r="G59" s="653"/>
      <c r="H59" s="653"/>
      <c r="I59" s="653"/>
      <c r="J59" s="653"/>
      <c r="K59" s="368"/>
      <c r="L59" s="877"/>
      <c r="M59" s="368"/>
      <c r="N59" s="653"/>
      <c r="O59" s="653"/>
      <c r="P59" s="368"/>
      <c r="Q59" s="653"/>
      <c r="R59" s="653"/>
      <c r="S59" s="653"/>
      <c r="T59" s="653"/>
      <c r="U59" s="653"/>
      <c r="V59" s="368"/>
      <c r="W59" s="877"/>
      <c r="X59" s="368"/>
      <c r="Y59" s="653"/>
      <c r="Z59" s="861"/>
      <c r="AA59" s="653"/>
      <c r="AB59" s="368"/>
      <c r="AC59" s="653"/>
      <c r="AD59" s="653"/>
      <c r="AE59" s="653"/>
      <c r="AF59" s="653"/>
      <c r="AG59" s="653"/>
      <c r="AH59" s="368"/>
      <c r="AI59" s="877"/>
      <c r="AJ59" s="368"/>
      <c r="AK59" s="653"/>
      <c r="AL59" s="368"/>
      <c r="AM59" s="653"/>
    </row>
    <row r="60" spans="1:39">
      <c r="A60" s="91">
        <f>IF(C60&lt;&gt;"",MAX(A55:A58)+1,"")</f>
        <v>48</v>
      </c>
      <c r="C60" s="80" t="s">
        <v>326</v>
      </c>
      <c r="D60" s="80"/>
      <c r="E60" s="2"/>
      <c r="F60" s="369"/>
      <c r="G60" s="369"/>
      <c r="H60" s="369">
        <v>2537000</v>
      </c>
      <c r="I60" s="369">
        <v>3805000</v>
      </c>
      <c r="J60" s="369">
        <v>0</v>
      </c>
      <c r="K60" s="368"/>
      <c r="L60" s="370">
        <f t="shared" ref="L60" si="31">SUM(F60:J60)</f>
        <v>6342000</v>
      </c>
      <c r="M60" s="368"/>
      <c r="N60" s="369">
        <v>0</v>
      </c>
      <c r="O60" s="369">
        <f>+N60+L60</f>
        <v>6342000</v>
      </c>
      <c r="P60" s="791"/>
      <c r="Q60" s="369">
        <v>0</v>
      </c>
      <c r="R60" s="369">
        <v>0</v>
      </c>
      <c r="S60" s="369">
        <f>H60*1.05</f>
        <v>2663850</v>
      </c>
      <c r="T60" s="369">
        <f>I60*1.05</f>
        <v>3995250</v>
      </c>
      <c r="U60" s="369">
        <v>0</v>
      </c>
      <c r="V60" s="368"/>
      <c r="W60" s="369">
        <f t="shared" ref="W60" si="32">SUM(Q60:U60)</f>
        <v>6659100</v>
      </c>
      <c r="X60" s="368"/>
      <c r="Y60" s="369">
        <v>0</v>
      </c>
      <c r="Z60" s="861"/>
      <c r="AA60" s="369">
        <f>W60+Y60</f>
        <v>6659100</v>
      </c>
      <c r="AB60" s="368"/>
      <c r="AC60" s="369">
        <v>0</v>
      </c>
      <c r="AD60" s="369">
        <v>0</v>
      </c>
      <c r="AE60" s="369">
        <f>S60*1.05</f>
        <v>2797042.5</v>
      </c>
      <c r="AF60" s="369">
        <f>T60*1.05</f>
        <v>4195012.5</v>
      </c>
      <c r="AG60" s="369"/>
      <c r="AH60" s="368"/>
      <c r="AI60" s="370">
        <f t="shared" ref="AI60" si="33">SUM(AC60:AG60)</f>
        <v>6992055</v>
      </c>
      <c r="AJ60" s="368"/>
      <c r="AK60" s="369"/>
      <c r="AL60" s="368"/>
      <c r="AM60" s="369">
        <f t="shared" si="1"/>
        <v>6992055</v>
      </c>
    </row>
    <row r="61" spans="1:39">
      <c r="A61" s="91">
        <f>IF(C61&lt;&gt;"",MAX(A58:A60)+1,"")</f>
        <v>49</v>
      </c>
      <c r="C61" s="792" t="s">
        <v>327</v>
      </c>
      <c r="D61" s="874"/>
      <c r="F61" s="779">
        <f>F58+F60</f>
        <v>2436713299.8406897</v>
      </c>
      <c r="G61" s="779">
        <f>G58+G60</f>
        <v>246225458.12799999</v>
      </c>
      <c r="H61" s="779">
        <f>H58+H60</f>
        <v>12898400</v>
      </c>
      <c r="I61" s="779">
        <f>I58+I60</f>
        <v>35063500</v>
      </c>
      <c r="J61" s="779">
        <f>J58+J60</f>
        <v>808140736</v>
      </c>
      <c r="K61" s="764"/>
      <c r="L61" s="875">
        <f>L58+SUM(L60:L60)</f>
        <v>3590705596.1944294</v>
      </c>
      <c r="M61" s="764"/>
      <c r="N61" s="779"/>
      <c r="O61" s="779">
        <f>+N61+L61</f>
        <v>3590705596.1944294</v>
      </c>
      <c r="P61" s="368"/>
      <c r="Q61" s="779">
        <f>Q58+Q60</f>
        <v>2363810018.072628</v>
      </c>
      <c r="R61" s="779">
        <f>R58+R60</f>
        <v>245645486.54624999</v>
      </c>
      <c r="S61" s="779">
        <f>S58+S60</f>
        <v>13543320</v>
      </c>
      <c r="T61" s="779">
        <f>T58+T60</f>
        <v>36816675</v>
      </c>
      <c r="U61" s="779">
        <f>U58+U60</f>
        <v>955055055</v>
      </c>
      <c r="V61" s="764"/>
      <c r="W61" s="875">
        <f>W58+SUM(W60:W60)</f>
        <v>3645799075.9543219</v>
      </c>
      <c r="X61" s="764"/>
      <c r="Y61" s="779"/>
      <c r="Z61" s="876"/>
      <c r="AA61" s="779">
        <f>W61+Y61</f>
        <v>3645799075.9543219</v>
      </c>
      <c r="AB61" s="368"/>
      <c r="AC61" s="779">
        <f>AC58+AC60</f>
        <v>0</v>
      </c>
      <c r="AD61" s="779">
        <f>AD58+AD60</f>
        <v>251360478.50106251</v>
      </c>
      <c r="AE61" s="779">
        <f>AE58+AE60</f>
        <v>14220486</v>
      </c>
      <c r="AF61" s="779">
        <f>AF58+AF60</f>
        <v>38657508.75</v>
      </c>
      <c r="AG61" s="779">
        <f>AG58+AG60</f>
        <v>1025976623</v>
      </c>
      <c r="AH61" s="764"/>
      <c r="AI61" s="875">
        <f>AI58+SUM(AI60:AI60)</f>
        <v>3658138144.1506662</v>
      </c>
      <c r="AJ61" s="764"/>
      <c r="AK61" s="779"/>
      <c r="AL61" s="764"/>
      <c r="AM61" s="780">
        <f t="shared" si="1"/>
        <v>3658138144.1506662</v>
      </c>
    </row>
    <row r="62" spans="1:39">
      <c r="A62" s="91"/>
      <c r="C62" s="757"/>
      <c r="D62" s="757"/>
      <c r="E62" s="2"/>
      <c r="F62" s="653"/>
      <c r="G62" s="653"/>
      <c r="H62" s="653"/>
      <c r="I62" s="653"/>
      <c r="J62" s="653"/>
      <c r="K62" s="368"/>
      <c r="L62" s="877"/>
      <c r="M62" s="368"/>
      <c r="N62" s="653"/>
      <c r="O62" s="653"/>
      <c r="P62" s="791"/>
      <c r="Q62" s="653"/>
      <c r="R62" s="653"/>
      <c r="S62" s="653"/>
      <c r="T62" s="653"/>
      <c r="U62" s="653"/>
      <c r="V62" s="368"/>
      <c r="W62" s="877"/>
      <c r="X62" s="368"/>
      <c r="Y62" s="653"/>
      <c r="Z62" s="861"/>
      <c r="AA62" s="653"/>
      <c r="AB62" s="368"/>
      <c r="AC62" s="653"/>
      <c r="AD62" s="653"/>
      <c r="AE62" s="653"/>
      <c r="AF62" s="653"/>
      <c r="AG62" s="653"/>
      <c r="AH62" s="368"/>
      <c r="AI62" s="877"/>
      <c r="AJ62" s="368"/>
      <c r="AK62" s="653"/>
      <c r="AL62" s="368"/>
      <c r="AM62" s="653"/>
    </row>
    <row r="63" spans="1:39">
      <c r="A63" s="91">
        <f t="shared" si="0"/>
        <v>50</v>
      </c>
      <c r="C63" s="80" t="s">
        <v>328</v>
      </c>
      <c r="D63" s="80"/>
      <c r="F63" s="369"/>
      <c r="G63" s="369"/>
      <c r="H63" s="369"/>
      <c r="I63" s="369"/>
      <c r="J63" s="369">
        <v>139367260.62835845</v>
      </c>
      <c r="K63" s="368"/>
      <c r="L63" s="370">
        <f t="shared" ref="L63:L69" si="34">SUM(F63:J63)</f>
        <v>139367260.62835845</v>
      </c>
      <c r="M63" s="368"/>
      <c r="N63" s="369"/>
      <c r="O63" s="369">
        <f t="shared" ref="O63:O70" si="35">+N63+L63</f>
        <v>139367260.62835845</v>
      </c>
      <c r="P63" s="368"/>
      <c r="Q63" s="369"/>
      <c r="R63" s="369"/>
      <c r="S63" s="369"/>
      <c r="T63" s="369"/>
      <c r="U63" s="369">
        <v>103711031.67572564</v>
      </c>
      <c r="V63" s="368"/>
      <c r="W63" s="370">
        <f t="shared" ref="W63:W69" si="36">SUM(Q63:U63)</f>
        <v>103711031.67572564</v>
      </c>
      <c r="X63" s="368"/>
      <c r="Y63" s="369"/>
      <c r="Z63" s="861"/>
      <c r="AA63" s="369">
        <f t="shared" ref="AA63:AA70" si="37">W63+Y63</f>
        <v>103711031.67572564</v>
      </c>
      <c r="AB63" s="368"/>
      <c r="AC63" s="369"/>
      <c r="AD63" s="369"/>
      <c r="AE63" s="369"/>
      <c r="AF63" s="369"/>
      <c r="AG63" s="369">
        <v>137717441.62652031</v>
      </c>
      <c r="AH63" s="368"/>
      <c r="AI63" s="370">
        <f t="shared" ref="AI63:AI69" si="38">SUM(AC63:AG63)</f>
        <v>137717441.62652031</v>
      </c>
      <c r="AJ63" s="368"/>
      <c r="AK63" s="369"/>
      <c r="AL63" s="368"/>
      <c r="AM63" s="369">
        <f t="shared" si="1"/>
        <v>137717441.62652031</v>
      </c>
    </row>
    <row r="64" spans="1:39">
      <c r="A64" s="91">
        <f t="shared" si="0"/>
        <v>51</v>
      </c>
      <c r="C64" s="80" t="s">
        <v>288</v>
      </c>
      <c r="D64" s="80"/>
      <c r="E64" s="2"/>
      <c r="F64" s="369">
        <v>129957434.58060001</v>
      </c>
      <c r="G64" s="369"/>
      <c r="H64" s="369"/>
      <c r="I64" s="369"/>
      <c r="J64" s="369"/>
      <c r="K64" s="368"/>
      <c r="L64" s="370">
        <f>SUM(F64:J64)</f>
        <v>129957434.58060001</v>
      </c>
      <c r="M64" s="368"/>
      <c r="N64" s="369"/>
      <c r="O64" s="369">
        <f t="shared" si="35"/>
        <v>129957434.58060001</v>
      </c>
      <c r="P64" s="791"/>
      <c r="Q64" s="369">
        <v>129532870.764</v>
      </c>
      <c r="R64" s="369"/>
      <c r="S64" s="369"/>
      <c r="T64" s="369"/>
      <c r="U64" s="369"/>
      <c r="V64" s="368"/>
      <c r="W64" s="370">
        <f>SUM(Q64:U64)</f>
        <v>129532870.764</v>
      </c>
      <c r="X64" s="368"/>
      <c r="Y64" s="369"/>
      <c r="Z64" s="861"/>
      <c r="AA64" s="369">
        <f t="shared" si="37"/>
        <v>129532870.764</v>
      </c>
      <c r="AB64" s="368"/>
      <c r="AC64" s="369">
        <v>125148055.9329</v>
      </c>
      <c r="AD64" s="369"/>
      <c r="AE64" s="369"/>
      <c r="AF64" s="369"/>
      <c r="AG64" s="369"/>
      <c r="AH64" s="368"/>
      <c r="AI64" s="370">
        <f>SUM(AC64:AG64)</f>
        <v>125148055.9329</v>
      </c>
      <c r="AJ64" s="368"/>
      <c r="AK64" s="369"/>
      <c r="AL64" s="368"/>
      <c r="AM64" s="369">
        <f t="shared" si="1"/>
        <v>125148055.9329</v>
      </c>
    </row>
    <row r="65" spans="1:39">
      <c r="A65" s="91">
        <f t="shared" si="0"/>
        <v>52</v>
      </c>
      <c r="C65" s="80" t="s">
        <v>329</v>
      </c>
      <c r="D65" s="80"/>
      <c r="F65" s="369"/>
      <c r="G65" s="369"/>
      <c r="H65" s="369"/>
      <c r="I65" s="369"/>
      <c r="J65" s="369">
        <f>(J58+J73)*0.02</f>
        <v>24132654.117846251</v>
      </c>
      <c r="K65" s="368"/>
      <c r="L65" s="370">
        <f t="shared" si="34"/>
        <v>24132654.117846251</v>
      </c>
      <c r="M65" s="368"/>
      <c r="N65" s="369"/>
      <c r="O65" s="369">
        <f t="shared" si="35"/>
        <v>24132654.117846251</v>
      </c>
      <c r="P65" s="368"/>
      <c r="Q65" s="369"/>
      <c r="R65" s="369"/>
      <c r="S65" s="369"/>
      <c r="T65" s="369"/>
      <c r="U65" s="369">
        <f>(U58+U73)*0.02</f>
        <v>29184971.199480526</v>
      </c>
      <c r="V65" s="368"/>
      <c r="W65" s="370">
        <f t="shared" si="36"/>
        <v>29184971.199480526</v>
      </c>
      <c r="X65" s="368"/>
      <c r="Y65" s="369"/>
      <c r="Z65" s="861"/>
      <c r="AA65" s="369">
        <f t="shared" si="37"/>
        <v>29184971.199480526</v>
      </c>
      <c r="AB65" s="368"/>
      <c r="AC65" s="369"/>
      <c r="AD65" s="369"/>
      <c r="AE65" s="369"/>
      <c r="AF65" s="369"/>
      <c r="AG65" s="369">
        <f>(AG58+AG73)*0.02</f>
        <v>32597310.582428526</v>
      </c>
      <c r="AH65" s="368"/>
      <c r="AI65" s="370">
        <f t="shared" si="38"/>
        <v>32597310.582428526</v>
      </c>
      <c r="AJ65" s="368"/>
      <c r="AK65" s="369"/>
      <c r="AL65" s="368"/>
      <c r="AM65" s="369">
        <f t="shared" si="1"/>
        <v>32597310.582428526</v>
      </c>
    </row>
    <row r="66" spans="1:39">
      <c r="A66" s="91">
        <f>IF(C66&lt;&gt;"",MAX(A63:A65)+1,"")</f>
        <v>53</v>
      </c>
      <c r="C66" s="80" t="s">
        <v>565</v>
      </c>
      <c r="D66" s="80"/>
      <c r="F66" s="369"/>
      <c r="G66" s="369"/>
      <c r="H66" s="369"/>
      <c r="I66" s="369"/>
      <c r="J66" s="369">
        <v>120000000</v>
      </c>
      <c r="K66" s="368"/>
      <c r="L66" s="370">
        <f>SUM(F66:J66)</f>
        <v>120000000</v>
      </c>
      <c r="M66" s="368"/>
      <c r="N66" s="369"/>
      <c r="O66" s="369">
        <f t="shared" si="35"/>
        <v>120000000</v>
      </c>
      <c r="P66" s="368"/>
      <c r="Q66" s="369"/>
      <c r="R66" s="369"/>
      <c r="S66" s="369"/>
      <c r="T66" s="369"/>
      <c r="U66" s="369">
        <v>120000000</v>
      </c>
      <c r="V66" s="368"/>
      <c r="W66" s="377">
        <f>SUM(Q66:U66)</f>
        <v>120000000</v>
      </c>
      <c r="X66" s="368"/>
      <c r="Y66" s="369"/>
      <c r="Z66" s="861"/>
      <c r="AA66" s="369">
        <f t="shared" si="37"/>
        <v>120000000</v>
      </c>
      <c r="AB66" s="368"/>
      <c r="AC66" s="369"/>
      <c r="AD66" s="369"/>
      <c r="AE66" s="369"/>
      <c r="AF66" s="369"/>
      <c r="AG66" s="369"/>
      <c r="AH66" s="368"/>
      <c r="AI66" s="370"/>
      <c r="AJ66" s="368"/>
      <c r="AK66" s="369"/>
      <c r="AL66" s="368"/>
      <c r="AM66" s="369">
        <f t="shared" si="1"/>
        <v>0</v>
      </c>
    </row>
    <row r="67" spans="1:39">
      <c r="A67" s="91">
        <f>IF(C67&lt;&gt;"",MAX(A63:A65)+1,"")</f>
        <v>53</v>
      </c>
      <c r="C67" s="80" t="s">
        <v>566</v>
      </c>
      <c r="D67" s="80"/>
      <c r="F67" s="369"/>
      <c r="G67" s="377"/>
      <c r="H67" s="369"/>
      <c r="I67" s="369"/>
      <c r="J67" s="369"/>
      <c r="K67" s="368"/>
      <c r="L67" s="370"/>
      <c r="M67" s="368"/>
      <c r="N67" s="369"/>
      <c r="O67" s="369">
        <f t="shared" si="35"/>
        <v>0</v>
      </c>
      <c r="P67" s="368"/>
      <c r="Q67" s="369"/>
      <c r="R67" s="369"/>
      <c r="S67" s="369"/>
      <c r="T67" s="369"/>
      <c r="U67" s="369"/>
      <c r="V67" s="368"/>
      <c r="W67" s="370"/>
      <c r="X67" s="368"/>
      <c r="Y67" s="369"/>
      <c r="Z67" s="861"/>
      <c r="AA67" s="369">
        <f t="shared" si="37"/>
        <v>0</v>
      </c>
      <c r="AB67" s="368"/>
      <c r="AC67" s="369"/>
      <c r="AD67" s="369"/>
      <c r="AE67" s="369"/>
      <c r="AF67" s="369"/>
      <c r="AG67" s="369"/>
      <c r="AH67" s="368"/>
      <c r="AI67" s="370"/>
      <c r="AJ67" s="368"/>
      <c r="AK67" s="369"/>
      <c r="AL67" s="368"/>
      <c r="AM67" s="369">
        <f t="shared" si="1"/>
        <v>0</v>
      </c>
    </row>
    <row r="68" spans="1:39">
      <c r="A68" s="91">
        <f>IF(C68&lt;&gt;"",MAX(A64:A67)+1,"")</f>
        <v>54</v>
      </c>
      <c r="C68" s="80" t="s">
        <v>330</v>
      </c>
      <c r="D68" s="80"/>
      <c r="E68" s="2"/>
      <c r="F68" s="369"/>
      <c r="G68" s="377">
        <v>26585154.466419831</v>
      </c>
      <c r="H68" s="369"/>
      <c r="I68" s="369"/>
      <c r="J68" s="369"/>
      <c r="K68" s="368"/>
      <c r="L68" s="370">
        <f t="shared" si="34"/>
        <v>26585154.466419831</v>
      </c>
      <c r="M68" s="368"/>
      <c r="N68" s="369"/>
      <c r="O68" s="369">
        <f t="shared" si="35"/>
        <v>26585154.466419831</v>
      </c>
      <c r="P68" s="791"/>
      <c r="Q68" s="369"/>
      <c r="R68" s="377">
        <v>27621329.57647486</v>
      </c>
      <c r="S68" s="369"/>
      <c r="T68" s="369"/>
      <c r="U68" s="369"/>
      <c r="V68" s="368"/>
      <c r="W68" s="370">
        <f t="shared" si="36"/>
        <v>27621329.57647486</v>
      </c>
      <c r="X68" s="368"/>
      <c r="Y68" s="369"/>
      <c r="Z68" s="861"/>
      <c r="AA68" s="369">
        <f t="shared" si="37"/>
        <v>27621329.57647486</v>
      </c>
      <c r="AB68" s="368"/>
      <c r="AC68" s="369"/>
      <c r="AD68" s="377">
        <v>28697890.340863917</v>
      </c>
      <c r="AE68" s="369"/>
      <c r="AF68" s="369"/>
      <c r="AG68" s="369"/>
      <c r="AH68" s="368"/>
      <c r="AI68" s="370">
        <f t="shared" si="38"/>
        <v>28697890.340863917</v>
      </c>
      <c r="AJ68" s="368"/>
      <c r="AK68" s="369"/>
      <c r="AL68" s="368"/>
      <c r="AM68" s="369">
        <f t="shared" si="1"/>
        <v>28697890.340863917</v>
      </c>
    </row>
    <row r="69" spans="1:39">
      <c r="A69" s="91">
        <f>IF(C69&lt;&gt;"",MAX(A63:A68)+1,"")</f>
        <v>55</v>
      </c>
      <c r="C69" s="80" t="s">
        <v>331</v>
      </c>
      <c r="D69" s="80"/>
      <c r="F69" s="369"/>
      <c r="G69" s="369"/>
      <c r="H69" s="369"/>
      <c r="I69" s="369"/>
      <c r="J69" s="369"/>
      <c r="K69" s="368"/>
      <c r="L69" s="370">
        <f t="shared" si="34"/>
        <v>0</v>
      </c>
      <c r="M69" s="368"/>
      <c r="N69" s="369"/>
      <c r="O69" s="369">
        <f t="shared" si="35"/>
        <v>0</v>
      </c>
      <c r="P69" s="368"/>
      <c r="Q69" s="369"/>
      <c r="R69" s="369"/>
      <c r="S69" s="369"/>
      <c r="T69" s="369"/>
      <c r="U69" s="369"/>
      <c r="V69" s="368"/>
      <c r="W69" s="370">
        <f t="shared" si="36"/>
        <v>0</v>
      </c>
      <c r="X69" s="368"/>
      <c r="Y69" s="369"/>
      <c r="Z69" s="861"/>
      <c r="AA69" s="369">
        <f t="shared" si="37"/>
        <v>0</v>
      </c>
      <c r="AB69" s="368"/>
      <c r="AC69" s="369"/>
      <c r="AD69" s="369"/>
      <c r="AE69" s="369"/>
      <c r="AF69" s="369"/>
      <c r="AG69" s="369"/>
      <c r="AH69" s="368"/>
      <c r="AI69" s="370">
        <f t="shared" si="38"/>
        <v>0</v>
      </c>
      <c r="AJ69" s="368"/>
      <c r="AK69" s="369"/>
      <c r="AL69" s="368"/>
      <c r="AM69" s="369">
        <f t="shared" si="1"/>
        <v>0</v>
      </c>
    </row>
    <row r="70" spans="1:39">
      <c r="A70" s="91">
        <f>IF(C70&lt;&gt;"",MAX(A65:A69)+1,"")</f>
        <v>56</v>
      </c>
      <c r="C70" s="792" t="s">
        <v>332</v>
      </c>
      <c r="D70" s="874"/>
      <c r="E70" s="2"/>
      <c r="F70" s="779">
        <f>SUM(F63:F69)</f>
        <v>129957434.58060001</v>
      </c>
      <c r="G70" s="779">
        <f>SUM(G63:G69)</f>
        <v>26585154.466419831</v>
      </c>
      <c r="H70" s="779">
        <f>SUM(H63:H69)</f>
        <v>0</v>
      </c>
      <c r="I70" s="779">
        <f>SUM(I63:I69)</f>
        <v>0</v>
      </c>
      <c r="J70" s="779">
        <f>SUM(J63:J69)</f>
        <v>283499914.74620473</v>
      </c>
      <c r="K70" s="764"/>
      <c r="L70" s="875">
        <f t="shared" ref="L70" si="39">SUM(L63:L69)</f>
        <v>440042503.79322451</v>
      </c>
      <c r="M70" s="764"/>
      <c r="N70" s="779"/>
      <c r="O70" s="779">
        <f t="shared" si="35"/>
        <v>440042503.79322451</v>
      </c>
      <c r="P70" s="791"/>
      <c r="Q70" s="779">
        <f>SUM(Q63:Q69)</f>
        <v>129532870.764</v>
      </c>
      <c r="R70" s="779">
        <f>SUM(R63:R69)</f>
        <v>27621329.57647486</v>
      </c>
      <c r="S70" s="779">
        <f t="shared" ref="S70:U70" si="40">SUM(S63:S69)</f>
        <v>0</v>
      </c>
      <c r="T70" s="779">
        <f t="shared" si="40"/>
        <v>0</v>
      </c>
      <c r="U70" s="779">
        <f t="shared" si="40"/>
        <v>252896002.87520617</v>
      </c>
      <c r="V70" s="764"/>
      <c r="W70" s="875">
        <f t="shared" ref="W70" si="41">SUM(W63:W69)</f>
        <v>410050203.21568102</v>
      </c>
      <c r="X70" s="764"/>
      <c r="Y70" s="779"/>
      <c r="Z70" s="876"/>
      <c r="AA70" s="779">
        <f t="shared" si="37"/>
        <v>410050203.21568102</v>
      </c>
      <c r="AB70" s="368"/>
      <c r="AC70" s="779">
        <f>SUM(AC63:AC69)</f>
        <v>125148055.9329</v>
      </c>
      <c r="AD70" s="779">
        <f>SUM(AD63:AD69)</f>
        <v>28697890.340863917</v>
      </c>
      <c r="AE70" s="779">
        <f t="shared" ref="AE70:AG70" si="42">SUM(AE63:AE69)</f>
        <v>0</v>
      </c>
      <c r="AF70" s="779">
        <f t="shared" si="42"/>
        <v>0</v>
      </c>
      <c r="AG70" s="779">
        <f t="shared" si="42"/>
        <v>170314752.20894882</v>
      </c>
      <c r="AH70" s="764"/>
      <c r="AI70" s="875">
        <f t="shared" ref="AI70" si="43">SUM(AI63:AI69)</f>
        <v>324160698.48271275</v>
      </c>
      <c r="AJ70" s="764"/>
      <c r="AK70" s="779"/>
      <c r="AL70" s="764"/>
      <c r="AM70" s="780">
        <f t="shared" si="1"/>
        <v>324160698.48271275</v>
      </c>
    </row>
    <row r="71" spans="1:39">
      <c r="A71" s="91" t="str">
        <f t="shared" si="0"/>
        <v/>
      </c>
      <c r="C71" s="361"/>
      <c r="D71" s="361"/>
      <c r="F71" s="653"/>
      <c r="G71" s="653"/>
      <c r="H71" s="653"/>
      <c r="I71" s="653"/>
      <c r="J71" s="653"/>
      <c r="K71" s="368"/>
      <c r="L71" s="877"/>
      <c r="M71" s="368"/>
      <c r="N71" s="653"/>
      <c r="O71" s="653"/>
      <c r="P71" s="368"/>
      <c r="Q71" s="653"/>
      <c r="R71" s="653"/>
      <c r="S71" s="653"/>
      <c r="T71" s="653"/>
      <c r="U71" s="653"/>
      <c r="V71" s="368"/>
      <c r="W71" s="877"/>
      <c r="X71" s="368"/>
      <c r="Y71" s="653"/>
      <c r="Z71" s="861"/>
      <c r="AA71" s="653"/>
      <c r="AB71" s="368"/>
      <c r="AC71" s="653"/>
      <c r="AD71" s="653"/>
      <c r="AE71" s="653"/>
      <c r="AF71" s="653"/>
      <c r="AG71" s="653"/>
      <c r="AH71" s="368"/>
      <c r="AI71" s="877"/>
      <c r="AJ71" s="368"/>
      <c r="AK71" s="653"/>
      <c r="AL71" s="368"/>
      <c r="AM71" s="653"/>
    </row>
    <row r="72" spans="1:39">
      <c r="A72" s="91">
        <f t="shared" ref="A72:A85" si="44">IF(C72&lt;&gt;"",MAX(A69:A71)+1,"")</f>
        <v>57</v>
      </c>
      <c r="C72" s="361" t="s">
        <v>333</v>
      </c>
      <c r="D72" s="361"/>
      <c r="E72" s="2"/>
      <c r="F72" s="653"/>
      <c r="G72" s="653"/>
      <c r="H72" s="653"/>
      <c r="I72" s="653"/>
      <c r="J72" s="653"/>
      <c r="K72" s="653"/>
      <c r="L72" s="877"/>
      <c r="M72" s="653"/>
      <c r="N72" s="653"/>
      <c r="O72" s="653"/>
      <c r="P72" s="791"/>
      <c r="Q72" s="653"/>
      <c r="R72" s="653"/>
      <c r="S72" s="653"/>
      <c r="T72" s="653"/>
      <c r="U72" s="653"/>
      <c r="V72" s="653"/>
      <c r="W72" s="877"/>
      <c r="X72" s="653"/>
      <c r="Y72" s="653"/>
      <c r="Z72" s="877"/>
      <c r="AA72" s="653"/>
      <c r="AB72" s="368"/>
      <c r="AC72" s="653"/>
      <c r="AD72" s="653"/>
      <c r="AE72" s="653"/>
      <c r="AF72" s="653"/>
      <c r="AG72" s="653"/>
      <c r="AH72" s="653"/>
      <c r="AI72" s="877"/>
      <c r="AJ72" s="653"/>
      <c r="AK72" s="653"/>
      <c r="AL72" s="653"/>
      <c r="AM72" s="653"/>
    </row>
    <row r="73" spans="1:39">
      <c r="A73" s="91">
        <f t="shared" si="44"/>
        <v>58</v>
      </c>
      <c r="C73" s="80" t="s">
        <v>264</v>
      </c>
      <c r="D73" s="80"/>
      <c r="F73" s="369"/>
      <c r="G73" s="369"/>
      <c r="H73" s="369"/>
      <c r="I73" s="369"/>
      <c r="J73" s="369">
        <f>SUM('D-1-Constrained'!I5,'D-1-Constrained'!I38,'D-1-Constrained'!I44,'D-1-Constrained'!I51,'D-1-Constrained'!I56,'D-1-Constrained'!I62,'D-1-Constrained'!I76)</f>
        <v>398491969.89231253</v>
      </c>
      <c r="K73" s="368"/>
      <c r="L73" s="370">
        <f t="shared" ref="L73:L79" si="45">SUM(F73:J73)</f>
        <v>398491969.89231253</v>
      </c>
      <c r="M73" s="368"/>
      <c r="N73" s="369"/>
      <c r="O73" s="369">
        <f t="shared" ref="O73:O80" si="46">+N73+L73</f>
        <v>398491969.89231253</v>
      </c>
      <c r="P73" s="368"/>
      <c r="Q73" s="369"/>
      <c r="R73" s="369"/>
      <c r="S73" s="369"/>
      <c r="T73" s="369"/>
      <c r="U73" s="369">
        <f>SUM('D-1-Constrained'!M5,'D-1-Constrained'!M38,'D-1-Constrained'!M44,'D-1-Constrained'!M51,'D-1-Constrained'!M56,'D-1-Constrained'!M62,'D-1-Constrained'!M76)</f>
        <v>504193504.97402614</v>
      </c>
      <c r="V73" s="368"/>
      <c r="W73" s="370">
        <f t="shared" ref="W73:W79" si="47">SUM(Q73:U73)</f>
        <v>504193504.97402614</v>
      </c>
      <c r="X73" s="368"/>
      <c r="Y73" s="369"/>
      <c r="Z73" s="861"/>
      <c r="AA73" s="369">
        <f t="shared" ref="AA73:AA80" si="48">W73+Y73</f>
        <v>504193504.97402614</v>
      </c>
      <c r="AB73" s="368"/>
      <c r="AC73" s="369"/>
      <c r="AD73" s="369"/>
      <c r="AE73" s="369"/>
      <c r="AF73" s="369"/>
      <c r="AG73" s="369">
        <f>SUM('D-1-Constrained'!Q5,'D-1-Constrained'!Q38,'D-1-Constrained'!Q44,'D-1-Constrained'!Q51,'D-1-Constrained'!Q56,'D-1-Constrained'!Q62,'D-1-Constrained'!Q76)</f>
        <v>603888906.12142634</v>
      </c>
      <c r="AH73" s="368"/>
      <c r="AI73" s="370">
        <f t="shared" ref="AI73:AI79" si="49">SUM(AC73:AG73)</f>
        <v>603888906.12142634</v>
      </c>
      <c r="AJ73" s="368"/>
      <c r="AK73" s="369"/>
      <c r="AL73" s="368"/>
      <c r="AM73" s="369">
        <f t="shared" ref="AM73:AM84" si="50">+AK73+AI73</f>
        <v>603888906.12142634</v>
      </c>
    </row>
    <row r="74" spans="1:39">
      <c r="A74" s="91">
        <f t="shared" si="44"/>
        <v>59</v>
      </c>
      <c r="C74" s="80" t="s">
        <v>248</v>
      </c>
      <c r="D74" s="80"/>
      <c r="E74" s="2"/>
      <c r="F74" s="369"/>
      <c r="G74" s="377">
        <f>'D-1-Constrained'!I17</f>
        <v>209276668</v>
      </c>
      <c r="H74" s="369"/>
      <c r="I74" s="369"/>
      <c r="J74" s="369"/>
      <c r="K74" s="368"/>
      <c r="L74" s="370">
        <f t="shared" si="45"/>
        <v>209276668</v>
      </c>
      <c r="M74" s="368"/>
      <c r="N74" s="369"/>
      <c r="O74" s="369">
        <f t="shared" si="46"/>
        <v>209276668</v>
      </c>
      <c r="P74" s="791"/>
      <c r="Q74" s="369"/>
      <c r="R74" s="377">
        <f>'D-1-Constrained'!M17</f>
        <v>179961323.27000001</v>
      </c>
      <c r="S74" s="369"/>
      <c r="T74" s="369"/>
      <c r="U74" s="369"/>
      <c r="V74" s="368"/>
      <c r="W74" s="370">
        <f t="shared" si="47"/>
        <v>179961323.27000001</v>
      </c>
      <c r="X74" s="368"/>
      <c r="Y74" s="369"/>
      <c r="Z74" s="861"/>
      <c r="AA74" s="369">
        <f t="shared" si="48"/>
        <v>179961323.27000001</v>
      </c>
      <c r="AB74" s="368"/>
      <c r="AC74" s="369"/>
      <c r="AD74" s="377">
        <f>'D-1-Constrained'!Q17</f>
        <v>180358438</v>
      </c>
      <c r="AE74" s="369"/>
      <c r="AF74" s="369"/>
      <c r="AG74" s="369"/>
      <c r="AH74" s="368"/>
      <c r="AI74" s="370">
        <f t="shared" si="49"/>
        <v>180358438</v>
      </c>
      <c r="AJ74" s="368"/>
      <c r="AK74" s="369"/>
      <c r="AL74" s="368"/>
      <c r="AM74" s="369">
        <f t="shared" si="50"/>
        <v>180358438</v>
      </c>
    </row>
    <row r="75" spans="1:39">
      <c r="A75" s="91">
        <f t="shared" si="44"/>
        <v>60</v>
      </c>
      <c r="C75" s="80" t="s">
        <v>253</v>
      </c>
      <c r="D75" s="80"/>
      <c r="F75" s="369"/>
      <c r="G75" s="369"/>
      <c r="H75" s="369">
        <f>'D-1-Constrained'!I35</f>
        <v>1234000</v>
      </c>
      <c r="I75" s="369"/>
      <c r="J75" s="369"/>
      <c r="K75" s="368"/>
      <c r="L75" s="370">
        <f t="shared" si="45"/>
        <v>1234000</v>
      </c>
      <c r="M75" s="368"/>
      <c r="N75" s="369"/>
      <c r="O75" s="369">
        <f t="shared" si="46"/>
        <v>1234000</v>
      </c>
      <c r="P75" s="368"/>
      <c r="Q75" s="369"/>
      <c r="R75" s="369"/>
      <c r="S75" s="369">
        <f>'D-1-Constrained'!M35</f>
        <v>1295700</v>
      </c>
      <c r="T75" s="369"/>
      <c r="U75" s="369"/>
      <c r="V75" s="368"/>
      <c r="W75" s="370">
        <f t="shared" si="47"/>
        <v>1295700</v>
      </c>
      <c r="X75" s="368"/>
      <c r="Y75" s="369"/>
      <c r="Z75" s="861"/>
      <c r="AA75" s="369">
        <f t="shared" si="48"/>
        <v>1295700</v>
      </c>
      <c r="AB75" s="368"/>
      <c r="AC75" s="369"/>
      <c r="AD75" s="369"/>
      <c r="AE75" s="369">
        <f>'D-1-Constrained'!Q35</f>
        <v>1360485</v>
      </c>
      <c r="AF75" s="369"/>
      <c r="AG75" s="369"/>
      <c r="AH75" s="368"/>
      <c r="AI75" s="370">
        <f t="shared" si="49"/>
        <v>1360485</v>
      </c>
      <c r="AJ75" s="368"/>
      <c r="AK75" s="369"/>
      <c r="AL75" s="368"/>
      <c r="AM75" s="369">
        <f t="shared" si="50"/>
        <v>1360485</v>
      </c>
    </row>
    <row r="76" spans="1:39">
      <c r="A76" s="91">
        <f t="shared" si="44"/>
        <v>61</v>
      </c>
      <c r="C76" s="80" t="s">
        <v>258</v>
      </c>
      <c r="D76" s="80"/>
      <c r="E76" s="2"/>
      <c r="F76" s="369"/>
      <c r="G76" s="369"/>
      <c r="H76" s="369"/>
      <c r="I76" s="369">
        <f>'D-1-Constrained'!I89</f>
        <v>29274848.571428571</v>
      </c>
      <c r="J76" s="369"/>
      <c r="K76" s="368"/>
      <c r="L76" s="370">
        <f t="shared" si="45"/>
        <v>29274848.571428571</v>
      </c>
      <c r="M76" s="368"/>
      <c r="N76" s="369"/>
      <c r="O76" s="369">
        <f t="shared" si="46"/>
        <v>29274848.571428571</v>
      </c>
      <c r="P76" s="791"/>
      <c r="Q76" s="369"/>
      <c r="R76" s="369"/>
      <c r="S76" s="369"/>
      <c r="T76" s="369">
        <f>'D-1-Constrained'!M89</f>
        <v>28220825.714285716</v>
      </c>
      <c r="U76" s="369"/>
      <c r="V76" s="368"/>
      <c r="W76" s="370">
        <f t="shared" si="47"/>
        <v>28220825.714285716</v>
      </c>
      <c r="X76" s="368"/>
      <c r="Y76" s="369"/>
      <c r="Z76" s="861"/>
      <c r="AA76" s="369">
        <f t="shared" si="48"/>
        <v>28220825.714285716</v>
      </c>
      <c r="AB76" s="368"/>
      <c r="AC76" s="369"/>
      <c r="AD76" s="369"/>
      <c r="AE76" s="369"/>
      <c r="AF76" s="369">
        <f>'D-1-Constrained'!Q90</f>
        <v>29221358.942857146</v>
      </c>
      <c r="AG76" s="369"/>
      <c r="AH76" s="368"/>
      <c r="AI76" s="370">
        <f t="shared" si="49"/>
        <v>29221358.942857146</v>
      </c>
      <c r="AJ76" s="368"/>
      <c r="AK76" s="369"/>
      <c r="AL76" s="368"/>
      <c r="AM76" s="369">
        <f t="shared" si="50"/>
        <v>29221358.942857146</v>
      </c>
    </row>
    <row r="77" spans="1:39">
      <c r="A77" s="91">
        <f t="shared" si="44"/>
        <v>62</v>
      </c>
      <c r="C77" s="80" t="s">
        <v>335</v>
      </c>
      <c r="D77" s="80"/>
      <c r="F77" s="369"/>
      <c r="G77" s="369"/>
      <c r="H77" s="369"/>
      <c r="I77" s="369"/>
      <c r="J77" s="369"/>
      <c r="K77" s="368"/>
      <c r="L77" s="370">
        <f t="shared" si="45"/>
        <v>0</v>
      </c>
      <c r="M77" s="368"/>
      <c r="N77" s="369"/>
      <c r="O77" s="369">
        <f t="shared" si="46"/>
        <v>0</v>
      </c>
      <c r="P77" s="368"/>
      <c r="Q77" s="369"/>
      <c r="R77" s="369"/>
      <c r="S77" s="369"/>
      <c r="T77" s="369"/>
      <c r="U77" s="369"/>
      <c r="V77" s="368"/>
      <c r="W77" s="370">
        <f t="shared" si="47"/>
        <v>0</v>
      </c>
      <c r="X77" s="368"/>
      <c r="Y77" s="369"/>
      <c r="Z77" s="861"/>
      <c r="AA77" s="369">
        <f t="shared" si="48"/>
        <v>0</v>
      </c>
      <c r="AB77" s="368"/>
      <c r="AC77" s="369"/>
      <c r="AD77" s="369"/>
      <c r="AE77" s="369"/>
      <c r="AF77" s="369"/>
      <c r="AG77" s="369"/>
      <c r="AH77" s="368"/>
      <c r="AI77" s="370">
        <f t="shared" si="49"/>
        <v>0</v>
      </c>
      <c r="AJ77" s="368"/>
      <c r="AK77" s="369"/>
      <c r="AL77" s="368"/>
      <c r="AM77" s="369">
        <f t="shared" si="50"/>
        <v>0</v>
      </c>
    </row>
    <row r="78" spans="1:39">
      <c r="A78" s="91">
        <f t="shared" si="44"/>
        <v>63</v>
      </c>
      <c r="C78" s="80" t="s">
        <v>336</v>
      </c>
      <c r="D78" s="80"/>
      <c r="E78" s="2"/>
      <c r="F78" s="369"/>
      <c r="G78" s="369"/>
      <c r="H78" s="369"/>
      <c r="I78" s="369"/>
      <c r="J78" s="369"/>
      <c r="K78" s="368"/>
      <c r="L78" s="370">
        <f t="shared" si="45"/>
        <v>0</v>
      </c>
      <c r="M78" s="368"/>
      <c r="N78" s="369"/>
      <c r="O78" s="369">
        <f t="shared" si="46"/>
        <v>0</v>
      </c>
      <c r="P78" s="791"/>
      <c r="Q78" s="369"/>
      <c r="R78" s="369"/>
      <c r="S78" s="369"/>
      <c r="T78" s="369"/>
      <c r="U78" s="369"/>
      <c r="V78" s="368"/>
      <c r="W78" s="370">
        <f t="shared" si="47"/>
        <v>0</v>
      </c>
      <c r="X78" s="368"/>
      <c r="Y78" s="369"/>
      <c r="Z78" s="861"/>
      <c r="AA78" s="369">
        <f t="shared" si="48"/>
        <v>0</v>
      </c>
      <c r="AB78" s="368"/>
      <c r="AC78" s="369"/>
      <c r="AD78" s="369"/>
      <c r="AE78" s="369"/>
      <c r="AF78" s="369"/>
      <c r="AG78" s="369"/>
      <c r="AH78" s="368"/>
      <c r="AI78" s="370">
        <f t="shared" si="49"/>
        <v>0</v>
      </c>
      <c r="AJ78" s="368"/>
      <c r="AK78" s="369"/>
      <c r="AL78" s="368"/>
      <c r="AM78" s="369">
        <f t="shared" si="50"/>
        <v>0</v>
      </c>
    </row>
    <row r="79" spans="1:39">
      <c r="A79" s="91">
        <f t="shared" si="44"/>
        <v>64</v>
      </c>
      <c r="C79" s="80" t="s">
        <v>337</v>
      </c>
      <c r="D79" s="80"/>
      <c r="F79" s="369"/>
      <c r="G79" s="377"/>
      <c r="H79" s="369"/>
      <c r="I79" s="369"/>
      <c r="J79" s="369"/>
      <c r="K79" s="368"/>
      <c r="L79" s="370">
        <f t="shared" si="45"/>
        <v>0</v>
      </c>
      <c r="M79" s="368"/>
      <c r="N79" s="369"/>
      <c r="O79" s="369">
        <f t="shared" si="46"/>
        <v>0</v>
      </c>
      <c r="P79" s="368"/>
      <c r="Q79" s="369"/>
      <c r="R79" s="369"/>
      <c r="S79" s="369"/>
      <c r="T79" s="369"/>
      <c r="U79" s="369"/>
      <c r="V79" s="368"/>
      <c r="W79" s="370">
        <f t="shared" si="47"/>
        <v>0</v>
      </c>
      <c r="X79" s="368"/>
      <c r="Y79" s="369"/>
      <c r="Z79" s="861"/>
      <c r="AA79" s="369">
        <f t="shared" si="48"/>
        <v>0</v>
      </c>
      <c r="AB79" s="368"/>
      <c r="AC79" s="369"/>
      <c r="AD79" s="369"/>
      <c r="AE79" s="369"/>
      <c r="AF79" s="369"/>
      <c r="AG79" s="369"/>
      <c r="AH79" s="368"/>
      <c r="AI79" s="370">
        <f t="shared" si="49"/>
        <v>0</v>
      </c>
      <c r="AJ79" s="368"/>
      <c r="AK79" s="369"/>
      <c r="AL79" s="368"/>
      <c r="AM79" s="369">
        <f t="shared" si="50"/>
        <v>0</v>
      </c>
    </row>
    <row r="80" spans="1:39">
      <c r="A80" s="91">
        <f>IF(C80&lt;&gt;"",MAX(A77:A79)+1,"")</f>
        <v>65</v>
      </c>
      <c r="C80" s="792" t="s">
        <v>338</v>
      </c>
      <c r="D80" s="874"/>
      <c r="F80" s="779"/>
      <c r="G80" s="779">
        <f>SUM(G73:G79)</f>
        <v>209276668</v>
      </c>
      <c r="H80" s="779">
        <f t="shared" ref="H80:I80" si="51">SUM(H73:H79)</f>
        <v>1234000</v>
      </c>
      <c r="I80" s="779">
        <f t="shared" si="51"/>
        <v>29274848.571428571</v>
      </c>
      <c r="J80" s="779">
        <f>SUM(J73:J79)</f>
        <v>398491969.89231253</v>
      </c>
      <c r="K80" s="764"/>
      <c r="L80" s="875">
        <f>SUM(L73:L76)</f>
        <v>638277486.46374106</v>
      </c>
      <c r="M80" s="764"/>
      <c r="N80" s="779"/>
      <c r="O80" s="779">
        <f t="shared" si="46"/>
        <v>638277486.46374106</v>
      </c>
      <c r="P80" s="368"/>
      <c r="Q80" s="779"/>
      <c r="R80" s="779">
        <f>SUM(R73:R79)</f>
        <v>179961323.27000001</v>
      </c>
      <c r="S80" s="779">
        <f t="shared" ref="S80:U80" si="52">SUM(S73:S79)</f>
        <v>1295700</v>
      </c>
      <c r="T80" s="779">
        <f t="shared" si="52"/>
        <v>28220825.714285716</v>
      </c>
      <c r="U80" s="779">
        <f t="shared" si="52"/>
        <v>504193504.97402614</v>
      </c>
      <c r="V80" s="764"/>
      <c r="W80" s="875">
        <f>SUM(W73:W76)</f>
        <v>713671353.95831192</v>
      </c>
      <c r="X80" s="764"/>
      <c r="Y80" s="779"/>
      <c r="Z80" s="876"/>
      <c r="AA80" s="779">
        <f t="shared" si="48"/>
        <v>713671353.95831192</v>
      </c>
      <c r="AB80" s="368"/>
      <c r="AC80" s="779"/>
      <c r="AD80" s="779">
        <f>SUM(AD73:AD79)</f>
        <v>180358438</v>
      </c>
      <c r="AE80" s="779">
        <f t="shared" ref="AE80:AG80" si="53">SUM(AE73:AE79)</f>
        <v>1360485</v>
      </c>
      <c r="AF80" s="779">
        <f t="shared" si="53"/>
        <v>29221358.942857146</v>
      </c>
      <c r="AG80" s="779">
        <f t="shared" si="53"/>
        <v>603888906.12142634</v>
      </c>
      <c r="AH80" s="764"/>
      <c r="AI80" s="875">
        <f>SUM(AI73:AI76)</f>
        <v>814829188.06428349</v>
      </c>
      <c r="AJ80" s="764"/>
      <c r="AK80" s="779"/>
      <c r="AL80" s="764"/>
      <c r="AM80" s="780">
        <f t="shared" si="50"/>
        <v>814829188.06428349</v>
      </c>
    </row>
    <row r="81" spans="1:39">
      <c r="A81" s="91" t="str">
        <f>IF(C81&lt;&gt;"",MAX(A78:A80)+1,"")</f>
        <v/>
      </c>
      <c r="C81" s="80"/>
      <c r="D81" s="80"/>
      <c r="E81" s="2"/>
      <c r="F81" s="369"/>
      <c r="G81" s="369"/>
      <c r="H81" s="369"/>
      <c r="I81" s="369"/>
      <c r="J81" s="369"/>
      <c r="K81" s="368"/>
      <c r="L81" s="370"/>
      <c r="M81" s="368"/>
      <c r="N81" s="369"/>
      <c r="O81" s="369"/>
      <c r="P81" s="791"/>
      <c r="Q81" s="369"/>
      <c r="R81" s="369"/>
      <c r="S81" s="369"/>
      <c r="T81" s="369"/>
      <c r="U81" s="369"/>
      <c r="V81" s="368"/>
      <c r="W81" s="370"/>
      <c r="X81" s="368"/>
      <c r="Y81" s="369"/>
      <c r="Z81" s="861"/>
      <c r="AA81" s="369"/>
      <c r="AB81" s="368"/>
      <c r="AC81" s="369"/>
      <c r="AD81" s="369"/>
      <c r="AE81" s="369"/>
      <c r="AF81" s="369"/>
      <c r="AG81" s="369"/>
      <c r="AH81" s="368"/>
      <c r="AI81" s="370"/>
      <c r="AJ81" s="368"/>
      <c r="AK81" s="369"/>
      <c r="AL81" s="368"/>
      <c r="AM81" s="369"/>
    </row>
    <row r="82" spans="1:39">
      <c r="A82" s="91">
        <f>IF(C82&lt;&gt;"",MAX(A79:A81)+1,"")</f>
        <v>66</v>
      </c>
      <c r="C82" s="80" t="s">
        <v>339</v>
      </c>
      <c r="D82" s="80"/>
      <c r="E82" s="2"/>
      <c r="F82" s="369"/>
      <c r="G82" s="377">
        <v>67403088.084444642</v>
      </c>
      <c r="H82" s="369"/>
      <c r="I82" s="369"/>
      <c r="J82" s="369">
        <f>'C-2 - OPTIMAL'!J82</f>
        <v>90138971.987098172</v>
      </c>
      <c r="K82" s="368"/>
      <c r="L82" s="370">
        <f t="shared" ref="L82" si="54">SUM(F82:J82)</f>
        <v>157542060.0715428</v>
      </c>
      <c r="M82" s="368"/>
      <c r="N82" s="369"/>
      <c r="O82" s="369">
        <f>+N82+L82</f>
        <v>157542060.0715428</v>
      </c>
      <c r="P82" s="791"/>
      <c r="Q82" s="369"/>
      <c r="R82" s="377">
        <v>34288638.684478566</v>
      </c>
      <c r="S82" s="369"/>
      <c r="T82" s="369"/>
      <c r="U82" s="369">
        <f>'C-2 - OPTIMAL'!U82</f>
        <v>165894944.55776396</v>
      </c>
      <c r="V82" s="368"/>
      <c r="W82" s="370">
        <f t="shared" ref="W82" si="55">SUM(Q82:U82)</f>
        <v>200183583.24224252</v>
      </c>
      <c r="X82" s="368"/>
      <c r="Y82" s="369"/>
      <c r="Z82" s="861"/>
      <c r="AA82" s="369">
        <f>W82+Y82</f>
        <v>200183583.24224252</v>
      </c>
      <c r="AB82" s="368"/>
      <c r="AC82" s="369"/>
      <c r="AD82" s="377">
        <v>8502694.1737267859</v>
      </c>
      <c r="AE82" s="369"/>
      <c r="AF82" s="369"/>
      <c r="AG82" s="369">
        <f>'C-2 - OPTIMAL'!AG82</f>
        <v>188690476.6468811</v>
      </c>
      <c r="AH82" s="368"/>
      <c r="AI82" s="370">
        <f t="shared" ref="AI82" si="56">SUM(AC82:AG82)</f>
        <v>197193170.8206079</v>
      </c>
      <c r="AJ82" s="368"/>
      <c r="AK82" s="369"/>
      <c r="AL82" s="368"/>
      <c r="AM82" s="369">
        <f t="shared" si="50"/>
        <v>197193170.8206079</v>
      </c>
    </row>
    <row r="83" spans="1:39">
      <c r="A83" s="91">
        <f>IF(C83&lt;&gt;"",MAX(A81:A82)+1,"")</f>
        <v>67</v>
      </c>
      <c r="C83" s="80" t="s">
        <v>340</v>
      </c>
      <c r="D83" s="80"/>
      <c r="F83" s="369"/>
      <c r="G83" s="377">
        <f>G80+G61</f>
        <v>455502126.12800002</v>
      </c>
      <c r="H83" s="377">
        <f t="shared" ref="H83:I83" si="57">H80+H61</f>
        <v>14132400</v>
      </c>
      <c r="I83" s="377">
        <f t="shared" si="57"/>
        <v>64338348.571428567</v>
      </c>
      <c r="J83" s="377">
        <f>J80+J61</f>
        <v>1206632705.8923125</v>
      </c>
      <c r="K83" s="368"/>
      <c r="L83" s="370">
        <f>L33+L56+L80</f>
        <v>1785927782.817481</v>
      </c>
      <c r="M83" s="368"/>
      <c r="N83" s="369"/>
      <c r="O83" s="369">
        <f>+N83+L83</f>
        <v>1785927782.817481</v>
      </c>
      <c r="P83" s="368"/>
      <c r="Q83" s="369"/>
      <c r="R83" s="377">
        <f>R80+R61</f>
        <v>425606809.81624997</v>
      </c>
      <c r="S83" s="369"/>
      <c r="T83" s="369"/>
      <c r="U83" s="377">
        <f>U80+U61</f>
        <v>1459248559.9740262</v>
      </c>
      <c r="V83" s="368"/>
      <c r="W83" s="370">
        <f>W33+W56+W80</f>
        <v>1989001311.8400059</v>
      </c>
      <c r="X83" s="368"/>
      <c r="Y83" s="369"/>
      <c r="Z83" s="861"/>
      <c r="AA83" s="369">
        <f>W83+Y83</f>
        <v>1989001311.8400059</v>
      </c>
      <c r="AB83" s="368"/>
      <c r="AC83" s="369"/>
      <c r="AD83" s="377">
        <f>AD80+AD61</f>
        <v>431718916.50106251</v>
      </c>
      <c r="AE83" s="369"/>
      <c r="AF83" s="369"/>
      <c r="AG83" s="377">
        <f>AG80+AG61</f>
        <v>1629865529.1214263</v>
      </c>
      <c r="AH83" s="368"/>
      <c r="AI83" s="370">
        <f>AI33+AI56+AI80</f>
        <v>2153343279.8717809</v>
      </c>
      <c r="AJ83" s="368"/>
      <c r="AK83" s="369"/>
      <c r="AL83" s="368"/>
      <c r="AM83" s="369">
        <f t="shared" si="50"/>
        <v>2153343279.8717809</v>
      </c>
    </row>
    <row r="84" spans="1:39">
      <c r="A84" s="91">
        <f>IF(C84&lt;&gt;"",MAX(A80:A83)+1,"")</f>
        <v>68</v>
      </c>
      <c r="C84" s="792" t="s">
        <v>341</v>
      </c>
      <c r="D84" s="874"/>
      <c r="E84" s="2"/>
      <c r="F84" s="779">
        <f t="shared" ref="F84:L84" si="58">F61+F70+F80</f>
        <v>2566670734.4212894</v>
      </c>
      <c r="G84" s="779">
        <f t="shared" si="58"/>
        <v>482087280.59441984</v>
      </c>
      <c r="H84" s="779">
        <f t="shared" si="58"/>
        <v>14132400</v>
      </c>
      <c r="I84" s="779">
        <f t="shared" si="58"/>
        <v>64338348.571428567</v>
      </c>
      <c r="J84" s="779">
        <f t="shared" si="58"/>
        <v>1490132620.6385174</v>
      </c>
      <c r="K84" s="779">
        <f t="shared" si="58"/>
        <v>0</v>
      </c>
      <c r="L84" s="779">
        <f t="shared" si="58"/>
        <v>4669025586.451395</v>
      </c>
      <c r="M84" s="779"/>
      <c r="N84" s="779"/>
      <c r="O84" s="779">
        <f>+N84+L84</f>
        <v>4669025586.451395</v>
      </c>
      <c r="P84" s="791"/>
      <c r="Q84" s="779">
        <f t="shared" ref="Q84:W84" si="59">Q61+Q70+Q80</f>
        <v>2493342888.836628</v>
      </c>
      <c r="R84" s="779">
        <f t="shared" si="59"/>
        <v>453228139.39272487</v>
      </c>
      <c r="S84" s="779">
        <f t="shared" si="59"/>
        <v>14839020</v>
      </c>
      <c r="T84" s="779">
        <f t="shared" si="59"/>
        <v>65037500.714285716</v>
      </c>
      <c r="U84" s="779">
        <f t="shared" si="59"/>
        <v>1712144562.8492324</v>
      </c>
      <c r="V84" s="779">
        <f t="shared" si="59"/>
        <v>0</v>
      </c>
      <c r="W84" s="779">
        <f t="shared" si="59"/>
        <v>4769520633.128315</v>
      </c>
      <c r="X84" s="779"/>
      <c r="Y84" s="779"/>
      <c r="Z84" s="875"/>
      <c r="AA84" s="779">
        <f>W84+Y84</f>
        <v>4769520633.128315</v>
      </c>
      <c r="AB84" s="368"/>
      <c r="AC84" s="779">
        <f t="shared" ref="AC84:AI84" si="60">AC61+AC70+AC80</f>
        <v>125148055.9329</v>
      </c>
      <c r="AD84" s="779">
        <f t="shared" si="60"/>
        <v>460416806.84192646</v>
      </c>
      <c r="AE84" s="779">
        <f t="shared" si="60"/>
        <v>15580971</v>
      </c>
      <c r="AF84" s="779">
        <f t="shared" si="60"/>
        <v>67878867.692857146</v>
      </c>
      <c r="AG84" s="779">
        <f t="shared" si="60"/>
        <v>1800180281.3303752</v>
      </c>
      <c r="AH84" s="779">
        <f t="shared" si="60"/>
        <v>0</v>
      </c>
      <c r="AI84" s="779">
        <f t="shared" si="60"/>
        <v>4797128030.6976624</v>
      </c>
      <c r="AJ84" s="779"/>
      <c r="AK84" s="779"/>
      <c r="AL84" s="779"/>
      <c r="AM84" s="779">
        <f t="shared" si="50"/>
        <v>4797128030.6976624</v>
      </c>
    </row>
    <row r="85" spans="1:39">
      <c r="A85" s="91" t="str">
        <f t="shared" si="44"/>
        <v/>
      </c>
      <c r="C85" s="29"/>
      <c r="D85" s="29"/>
      <c r="F85" s="653"/>
      <c r="G85" s="653"/>
      <c r="H85" s="653"/>
      <c r="I85" s="653"/>
      <c r="J85" s="653"/>
      <c r="K85" s="368"/>
      <c r="L85" s="877"/>
      <c r="M85" s="368"/>
      <c r="N85" s="653"/>
      <c r="O85" s="653"/>
      <c r="P85" s="368"/>
      <c r="Q85" s="653"/>
      <c r="R85" s="653"/>
      <c r="S85" s="653"/>
      <c r="T85" s="653"/>
      <c r="U85" s="653"/>
      <c r="V85" s="368"/>
      <c r="W85" s="877"/>
      <c r="X85" s="368"/>
      <c r="Y85" s="653"/>
      <c r="Z85" s="861"/>
      <c r="AA85" s="653"/>
      <c r="AB85" s="368"/>
      <c r="AC85" s="653"/>
      <c r="AD85" s="653"/>
      <c r="AE85" s="653"/>
      <c r="AF85" s="653"/>
      <c r="AG85" s="653"/>
      <c r="AH85" s="368"/>
      <c r="AI85" s="877"/>
      <c r="AJ85" s="368"/>
      <c r="AK85" s="653"/>
      <c r="AL85" s="368"/>
      <c r="AM85" s="653"/>
    </row>
    <row r="86" spans="1:39">
      <c r="A86" s="91">
        <f>IF(C86&lt;&gt;"",MAX(A85:A85)+1,"")</f>
        <v>1</v>
      </c>
      <c r="C86" s="80" t="s">
        <v>343</v>
      </c>
      <c r="D86" s="80"/>
      <c r="E86" s="2"/>
      <c r="F86" s="369"/>
      <c r="G86" s="369"/>
      <c r="H86" s="369"/>
      <c r="I86" s="369"/>
      <c r="J86" s="369"/>
      <c r="K86" s="368"/>
      <c r="L86" s="370"/>
      <c r="M86" s="368"/>
      <c r="N86" s="369"/>
      <c r="O86" s="369"/>
      <c r="P86" s="791"/>
      <c r="Q86" s="369"/>
      <c r="R86" s="369"/>
      <c r="S86" s="369"/>
      <c r="T86" s="369"/>
      <c r="U86" s="369"/>
      <c r="V86" s="368"/>
      <c r="W86" s="369"/>
      <c r="X86" s="368"/>
      <c r="Y86" s="369"/>
      <c r="Z86" s="861"/>
      <c r="AA86" s="369"/>
      <c r="AB86" s="368"/>
      <c r="AC86" s="369"/>
      <c r="AD86" s="369"/>
      <c r="AE86" s="369"/>
      <c r="AF86" s="369"/>
      <c r="AG86" s="369"/>
      <c r="AH86" s="368"/>
      <c r="AI86" s="369"/>
      <c r="AJ86" s="368"/>
      <c r="AK86" s="369"/>
      <c r="AL86" s="368"/>
      <c r="AM86" s="369"/>
    </row>
    <row r="87" spans="1:39">
      <c r="A87" s="91" t="str">
        <f>IF(C87&lt;&gt;"",MAX(A86:A86)+1,"")</f>
        <v/>
      </c>
      <c r="F87" s="368"/>
      <c r="G87" s="368"/>
      <c r="H87" s="368"/>
      <c r="I87" s="368"/>
      <c r="J87" s="368"/>
      <c r="K87" s="368"/>
      <c r="L87" s="861"/>
      <c r="M87" s="368"/>
      <c r="N87" s="368"/>
      <c r="O87" s="368"/>
      <c r="P87" s="368"/>
      <c r="Q87" s="368"/>
      <c r="R87" s="368"/>
      <c r="S87" s="368"/>
      <c r="T87" s="368"/>
      <c r="U87" s="368"/>
      <c r="V87" s="368"/>
      <c r="W87" s="368"/>
      <c r="X87" s="368"/>
      <c r="Y87" s="368"/>
      <c r="Z87" s="861"/>
      <c r="AA87" s="368"/>
      <c r="AB87" s="368"/>
      <c r="AC87" s="368"/>
      <c r="AD87" s="368"/>
      <c r="AE87" s="368"/>
      <c r="AF87" s="368"/>
      <c r="AG87" s="368"/>
      <c r="AH87" s="368"/>
      <c r="AI87" s="368"/>
      <c r="AJ87" s="368"/>
      <c r="AK87" s="368"/>
      <c r="AL87" s="368"/>
      <c r="AM87" s="368"/>
    </row>
    <row r="88" spans="1:39">
      <c r="A88" s="91">
        <f>IF(C88&lt;&gt;"",MAX(A86:A87)+1,"")</f>
        <v>2</v>
      </c>
      <c r="C88" s="80" t="s">
        <v>348</v>
      </c>
      <c r="D88" s="80"/>
      <c r="E88" s="2"/>
      <c r="F88" s="369"/>
      <c r="G88" s="369"/>
      <c r="H88" s="369"/>
      <c r="I88" s="369"/>
      <c r="J88" s="369"/>
      <c r="K88" s="368"/>
      <c r="L88" s="370"/>
      <c r="M88" s="368"/>
      <c r="N88" s="369"/>
      <c r="O88" s="369"/>
      <c r="P88" s="791"/>
      <c r="Q88" s="369"/>
      <c r="R88" s="369"/>
      <c r="S88" s="369"/>
      <c r="T88" s="369"/>
      <c r="U88" s="369"/>
      <c r="V88" s="368"/>
      <c r="W88" s="369"/>
      <c r="X88" s="368"/>
      <c r="Y88" s="369"/>
      <c r="Z88" s="861"/>
      <c r="AA88" s="369"/>
      <c r="AB88" s="368"/>
      <c r="AC88" s="369"/>
      <c r="AD88" s="369"/>
      <c r="AE88" s="369"/>
      <c r="AF88" s="369"/>
      <c r="AG88" s="369"/>
      <c r="AH88" s="368"/>
      <c r="AI88" s="369"/>
      <c r="AJ88" s="368"/>
      <c r="AK88" s="369"/>
      <c r="AL88" s="368"/>
      <c r="AM88" s="369"/>
    </row>
    <row r="89" spans="1:39">
      <c r="A89" s="77"/>
    </row>
    <row r="90" spans="1:39">
      <c r="A90" s="77"/>
    </row>
    <row r="91" spans="1:39">
      <c r="A91" s="77"/>
      <c r="J91" s="768">
        <f>1.02*(J73+J58)</f>
        <v>1230765360.0101588</v>
      </c>
      <c r="L91" s="882"/>
      <c r="U91" s="768">
        <f>1.02*(U73+U58)</f>
        <v>1488433531.1735067</v>
      </c>
      <c r="AG91" s="768">
        <f>1.02*(AG73+AG58)</f>
        <v>1662462839.7038548</v>
      </c>
    </row>
    <row r="92" spans="1:39">
      <c r="A92" s="77"/>
      <c r="AE92">
        <f>1483688/15526000</f>
        <v>9.5561509725621538E-2</v>
      </c>
    </row>
    <row r="93" spans="1:39">
      <c r="A93" s="77"/>
    </row>
    <row r="94" spans="1:39">
      <c r="A94" s="77"/>
    </row>
    <row r="95" spans="1:39">
      <c r="A95" s="77"/>
    </row>
    <row r="96" spans="1:39">
      <c r="A96" s="77"/>
    </row>
    <row r="97" spans="1:41">
      <c r="A97" s="77"/>
    </row>
    <row r="98" spans="1:41">
      <c r="A98" s="77"/>
    </row>
    <row r="99" spans="1:41">
      <c r="A99" s="77"/>
    </row>
    <row r="100" spans="1:41">
      <c r="A100" s="77"/>
    </row>
    <row r="101" spans="1:41">
      <c r="A101" s="77"/>
    </row>
    <row r="102" spans="1:41">
      <c r="L102"/>
      <c r="Z102"/>
      <c r="AO102"/>
    </row>
    <row r="103" spans="1:41">
      <c r="L103"/>
      <c r="Z103"/>
      <c r="AO103"/>
    </row>
    <row r="104" spans="1:41">
      <c r="L104"/>
      <c r="Z104"/>
      <c r="AO104"/>
    </row>
    <row r="105" spans="1:41">
      <c r="L105"/>
      <c r="Z105"/>
      <c r="AO105"/>
    </row>
  </sheetData>
  <mergeCells count="3">
    <mergeCell ref="AC1:AM1"/>
    <mergeCell ref="F1:N1"/>
    <mergeCell ref="Q1:AA1"/>
  </mergeCells>
  <pageMargins left="0.7" right="0.7" top="0.75" bottom="0.75" header="0.3" footer="0.3"/>
  <pageSetup scale="40" orientation="portrait" r:id="rId1"/>
  <headerFooter>
    <oddHeader>&amp;LPuerto Rico Electric Power Authority   
Docket NEPR-AP-2023-0003
Rate Year Result of Operations &amp;RSchedule C-2.1 (Constrained)
Page &amp;P of &amp;N</oddHeader>
  </headerFooter>
  <colBreaks count="2" manualBreakCount="2">
    <brk id="12" max="1048575" man="1"/>
    <brk id="23"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AEF46-EA1C-43C4-965F-CFDC2DB7EEB2}">
  <dimension ref="A1:A31"/>
  <sheetViews>
    <sheetView workbookViewId="0">
      <selection activeCell="A30" sqref="A30"/>
    </sheetView>
    <sheetView workbookViewId="1">
      <selection activeCell="D6" sqref="D6"/>
    </sheetView>
    <sheetView workbookViewId="2"/>
  </sheetViews>
  <sheetFormatPr defaultRowHeight="15"/>
  <sheetData>
    <row r="1" spans="1:1">
      <c r="A1" s="1068" t="s">
        <v>570</v>
      </c>
    </row>
    <row r="2" spans="1:1">
      <c r="A2" s="384" t="s">
        <v>571</v>
      </c>
    </row>
    <row r="3" spans="1:1">
      <c r="A3" s="384" t="s">
        <v>572</v>
      </c>
    </row>
    <row r="4" spans="1:1">
      <c r="A4" s="384" t="s">
        <v>573</v>
      </c>
    </row>
    <row r="5" spans="1:1">
      <c r="A5" s="384"/>
    </row>
    <row r="6" spans="1:1">
      <c r="A6" s="1069" t="s">
        <v>393</v>
      </c>
    </row>
    <row r="7" spans="1:1">
      <c r="A7" s="384" t="s">
        <v>574</v>
      </c>
    </row>
    <row r="8" spans="1:1">
      <c r="A8" s="384" t="s">
        <v>575</v>
      </c>
    </row>
    <row r="9" spans="1:1">
      <c r="A9" s="384" t="s">
        <v>576</v>
      </c>
    </row>
    <row r="10" spans="1:1">
      <c r="A10" s="384"/>
    </row>
    <row r="11" spans="1:1">
      <c r="A11" s="1069" t="s">
        <v>394</v>
      </c>
    </row>
    <row r="12" spans="1:1">
      <c r="A12" s="384" t="s">
        <v>577</v>
      </c>
    </row>
    <row r="13" spans="1:1">
      <c r="A13" s="384" t="s">
        <v>578</v>
      </c>
    </row>
    <row r="14" spans="1:1">
      <c r="A14" s="384" t="s">
        <v>579</v>
      </c>
    </row>
    <row r="15" spans="1:1">
      <c r="A15" s="384"/>
    </row>
    <row r="16" spans="1:1">
      <c r="A16" s="1069" t="s">
        <v>395</v>
      </c>
    </row>
    <row r="17" spans="1:1">
      <c r="A17" s="384" t="s">
        <v>580</v>
      </c>
    </row>
    <row r="18" spans="1:1">
      <c r="A18" s="384" t="s">
        <v>581</v>
      </c>
    </row>
    <row r="19" spans="1:1">
      <c r="A19" s="384" t="s">
        <v>582</v>
      </c>
    </row>
    <row r="21" spans="1:1">
      <c r="A21" s="1067" t="s">
        <v>583</v>
      </c>
    </row>
    <row r="22" spans="1:1">
      <c r="A22" s="384" t="s">
        <v>584</v>
      </c>
    </row>
    <row r="23" spans="1:1">
      <c r="A23" s="384"/>
    </row>
    <row r="24" spans="1:1">
      <c r="A24" s="1067" t="s">
        <v>585</v>
      </c>
    </row>
    <row r="25" spans="1:1">
      <c r="A25" s="384" t="s">
        <v>586</v>
      </c>
    </row>
    <row r="26" spans="1:1">
      <c r="A26" s="384"/>
    </row>
    <row r="27" spans="1:1">
      <c r="A27" s="1067" t="s">
        <v>587</v>
      </c>
    </row>
    <row r="28" spans="1:1">
      <c r="A28" s="384" t="s">
        <v>588</v>
      </c>
    </row>
    <row r="29" spans="1:1">
      <c r="A29" s="384" t="s">
        <v>589</v>
      </c>
    </row>
    <row r="30" spans="1:1">
      <c r="A30" s="384" t="s">
        <v>590</v>
      </c>
    </row>
    <row r="31" spans="1:1">
      <c r="A31" s="384" t="s">
        <v>591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58F48-E632-4EA7-BE5B-BBBC47C47396}">
  <sheetPr>
    <tabColor theme="7" tint="0.79998168889431442"/>
  </sheetPr>
  <dimension ref="A1:I22"/>
  <sheetViews>
    <sheetView workbookViewId="0">
      <selection activeCell="E7" sqref="E7"/>
    </sheetView>
    <sheetView tabSelected="1" zoomScale="130" zoomScaleNormal="130" workbookViewId="1">
      <selection activeCell="EL50" sqref="EL50"/>
    </sheetView>
    <sheetView workbookViewId="2">
      <selection activeCell="C8" sqref="C8"/>
    </sheetView>
  </sheetViews>
  <sheetFormatPr defaultRowHeight="15"/>
  <cols>
    <col min="1" max="1" width="40.140625" customWidth="1"/>
    <col min="2" max="2" width="16.140625" bestFit="1" customWidth="1"/>
    <col min="3" max="3" width="17.140625" bestFit="1" customWidth="1"/>
    <col min="4" max="4" width="6.85546875" customWidth="1"/>
    <col min="5" max="5" width="16.140625" bestFit="1" customWidth="1"/>
    <col min="6" max="6" width="17.140625" bestFit="1" customWidth="1"/>
    <col min="8" max="8" width="16.140625" bestFit="1" customWidth="1"/>
    <col min="9" max="9" width="17.140625" bestFit="1" customWidth="1"/>
  </cols>
  <sheetData>
    <row r="1" spans="1:9" s="29" customFormat="1">
      <c r="B1" s="1163" t="s">
        <v>393</v>
      </c>
      <c r="C1" s="1163"/>
      <c r="E1" s="1163" t="s">
        <v>394</v>
      </c>
      <c r="F1" s="1163"/>
      <c r="H1" s="1163" t="s">
        <v>395</v>
      </c>
      <c r="I1" s="1163"/>
    </row>
    <row r="2" spans="1:9" s="56" customFormat="1">
      <c r="B2" s="56" t="s">
        <v>392</v>
      </c>
      <c r="C2" s="56" t="s">
        <v>400</v>
      </c>
      <c r="E2" s="56" t="s">
        <v>392</v>
      </c>
      <c r="F2" s="56" t="s">
        <v>400</v>
      </c>
      <c r="H2" s="56" t="s">
        <v>392</v>
      </c>
      <c r="I2" s="56" t="s">
        <v>400</v>
      </c>
    </row>
    <row r="3" spans="1:9">
      <c r="A3" t="s">
        <v>592</v>
      </c>
      <c r="B3" s="1066">
        <f>'C-2 Optimal'!L87+'C-2 Optimal'!L85</f>
        <v>5452721927.3829966</v>
      </c>
      <c r="C3" s="1066">
        <f>'C-2 Constrained'!L87+'C-2 Constrained'!L85</f>
        <v>4826567646.5229378</v>
      </c>
      <c r="D3" s="411"/>
      <c r="E3" s="1066">
        <f>'C-2 Optimal'!AC87+'C-2 Optimal'!AC85</f>
        <v>5697139430.3900328</v>
      </c>
      <c r="F3" s="1066">
        <f>'C-2 Constrained'!AC87+'C-2 Optimal'!AC85</f>
        <v>4969704216.3705578</v>
      </c>
      <c r="G3" s="411"/>
      <c r="H3" s="1066">
        <f>+'C-2 Optimal'!AT87+'C-2 Optimal'!AT85</f>
        <v>5808661572.8045654</v>
      </c>
      <c r="I3" s="1066">
        <f>+'C-2 Constrained'!AT87+'C-2 Constrained'!AT85</f>
        <v>4994321201.5182705</v>
      </c>
    </row>
    <row r="4" spans="1:9">
      <c r="A4" t="s">
        <v>593</v>
      </c>
      <c r="B4" s="411">
        <f>-'C-2 Optimal'!H87-'C-2 Optimal'!I87</f>
        <v>-87760969.597069591</v>
      </c>
      <c r="C4" s="411">
        <f>-'C-2 Constrained'!H87-'C-2 Constrained'!I87</f>
        <v>-78470748.571428567</v>
      </c>
      <c r="D4" s="411"/>
      <c r="E4" s="411">
        <f>-'C-2 Optimal'!Y87-'C-2 Optimal'!Z87</f>
        <v>-111127677.38095239</v>
      </c>
      <c r="F4" s="411">
        <f>-'C-2 Constrained'!Y87-'C-2 Constrained'!Z87</f>
        <v>-79876520.714285716</v>
      </c>
      <c r="G4" s="411"/>
      <c r="H4" s="411">
        <f>-'C-2 Optimal'!AP87-'C-2 Optimal'!AQ87</f>
        <v>-117367377.42619047</v>
      </c>
      <c r="I4" s="411">
        <f>-'C-2 Constrained'!AP87-'C-2 Constrained'!AQ87</f>
        <v>-83459838.692857146</v>
      </c>
    </row>
    <row r="5" spans="1:9">
      <c r="A5" t="s">
        <v>594</v>
      </c>
      <c r="B5" s="411">
        <f>('FY26-FY28_PREPA Consolidated'!DP56-'FY26-FY28_PREPA Consolidated'!DP50-'FY26-FY28_PREPA Consolidated'!DP47)*1000</f>
        <v>91870573.307695583</v>
      </c>
      <c r="C5" s="411">
        <f>B5</f>
        <v>91870573.307695583</v>
      </c>
      <c r="D5" s="411"/>
      <c r="E5" s="411">
        <f>'FY26-FY28_PREPA Consolidated'!EA35*1000</f>
        <v>81357352.688076764</v>
      </c>
      <c r="F5" s="411">
        <f>E5</f>
        <v>81357352.688076764</v>
      </c>
      <c r="G5" s="411"/>
      <c r="H5" s="411">
        <f>'FY26-FY28_PREPA Consolidated'!EK35*1000</f>
        <v>79009016.689923376</v>
      </c>
      <c r="I5" s="411">
        <f>H5</f>
        <v>79009016.689923376</v>
      </c>
    </row>
    <row r="6" spans="1:9">
      <c r="A6" t="s">
        <v>595</v>
      </c>
      <c r="B6" s="1066">
        <f>'FY26-FY28_PREPA Consolidated'!DP62*1000</f>
        <v>307475422</v>
      </c>
      <c r="C6" s="1066">
        <f>B6</f>
        <v>307475422</v>
      </c>
      <c r="D6" s="411"/>
      <c r="E6" s="1066">
        <f>'FY26-FY28_PREPA Consolidated'!EA62*1000</f>
        <v>298658580.63999999</v>
      </c>
      <c r="F6" s="1066">
        <f>E6</f>
        <v>298658580.63999999</v>
      </c>
      <c r="G6" s="411"/>
      <c r="H6" s="1066">
        <f>+'FY26-FY28_PREPA Consolidated'!EK62*1000</f>
        <v>298438608</v>
      </c>
      <c r="I6" s="1066">
        <f>H6</f>
        <v>298438608</v>
      </c>
    </row>
    <row r="7" spans="1:9">
      <c r="A7" t="s">
        <v>3382</v>
      </c>
      <c r="B7" s="1066">
        <f>'C-2 Optimal'!P85+'C-2 Optimal'!Q85</f>
        <v>9110264.5343785677</v>
      </c>
      <c r="C7" s="1066">
        <f>B7</f>
        <v>9110264.5343785677</v>
      </c>
      <c r="D7" s="411"/>
      <c r="E7" s="1066">
        <f>'C-2 Optimal'!AG85</f>
        <v>812609</v>
      </c>
      <c r="F7" s="1066">
        <f>E7</f>
        <v>812609</v>
      </c>
      <c r="G7" s="411"/>
      <c r="H7" s="1066">
        <v>0</v>
      </c>
      <c r="I7" s="1066">
        <f>H7</f>
        <v>0</v>
      </c>
    </row>
    <row r="8" spans="1:9">
      <c r="A8" t="s">
        <v>596</v>
      </c>
      <c r="B8" s="1066">
        <f>'C-2 Optimal'!O46</f>
        <v>1000000</v>
      </c>
      <c r="C8" s="1066">
        <v>1000000</v>
      </c>
      <c r="D8" s="411"/>
      <c r="E8" s="1066">
        <f>C8</f>
        <v>1000000</v>
      </c>
      <c r="F8" s="1066">
        <f>E8</f>
        <v>1000000</v>
      </c>
      <c r="G8" s="1066"/>
      <c r="H8" s="1066">
        <f>F8</f>
        <v>1000000</v>
      </c>
      <c r="I8" s="1066">
        <f>H8</f>
        <v>1000000</v>
      </c>
    </row>
    <row r="9" spans="1:9">
      <c r="A9" t="s">
        <v>3379</v>
      </c>
      <c r="B9" s="1066">
        <v>0</v>
      </c>
      <c r="C9" s="1066">
        <f>'C-2 Constrained'!O70</f>
        <v>30000000</v>
      </c>
      <c r="D9" s="411"/>
      <c r="E9" s="1066">
        <v>0</v>
      </c>
      <c r="F9" s="1066">
        <f>'C-2 Constrained'!AF70</f>
        <v>30000000</v>
      </c>
      <c r="G9" s="1066"/>
      <c r="H9" s="1066">
        <v>0</v>
      </c>
      <c r="I9" s="1066">
        <f>'C-2 Constrained'!AW70</f>
        <v>30000000</v>
      </c>
    </row>
    <row r="10" spans="1:9">
      <c r="A10" t="s">
        <v>3380</v>
      </c>
      <c r="B10" s="1066">
        <f>'C-2 Optimal'!O77</f>
        <v>-56400000</v>
      </c>
      <c r="C10" s="1066">
        <f>'C-2 Constrained'!O77</f>
        <v>-50330000</v>
      </c>
      <c r="D10" s="411"/>
      <c r="E10" s="1066">
        <f>'C-2 Optimal'!AF77</f>
        <v>-16600000</v>
      </c>
      <c r="F10" s="1066">
        <f>'C-2 Constrained'!AF77</f>
        <v>-14205000</v>
      </c>
      <c r="G10" s="1066"/>
      <c r="H10" s="1066">
        <f>'C-2 Optimal'!AW77</f>
        <v>-20820400</v>
      </c>
      <c r="I10" s="1066">
        <f>'C-2 Constrained'!AW77</f>
        <v>-19248892</v>
      </c>
    </row>
    <row r="11" spans="1:9">
      <c r="A11" t="s">
        <v>3381</v>
      </c>
      <c r="B11" s="1066">
        <f>'C-2 Optimal'!O85</f>
        <v>-67403088.084444597</v>
      </c>
      <c r="C11" s="1066">
        <f>B11</f>
        <v>-67403088.084444597</v>
      </c>
      <c r="D11" s="411"/>
      <c r="E11" s="1066">
        <f>'C-2 Optimal'!AF85</f>
        <v>-34288638.684478603</v>
      </c>
      <c r="F11" s="1066">
        <f>E11</f>
        <v>-34288638.684478603</v>
      </c>
      <c r="G11" s="1066"/>
      <c r="H11" s="1066">
        <f>'C-2 Constrained'!AW85</f>
        <v>-8502694.1737267897</v>
      </c>
      <c r="I11" s="1066">
        <f>H11</f>
        <v>-8502694.1737267897</v>
      </c>
    </row>
    <row r="12" spans="1:9">
      <c r="A12" t="s">
        <v>597</v>
      </c>
      <c r="B12" s="1066">
        <f>'C-2 Optimal'!R87</f>
        <v>-3150000</v>
      </c>
      <c r="C12" s="1066">
        <f>'C-2 Constrained'!R87</f>
        <v>-930000</v>
      </c>
      <c r="D12" s="411"/>
      <c r="E12" s="1066">
        <f>'C-2 Optimal'!AI87</f>
        <v>-3000000</v>
      </c>
      <c r="F12" s="1066">
        <f>'C-2 Constrained'!AI87</f>
        <v>834577</v>
      </c>
      <c r="G12" s="1066"/>
      <c r="H12" s="1066">
        <f>'C-2 Optimal'!AZ87</f>
        <v>-3000000</v>
      </c>
      <c r="I12" s="1066">
        <f>'C-2 Constrained'!AZ87</f>
        <v>920531</v>
      </c>
    </row>
    <row r="13" spans="1:9">
      <c r="A13" t="s">
        <v>598</v>
      </c>
      <c r="B13" s="1066">
        <v>18324982</v>
      </c>
      <c r="C13" s="1066">
        <f>+B13</f>
        <v>18324982</v>
      </c>
      <c r="D13" s="411"/>
      <c r="E13" s="1066">
        <v>5866071</v>
      </c>
      <c r="F13" s="1066">
        <f>E13</f>
        <v>5866071</v>
      </c>
      <c r="G13" s="411"/>
      <c r="H13" s="1066">
        <v>9197272</v>
      </c>
      <c r="I13" s="1066">
        <f>+H13</f>
        <v>9197272</v>
      </c>
    </row>
    <row r="14" spans="1:9">
      <c r="A14" t="s">
        <v>599</v>
      </c>
      <c r="B14" s="1066">
        <v>8750000</v>
      </c>
      <c r="C14" s="1066">
        <f>+B14</f>
        <v>8750000</v>
      </c>
      <c r="D14" s="411"/>
      <c r="E14" s="1066">
        <v>6562500</v>
      </c>
      <c r="F14" s="1066">
        <f>E14</f>
        <v>6562500</v>
      </c>
      <c r="G14" s="411"/>
      <c r="H14" s="1066">
        <v>4375000</v>
      </c>
      <c r="I14" s="1066">
        <f>+H14</f>
        <v>4375000</v>
      </c>
    </row>
    <row r="15" spans="1:9">
      <c r="B15" s="1066"/>
      <c r="C15" s="1066"/>
      <c r="D15" s="411"/>
      <c r="E15" s="1066"/>
      <c r="F15" s="1066"/>
      <c r="G15" s="411"/>
      <c r="H15" s="1066"/>
      <c r="I15" s="1066"/>
    </row>
    <row r="16" spans="1:9">
      <c r="B16" s="411"/>
      <c r="C16" s="411"/>
      <c r="D16" s="411"/>
      <c r="E16" s="411"/>
      <c r="F16" s="411"/>
      <c r="G16" s="411"/>
      <c r="H16" s="411"/>
      <c r="I16" s="411"/>
    </row>
    <row r="17" spans="1:9">
      <c r="A17" t="s">
        <v>600</v>
      </c>
      <c r="B17" s="411">
        <f>SUM(B3:B16)</f>
        <v>5674539111.5435562</v>
      </c>
      <c r="C17" s="411">
        <f>SUM(C3:C16)</f>
        <v>5095965051.7091389</v>
      </c>
      <c r="D17" s="411"/>
      <c r="E17" s="411">
        <f>SUM(E3:E16)</f>
        <v>5926380227.6526785</v>
      </c>
      <c r="F17" s="411">
        <f>SUM(F3:F16)</f>
        <v>5266425747.2998705</v>
      </c>
      <c r="G17" s="411"/>
      <c r="H17" s="411">
        <f>SUM(H3:H16)</f>
        <v>6050990997.8945713</v>
      </c>
      <c r="I17" s="411">
        <f>SUM(I3:I16)</f>
        <v>5306050204.34161</v>
      </c>
    </row>
    <row r="18" spans="1:9">
      <c r="B18" s="411"/>
      <c r="C18" s="411"/>
      <c r="D18" s="411"/>
      <c r="E18" s="411"/>
      <c r="F18" s="411"/>
      <c r="G18" s="411"/>
      <c r="H18" s="411"/>
      <c r="I18" s="411"/>
    </row>
    <row r="19" spans="1:9">
      <c r="A19" t="s">
        <v>601</v>
      </c>
      <c r="B19" s="411">
        <f>'C-2 Optimal'!U87+'C-2 Optimal'!U85</f>
        <v>5674539111.3178167</v>
      </c>
      <c r="C19" s="411">
        <f>'C-2 Constrained'!U87+'C-2 Optimal'!U85</f>
        <v>5095965051.4833984</v>
      </c>
      <c r="D19" s="411"/>
      <c r="E19" s="411">
        <f>'C-2 Optimal'!AL87+'C-2 Optimal'!AL85</f>
        <v>5926380227.6526785</v>
      </c>
      <c r="F19" s="411">
        <f>'C-2 Constrained'!AL87+'C-2 Optimal'!AL85</f>
        <v>5266425747.2998705</v>
      </c>
      <c r="G19" s="411"/>
      <c r="H19" s="411">
        <f>'C-2 Optimal'!BD87+'C-2 Optimal'!BD85</f>
        <v>6050990998.3381367</v>
      </c>
      <c r="I19" s="411">
        <f>'C-2 Constrained'!BD87+'C-2 Optimal'!BD85</f>
        <v>5306050204.34161</v>
      </c>
    </row>
    <row r="21" spans="1:9">
      <c r="B21" s="864"/>
      <c r="C21" s="864"/>
      <c r="D21" s="864"/>
      <c r="E21" s="864"/>
      <c r="F21" s="864"/>
      <c r="G21" s="864"/>
      <c r="H21" s="864"/>
      <c r="I21" s="864"/>
    </row>
    <row r="22" spans="1:9">
      <c r="B22" s="864"/>
    </row>
  </sheetData>
  <mergeCells count="3">
    <mergeCell ref="B1:C1"/>
    <mergeCell ref="E1:F1"/>
    <mergeCell ref="H1:I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6F1B-240E-4534-AC4D-104C6CF3F66F}">
  <sheetPr>
    <tabColor theme="7" tint="0.79998168889431442"/>
    <pageSetUpPr autoPageBreaks="0"/>
  </sheetPr>
  <dimension ref="A1:BD107"/>
  <sheetViews>
    <sheetView zoomScale="70" zoomScaleNormal="85" workbookViewId="0">
      <pane xSplit="5" ySplit="4" topLeftCell="F67" activePane="bottomRight" state="frozen"/>
      <selection pane="topRight" activeCell="F1" sqref="F1"/>
      <selection pane="bottomLeft" activeCell="A5" sqref="A5"/>
      <selection pane="bottomRight" activeCell="L88" sqref="L88"/>
    </sheetView>
    <sheetView zoomScale="70" zoomScaleNormal="70" workbookViewId="1">
      <pane ySplit="2" topLeftCell="A80" activePane="bottomLeft" state="frozen"/>
      <selection pane="bottomLeft" activeCell="C95" sqref="C95"/>
    </sheetView>
    <sheetView tabSelected="1" topLeftCell="AV58" zoomScale="85" zoomScaleNormal="85" workbookViewId="2">
      <selection activeCell="AF88" sqref="AF88"/>
    </sheetView>
  </sheetViews>
  <sheetFormatPr defaultColWidth="8.5703125" defaultRowHeight="15" outlineLevelCol="1"/>
  <cols>
    <col min="1" max="1" width="5.5703125" customWidth="1"/>
    <col min="2" max="2" width="5.42578125" customWidth="1"/>
    <col min="3" max="3" width="52.42578125" customWidth="1"/>
    <col min="4" max="5" width="5.5703125" customWidth="1"/>
    <col min="6" max="10" width="20.5703125" customWidth="1" outlineLevel="1"/>
    <col min="11" max="11" width="5.5703125" customWidth="1" outlineLevel="1"/>
    <col min="12" max="12" width="20.5703125" style="863" customWidth="1"/>
    <col min="13" max="13" width="5.5703125" customWidth="1"/>
    <col min="14" max="15" width="20.5703125" customWidth="1" outlineLevel="1"/>
    <col min="16" max="16" width="20.140625" customWidth="1" outlineLevel="1"/>
    <col min="17" max="18" width="20.5703125" customWidth="1" outlineLevel="1"/>
    <col min="19" max="19" width="5.5703125" customWidth="1" outlineLevel="1"/>
    <col min="20" max="20" width="19.140625" customWidth="1"/>
    <col min="21" max="21" width="20.5703125" customWidth="1"/>
    <col min="22" max="22" width="5.5703125" customWidth="1"/>
    <col min="23" max="27" width="20.5703125" customWidth="1" outlineLevel="1"/>
    <col min="28" max="28" width="5.5703125" customWidth="1" outlineLevel="1"/>
    <col min="29" max="29" width="20.5703125" customWidth="1"/>
    <col min="30" max="30" width="5.5703125" customWidth="1"/>
    <col min="31" max="35" width="20.5703125" customWidth="1" outlineLevel="1"/>
    <col min="36" max="36" width="5.5703125" customWidth="1" outlineLevel="1"/>
    <col min="37" max="38" width="20.5703125" customWidth="1"/>
    <col min="39" max="39" width="8.5703125" customWidth="1"/>
    <col min="40" max="44" width="20.5703125" customWidth="1" outlineLevel="1"/>
    <col min="45" max="45" width="5.5703125" customWidth="1"/>
    <col min="46" max="46" width="20.140625" bestFit="1" customWidth="1"/>
    <col min="47" max="47" width="5.5703125" customWidth="1"/>
    <col min="48" max="52" width="20.5703125" customWidth="1" outlineLevel="1"/>
    <col min="53" max="53" width="5.5703125" customWidth="1" outlineLevel="1"/>
    <col min="54" max="54" width="20.5703125" customWidth="1"/>
    <col min="55" max="55" width="6.140625" customWidth="1"/>
    <col min="56" max="56" width="20.5703125" customWidth="1"/>
  </cols>
  <sheetData>
    <row r="1" spans="1:56" ht="17.25">
      <c r="A1" s="91"/>
      <c r="F1" s="1205" t="s">
        <v>538</v>
      </c>
      <c r="G1" s="1206"/>
      <c r="H1" s="1206"/>
      <c r="I1" s="1206"/>
      <c r="J1" s="1206"/>
      <c r="K1" s="1206"/>
      <c r="L1" s="1206"/>
      <c r="M1" s="1206"/>
      <c r="N1" s="1206"/>
      <c r="O1" s="1206"/>
      <c r="P1" s="1206"/>
      <c r="Q1" s="1206"/>
      <c r="R1" s="1206"/>
      <c r="S1" s="1206"/>
      <c r="T1" s="1206"/>
      <c r="U1" s="2"/>
      <c r="W1" s="1205" t="s">
        <v>539</v>
      </c>
      <c r="X1" s="1205"/>
      <c r="Y1" s="1205"/>
      <c r="Z1" s="1205"/>
      <c r="AA1" s="1205"/>
      <c r="AB1" s="1205"/>
      <c r="AC1" s="1205"/>
      <c r="AD1" s="1205"/>
      <c r="AE1" s="1205"/>
      <c r="AF1" s="1205"/>
      <c r="AG1" s="1205"/>
      <c r="AH1" s="1205"/>
      <c r="AI1" s="1205"/>
      <c r="AJ1" s="1205"/>
      <c r="AK1" s="1205"/>
      <c r="AL1" s="1205"/>
      <c r="AN1" s="1205" t="s">
        <v>540</v>
      </c>
      <c r="AO1" s="1205"/>
      <c r="AP1" s="1205"/>
      <c r="AQ1" s="1205"/>
      <c r="AR1" s="1205"/>
      <c r="AS1" s="1205"/>
      <c r="AT1" s="1205"/>
      <c r="AU1" s="1205"/>
      <c r="AV1" s="1205"/>
      <c r="AW1" s="1205"/>
      <c r="AX1" s="1205"/>
      <c r="AY1" s="1205"/>
      <c r="AZ1" s="1205"/>
      <c r="BA1" s="1205"/>
      <c r="BB1" s="1205"/>
      <c r="BC1" s="1205"/>
      <c r="BD1" s="1205"/>
    </row>
    <row r="2" spans="1:56" ht="45">
      <c r="A2" s="842" t="s">
        <v>242</v>
      </c>
      <c r="B2" s="2"/>
      <c r="C2" s="58" t="s">
        <v>5</v>
      </c>
      <c r="D2" s="58"/>
      <c r="E2" s="2"/>
      <c r="F2" s="58" t="s">
        <v>243</v>
      </c>
      <c r="G2" s="58" t="s">
        <v>248</v>
      </c>
      <c r="H2" s="58" t="s">
        <v>253</v>
      </c>
      <c r="I2" s="58" t="s">
        <v>258</v>
      </c>
      <c r="J2" s="58" t="s">
        <v>264</v>
      </c>
      <c r="K2" s="2"/>
      <c r="L2" s="843" t="s">
        <v>541</v>
      </c>
      <c r="M2" s="2"/>
      <c r="N2" s="58" t="s">
        <v>602</v>
      </c>
      <c r="O2" s="58" t="s">
        <v>603</v>
      </c>
      <c r="P2" s="58" t="s">
        <v>604</v>
      </c>
      <c r="Q2" s="58" t="s">
        <v>605</v>
      </c>
      <c r="R2" s="58" t="s">
        <v>606</v>
      </c>
      <c r="S2" s="2"/>
      <c r="T2" s="58" t="s">
        <v>352</v>
      </c>
      <c r="U2" s="58" t="s">
        <v>541</v>
      </c>
      <c r="V2" s="2"/>
      <c r="W2" s="58" t="s">
        <v>243</v>
      </c>
      <c r="X2" s="58" t="s">
        <v>248</v>
      </c>
      <c r="Y2" s="58" t="s">
        <v>253</v>
      </c>
      <c r="Z2" s="58" t="s">
        <v>258</v>
      </c>
      <c r="AA2" s="58" t="s">
        <v>264</v>
      </c>
      <c r="AB2" s="2"/>
      <c r="AC2" s="58" t="s">
        <v>543</v>
      </c>
      <c r="AD2" s="2"/>
      <c r="AE2" s="58" t="s">
        <v>602</v>
      </c>
      <c r="AF2" s="58" t="s">
        <v>603</v>
      </c>
      <c r="AG2" s="58" t="s">
        <v>604</v>
      </c>
      <c r="AH2" s="58" t="s">
        <v>605</v>
      </c>
      <c r="AI2" s="58" t="s">
        <v>606</v>
      </c>
      <c r="AJ2" s="2"/>
      <c r="AK2" s="58" t="s">
        <v>352</v>
      </c>
      <c r="AL2" s="58" t="s">
        <v>544</v>
      </c>
      <c r="AN2" s="58" t="s">
        <v>243</v>
      </c>
      <c r="AO2" s="58" t="s">
        <v>248</v>
      </c>
      <c r="AP2" s="58" t="s">
        <v>253</v>
      </c>
      <c r="AQ2" s="58" t="s">
        <v>258</v>
      </c>
      <c r="AR2" s="58" t="s">
        <v>264</v>
      </c>
      <c r="AS2" s="2"/>
      <c r="AT2" s="58" t="s">
        <v>545</v>
      </c>
      <c r="AU2" s="2"/>
      <c r="AV2" s="58" t="s">
        <v>602</v>
      </c>
      <c r="AW2" s="58" t="s">
        <v>603</v>
      </c>
      <c r="AX2" s="58" t="s">
        <v>604</v>
      </c>
      <c r="AY2" s="58" t="s">
        <v>605</v>
      </c>
      <c r="AZ2" s="58" t="s">
        <v>606</v>
      </c>
      <c r="BA2" s="2"/>
      <c r="BB2" s="58" t="s">
        <v>352</v>
      </c>
      <c r="BC2" s="59"/>
      <c r="BD2" s="58" t="s">
        <v>546</v>
      </c>
    </row>
    <row r="3" spans="1:56">
      <c r="A3" s="91"/>
      <c r="F3" s="2" t="s">
        <v>547</v>
      </c>
      <c r="G3" s="2" t="s">
        <v>358</v>
      </c>
      <c r="H3" s="2" t="s">
        <v>462</v>
      </c>
      <c r="I3" s="2" t="s">
        <v>463</v>
      </c>
      <c r="J3" s="2" t="s">
        <v>548</v>
      </c>
      <c r="K3" s="2"/>
      <c r="L3" s="844" t="s">
        <v>549</v>
      </c>
      <c r="N3" s="2" t="s">
        <v>547</v>
      </c>
      <c r="O3" s="2" t="s">
        <v>358</v>
      </c>
      <c r="P3" s="2" t="s">
        <v>462</v>
      </c>
      <c r="Q3" s="2" t="s">
        <v>463</v>
      </c>
      <c r="R3" s="2" t="s">
        <v>548</v>
      </c>
      <c r="S3" s="2"/>
      <c r="T3" s="2" t="s">
        <v>550</v>
      </c>
      <c r="U3" s="2" t="s">
        <v>551</v>
      </c>
      <c r="V3" s="2"/>
      <c r="W3" s="2" t="s">
        <v>552</v>
      </c>
      <c r="X3" s="2" t="s">
        <v>553</v>
      </c>
      <c r="Y3" s="2" t="s">
        <v>554</v>
      </c>
      <c r="Z3" s="2" t="s">
        <v>555</v>
      </c>
      <c r="AA3" s="2" t="s">
        <v>556</v>
      </c>
      <c r="AB3" s="2"/>
      <c r="AC3" s="2" t="s">
        <v>557</v>
      </c>
      <c r="AD3" s="2"/>
      <c r="AE3" s="2" t="s">
        <v>547</v>
      </c>
      <c r="AF3" s="2" t="s">
        <v>358</v>
      </c>
      <c r="AG3" s="2" t="s">
        <v>462</v>
      </c>
      <c r="AH3" s="2" t="s">
        <v>463</v>
      </c>
      <c r="AI3" s="2" t="s">
        <v>548</v>
      </c>
      <c r="AJ3" s="2"/>
      <c r="AK3" s="2" t="s">
        <v>558</v>
      </c>
      <c r="AL3" s="2" t="s">
        <v>551</v>
      </c>
      <c r="AM3" s="2"/>
      <c r="AN3" s="2" t="s">
        <v>559</v>
      </c>
      <c r="AO3" s="2" t="s">
        <v>560</v>
      </c>
      <c r="AP3" s="2" t="s">
        <v>561</v>
      </c>
      <c r="AQ3" s="2" t="s">
        <v>562</v>
      </c>
      <c r="AR3" s="2" t="s">
        <v>563</v>
      </c>
      <c r="AS3" s="2"/>
      <c r="AT3" s="2" t="s">
        <v>549</v>
      </c>
      <c r="AU3" s="2"/>
      <c r="AV3" s="2" t="s">
        <v>547</v>
      </c>
      <c r="AW3" s="2" t="s">
        <v>358</v>
      </c>
      <c r="AX3" s="2" t="s">
        <v>462</v>
      </c>
      <c r="AY3" s="2" t="s">
        <v>463</v>
      </c>
      <c r="AZ3" s="2" t="s">
        <v>548</v>
      </c>
      <c r="BA3" s="2"/>
      <c r="BB3" s="2" t="s">
        <v>550</v>
      </c>
      <c r="BC3" s="2"/>
      <c r="BD3" s="2" t="s">
        <v>564</v>
      </c>
    </row>
    <row r="4" spans="1:56" ht="15.75" thickBot="1">
      <c r="A4" s="91">
        <v>1</v>
      </c>
      <c r="C4" s="870" t="s">
        <v>278</v>
      </c>
      <c r="D4" s="870"/>
      <c r="E4" s="2"/>
      <c r="F4" s="871" t="s">
        <v>279</v>
      </c>
      <c r="G4" s="871" t="s">
        <v>279</v>
      </c>
      <c r="H4" s="871" t="s">
        <v>279</v>
      </c>
      <c r="I4" s="871" t="s">
        <v>279</v>
      </c>
      <c r="J4" s="871" t="s">
        <v>279</v>
      </c>
      <c r="K4" s="653"/>
      <c r="L4" s="872" t="s">
        <v>279</v>
      </c>
      <c r="M4" s="380"/>
      <c r="N4" s="871" t="s">
        <v>279</v>
      </c>
      <c r="O4" s="871" t="s">
        <v>279</v>
      </c>
      <c r="P4" s="871" t="s">
        <v>279</v>
      </c>
      <c r="Q4" s="871" t="s">
        <v>279</v>
      </c>
      <c r="R4" s="871" t="s">
        <v>279</v>
      </c>
      <c r="S4" s="653"/>
      <c r="T4" s="871"/>
      <c r="U4" s="871"/>
      <c r="V4" s="653"/>
      <c r="W4" s="871" t="s">
        <v>279</v>
      </c>
      <c r="X4" s="871" t="s">
        <v>279</v>
      </c>
      <c r="Y4" s="871" t="s">
        <v>279</v>
      </c>
      <c r="Z4" s="871" t="s">
        <v>279</v>
      </c>
      <c r="AA4" s="871" t="s">
        <v>279</v>
      </c>
      <c r="AB4" s="653"/>
      <c r="AC4" s="871" t="s">
        <v>279</v>
      </c>
      <c r="AD4" s="653"/>
      <c r="AE4" s="871" t="s">
        <v>279</v>
      </c>
      <c r="AF4" s="871" t="s">
        <v>279</v>
      </c>
      <c r="AG4" s="871" t="s">
        <v>279</v>
      </c>
      <c r="AH4" s="871" t="s">
        <v>279</v>
      </c>
      <c r="AI4" s="871" t="s">
        <v>279</v>
      </c>
      <c r="AJ4" s="653"/>
      <c r="AK4" s="871"/>
      <c r="AL4" s="871"/>
      <c r="AM4" s="653"/>
      <c r="AN4" s="871" t="s">
        <v>279</v>
      </c>
      <c r="AO4" s="871" t="s">
        <v>279</v>
      </c>
      <c r="AP4" s="871" t="s">
        <v>279</v>
      </c>
      <c r="AQ4" s="871" t="s">
        <v>279</v>
      </c>
      <c r="AR4" s="871" t="s">
        <v>279</v>
      </c>
      <c r="AS4" s="653"/>
      <c r="AT4" s="871" t="s">
        <v>279</v>
      </c>
      <c r="AU4" s="653"/>
      <c r="AV4" s="871" t="s">
        <v>279</v>
      </c>
      <c r="AW4" s="871" t="s">
        <v>279</v>
      </c>
      <c r="AX4" s="871" t="s">
        <v>279</v>
      </c>
      <c r="AY4" s="871" t="s">
        <v>279</v>
      </c>
      <c r="AZ4" s="871" t="s">
        <v>279</v>
      </c>
      <c r="BA4" s="653"/>
      <c r="BB4" s="871"/>
      <c r="BC4" s="653"/>
      <c r="BD4" s="871"/>
    </row>
    <row r="5" spans="1:56">
      <c r="A5" s="91"/>
      <c r="C5" s="29"/>
      <c r="D5" s="29"/>
      <c r="F5" s="368"/>
      <c r="G5" s="368"/>
      <c r="H5" s="368"/>
      <c r="I5" s="368"/>
      <c r="J5" s="368"/>
      <c r="K5" s="368"/>
      <c r="L5" s="861"/>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8"/>
      <c r="AV5" s="368"/>
      <c r="AW5" s="368"/>
      <c r="AX5" s="368"/>
      <c r="AY5" s="368"/>
      <c r="AZ5" s="368"/>
      <c r="BA5" s="368"/>
      <c r="BB5" s="368"/>
      <c r="BC5" s="368"/>
      <c r="BD5" s="368"/>
    </row>
    <row r="6" spans="1:56">
      <c r="A6" s="91">
        <f t="shared" ref="A6:A65" si="0">IF(C6&lt;&gt;"",MAX(A3:A5)+1,"")</f>
        <v>2</v>
      </c>
      <c r="C6" s="361" t="s">
        <v>280</v>
      </c>
      <c r="D6" s="361"/>
      <c r="E6" s="2"/>
      <c r="F6" s="368"/>
      <c r="G6" s="368"/>
      <c r="H6" s="368"/>
      <c r="I6" s="368"/>
      <c r="J6" s="368"/>
      <c r="K6" s="368"/>
      <c r="L6" s="861"/>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c r="AZ6" s="368"/>
      <c r="BA6" s="368"/>
      <c r="BB6" s="368"/>
      <c r="BC6" s="368"/>
      <c r="BD6" s="368"/>
    </row>
    <row r="7" spans="1:56">
      <c r="A7" s="91">
        <f t="shared" si="0"/>
        <v>3</v>
      </c>
      <c r="C7" s="80" t="s">
        <v>281</v>
      </c>
      <c r="D7" s="80"/>
      <c r="F7" s="369">
        <f>F24</f>
        <v>2436713299.8406897</v>
      </c>
      <c r="G7" s="369">
        <v>0</v>
      </c>
      <c r="H7" s="369">
        <v>0</v>
      </c>
      <c r="I7" s="369">
        <v>0</v>
      </c>
      <c r="J7" s="369">
        <v>0</v>
      </c>
      <c r="K7" s="369"/>
      <c r="L7" s="370">
        <f>SUM(F7:J7)</f>
        <v>2436713299.8406897</v>
      </c>
      <c r="M7" s="368"/>
      <c r="N7" s="369">
        <v>0</v>
      </c>
      <c r="O7" s="369">
        <v>0</v>
      </c>
      <c r="P7" s="369">
        <v>0</v>
      </c>
      <c r="Q7" s="369">
        <v>0</v>
      </c>
      <c r="R7" s="369">
        <v>0</v>
      </c>
      <c r="S7" s="369"/>
      <c r="T7" s="369">
        <f>+SUM(N7:R7)</f>
        <v>0</v>
      </c>
      <c r="U7" s="369">
        <f>+T7+L7</f>
        <v>2436713299.8406897</v>
      </c>
      <c r="V7" s="369"/>
      <c r="W7" s="369">
        <f>W24</f>
        <v>2363810018.072628</v>
      </c>
      <c r="X7" s="369">
        <v>0</v>
      </c>
      <c r="Y7" s="369">
        <v>0</v>
      </c>
      <c r="Z7" s="369">
        <v>0</v>
      </c>
      <c r="AA7" s="369">
        <v>0</v>
      </c>
      <c r="AB7" s="369"/>
      <c r="AC7" s="369">
        <f>SUM(W7:AA7)</f>
        <v>2363810018.072628</v>
      </c>
      <c r="AD7" s="369"/>
      <c r="AE7" s="369">
        <v>0</v>
      </c>
      <c r="AF7" s="369">
        <v>0</v>
      </c>
      <c r="AG7" s="369">
        <v>0</v>
      </c>
      <c r="AH7" s="369">
        <v>0</v>
      </c>
      <c r="AI7" s="369">
        <v>0</v>
      </c>
      <c r="AJ7" s="369"/>
      <c r="AK7" s="369">
        <f>+SUM(AE7:AI7)</f>
        <v>0</v>
      </c>
      <c r="AL7" s="369">
        <f>+AK7+AC7</f>
        <v>2363810018.072628</v>
      </c>
      <c r="AM7" s="369"/>
      <c r="AN7" s="369">
        <f>AN24</f>
        <v>2312631997.3431683</v>
      </c>
      <c r="AO7" s="369">
        <v>0</v>
      </c>
      <c r="AP7" s="369">
        <v>0</v>
      </c>
      <c r="AQ7" s="369">
        <v>0</v>
      </c>
      <c r="AR7" s="369">
        <v>0</v>
      </c>
      <c r="AS7" s="369"/>
      <c r="AT7" s="369">
        <f>SUM(AN7:AR7)</f>
        <v>2312631997.3431683</v>
      </c>
      <c r="AU7" s="369"/>
      <c r="AV7" s="369">
        <v>0</v>
      </c>
      <c r="AW7" s="369">
        <v>0</v>
      </c>
      <c r="AX7" s="369">
        <v>0</v>
      </c>
      <c r="AY7" s="369">
        <v>0</v>
      </c>
      <c r="AZ7" s="369">
        <v>0</v>
      </c>
      <c r="BA7" s="369"/>
      <c r="BB7" s="369">
        <f>+SUM(AV7:AZ7)</f>
        <v>0</v>
      </c>
      <c r="BC7" s="369"/>
      <c r="BD7" s="369">
        <f>+BB7+AT7</f>
        <v>2312631997.3431683</v>
      </c>
    </row>
    <row r="8" spans="1:56">
      <c r="A8" s="91">
        <f t="shared" si="0"/>
        <v>4</v>
      </c>
      <c r="C8" s="80" t="s">
        <v>282</v>
      </c>
      <c r="D8" s="80"/>
      <c r="E8" s="2"/>
      <c r="F8" s="369">
        <f>'E-1'!E33</f>
        <v>1179202426.8818486</v>
      </c>
      <c r="G8" s="369">
        <v>0</v>
      </c>
      <c r="H8" s="369">
        <v>0</v>
      </c>
      <c r="I8" s="369">
        <v>0</v>
      </c>
      <c r="J8" s="369">
        <v>0</v>
      </c>
      <c r="K8" s="369"/>
      <c r="L8" s="370">
        <f>SUM(F8:J8)</f>
        <v>1179202426.8818486</v>
      </c>
      <c r="M8" s="368"/>
      <c r="N8" s="369">
        <v>0</v>
      </c>
      <c r="O8" s="369">
        <v>0</v>
      </c>
      <c r="P8" s="369">
        <v>0</v>
      </c>
      <c r="Q8" s="369">
        <v>0</v>
      </c>
      <c r="R8" s="369">
        <v>0</v>
      </c>
      <c r="S8" s="369"/>
      <c r="T8" s="369">
        <f>+SUM(N8:R8)</f>
        <v>0</v>
      </c>
      <c r="U8" s="369">
        <f>+T8+L8</f>
        <v>1179202426.8818486</v>
      </c>
      <c r="V8" s="369"/>
      <c r="W8" s="369">
        <f>'E-1'!H33</f>
        <v>1153897329.9670923</v>
      </c>
      <c r="X8" s="369">
        <v>0</v>
      </c>
      <c r="Y8" s="369">
        <v>0</v>
      </c>
      <c r="Z8" s="369">
        <v>0</v>
      </c>
      <c r="AA8" s="369">
        <v>0</v>
      </c>
      <c r="AB8" s="369"/>
      <c r="AC8" s="369">
        <f>SUM(W8:AA8)</f>
        <v>1153897329.9670923</v>
      </c>
      <c r="AD8" s="369"/>
      <c r="AE8" s="369">
        <v>0</v>
      </c>
      <c r="AF8" s="369">
        <v>0</v>
      </c>
      <c r="AG8" s="369">
        <v>0</v>
      </c>
      <c r="AH8" s="369">
        <v>0</v>
      </c>
      <c r="AI8" s="369">
        <v>0</v>
      </c>
      <c r="AJ8" s="369"/>
      <c r="AK8" s="369">
        <f t="shared" ref="AK8:AK9" si="1">+SUM(AE8:AI8)</f>
        <v>0</v>
      </c>
      <c r="AL8" s="369">
        <f t="shared" ref="AL8:AL9" si="2">+AK8+AC8</f>
        <v>1153897329.9670923</v>
      </c>
      <c r="AM8" s="369"/>
      <c r="AN8" s="369">
        <f>'E-1'!K33</f>
        <v>1138445034.8482292</v>
      </c>
      <c r="AO8" s="369">
        <v>0</v>
      </c>
      <c r="AP8" s="369">
        <v>0</v>
      </c>
      <c r="AQ8" s="369">
        <v>0</v>
      </c>
      <c r="AR8" s="369">
        <v>0</v>
      </c>
      <c r="AS8" s="369"/>
      <c r="AT8" s="369">
        <f>SUM(AN8:AR8)</f>
        <v>1138445034.8482292</v>
      </c>
      <c r="AU8" s="369"/>
      <c r="AV8" s="369">
        <v>0</v>
      </c>
      <c r="AW8" s="369">
        <v>0</v>
      </c>
      <c r="AX8" s="369">
        <v>0</v>
      </c>
      <c r="AY8" s="369">
        <v>0</v>
      </c>
      <c r="AZ8" s="369">
        <v>0</v>
      </c>
      <c r="BA8" s="369"/>
      <c r="BB8" s="369">
        <f t="shared" ref="BB8:BB9" si="3">+SUM(AV8:AZ8)</f>
        <v>0</v>
      </c>
      <c r="BC8" s="369"/>
      <c r="BD8" s="369">
        <f>+BB8+AT8</f>
        <v>1138445034.8482292</v>
      </c>
    </row>
    <row r="9" spans="1:56">
      <c r="A9" s="91">
        <f t="shared" si="0"/>
        <v>5</v>
      </c>
      <c r="C9" s="80" t="s">
        <v>370</v>
      </c>
      <c r="D9" s="80"/>
      <c r="F9" s="850">
        <f>SUM('E-2 Riders'!G19,'E-2 Riders'!G24,'E-2 Riders'!G29,'E-2 Riders'!G34)</f>
        <v>320077800</v>
      </c>
      <c r="G9" s="369">
        <v>0</v>
      </c>
      <c r="H9" s="369">
        <v>0</v>
      </c>
      <c r="I9" s="369">
        <v>0</v>
      </c>
      <c r="J9" s="369">
        <v>0</v>
      </c>
      <c r="K9" s="369"/>
      <c r="L9" s="370">
        <f>SUM(F9:J9)</f>
        <v>320077800</v>
      </c>
      <c r="M9" s="368"/>
      <c r="N9" s="369">
        <v>0</v>
      </c>
      <c r="O9" s="369">
        <v>0</v>
      </c>
      <c r="P9" s="369">
        <v>0</v>
      </c>
      <c r="Q9" s="369">
        <v>0</v>
      </c>
      <c r="R9" s="369">
        <v>0</v>
      </c>
      <c r="S9" s="369"/>
      <c r="T9" s="369">
        <f>+SUM(N9:R9)</f>
        <v>0</v>
      </c>
      <c r="U9" s="369">
        <f>+T9+L9</f>
        <v>320077800</v>
      </c>
      <c r="V9" s="369"/>
      <c r="W9" s="850">
        <f>F9</f>
        <v>320077800</v>
      </c>
      <c r="X9" s="369">
        <v>0</v>
      </c>
      <c r="Y9" s="369">
        <v>0</v>
      </c>
      <c r="Z9" s="369">
        <v>0</v>
      </c>
      <c r="AA9" s="369">
        <v>0</v>
      </c>
      <c r="AB9" s="369"/>
      <c r="AC9" s="369">
        <f>SUM(W9:AA9)</f>
        <v>320077800</v>
      </c>
      <c r="AD9" s="369"/>
      <c r="AE9" s="369">
        <v>0</v>
      </c>
      <c r="AF9" s="369">
        <v>0</v>
      </c>
      <c r="AG9" s="369">
        <v>0</v>
      </c>
      <c r="AH9" s="369">
        <v>0</v>
      </c>
      <c r="AI9" s="369">
        <v>0</v>
      </c>
      <c r="AJ9" s="369"/>
      <c r="AK9" s="369">
        <f t="shared" si="1"/>
        <v>0</v>
      </c>
      <c r="AL9" s="369">
        <f t="shared" si="2"/>
        <v>320077800</v>
      </c>
      <c r="AM9" s="369"/>
      <c r="AN9" s="850">
        <f>W9</f>
        <v>320077800</v>
      </c>
      <c r="AO9" s="369">
        <v>0</v>
      </c>
      <c r="AP9" s="369">
        <v>0</v>
      </c>
      <c r="AQ9" s="369">
        <v>0</v>
      </c>
      <c r="AR9" s="369">
        <v>0</v>
      </c>
      <c r="AS9" s="369"/>
      <c r="AT9" s="369">
        <f>SUM(AN9:AR9)</f>
        <v>320077800</v>
      </c>
      <c r="AU9" s="369"/>
      <c r="AV9" s="369">
        <v>0</v>
      </c>
      <c r="AW9" s="369">
        <v>0</v>
      </c>
      <c r="AX9" s="369">
        <v>0</v>
      </c>
      <c r="AY9" s="369">
        <v>0</v>
      </c>
      <c r="AZ9" s="369">
        <v>0</v>
      </c>
      <c r="BA9" s="369"/>
      <c r="BB9" s="369">
        <f t="shared" si="3"/>
        <v>0</v>
      </c>
      <c r="BC9" s="369"/>
      <c r="BD9" s="369">
        <f t="shared" ref="BD9" si="4">+BB9+AT9</f>
        <v>320077800</v>
      </c>
    </row>
    <row r="10" spans="1:56">
      <c r="A10" s="91">
        <f>IF(C10&lt;&gt;"",MAX(A8:A9)+1,"")</f>
        <v>6</v>
      </c>
      <c r="C10" s="792" t="s">
        <v>284</v>
      </c>
      <c r="D10" s="874"/>
      <c r="E10" s="2"/>
      <c r="F10" s="779">
        <f>SUM(F7:F9)</f>
        <v>3935993526.722538</v>
      </c>
      <c r="G10" s="779">
        <f>SUM(G7:G9)</f>
        <v>0</v>
      </c>
      <c r="H10" s="779">
        <f>SUM(H7:H9)</f>
        <v>0</v>
      </c>
      <c r="I10" s="779">
        <f>SUM(I7:I9)</f>
        <v>0</v>
      </c>
      <c r="J10" s="779">
        <f>SUM(J7:J9)</f>
        <v>0</v>
      </c>
      <c r="K10" s="653"/>
      <c r="L10" s="875">
        <f>SUM(L7:L9)</f>
        <v>3935993526.722538</v>
      </c>
      <c r="M10" s="764">
        <f t="shared" ref="M10:BD10" si="5">SUM(M7:M9)</f>
        <v>0</v>
      </c>
      <c r="N10" s="779">
        <f t="shared" si="5"/>
        <v>0</v>
      </c>
      <c r="O10" s="779">
        <f t="shared" si="5"/>
        <v>0</v>
      </c>
      <c r="P10" s="779">
        <f t="shared" si="5"/>
        <v>0</v>
      </c>
      <c r="Q10" s="779">
        <f t="shared" si="5"/>
        <v>0</v>
      </c>
      <c r="R10" s="779">
        <f t="shared" si="5"/>
        <v>0</v>
      </c>
      <c r="S10" s="653"/>
      <c r="T10" s="779">
        <f t="shared" si="5"/>
        <v>0</v>
      </c>
      <c r="U10" s="779">
        <f t="shared" si="5"/>
        <v>3935993526.722538</v>
      </c>
      <c r="V10" s="653"/>
      <c r="W10" s="779">
        <f t="shared" si="5"/>
        <v>3837785148.0397205</v>
      </c>
      <c r="X10" s="779">
        <f t="shared" si="5"/>
        <v>0</v>
      </c>
      <c r="Y10" s="779">
        <f t="shared" si="5"/>
        <v>0</v>
      </c>
      <c r="Z10" s="779">
        <f t="shared" si="5"/>
        <v>0</v>
      </c>
      <c r="AA10" s="779">
        <f t="shared" si="5"/>
        <v>0</v>
      </c>
      <c r="AB10" s="653"/>
      <c r="AC10" s="779">
        <f t="shared" si="5"/>
        <v>3837785148.0397205</v>
      </c>
      <c r="AD10" s="653"/>
      <c r="AE10" s="779">
        <f t="shared" si="5"/>
        <v>0</v>
      </c>
      <c r="AF10" s="779">
        <f t="shared" si="5"/>
        <v>0</v>
      </c>
      <c r="AG10" s="779">
        <f t="shared" si="5"/>
        <v>0</v>
      </c>
      <c r="AH10" s="779">
        <f t="shared" si="5"/>
        <v>0</v>
      </c>
      <c r="AI10" s="779">
        <f t="shared" si="5"/>
        <v>0</v>
      </c>
      <c r="AJ10" s="653"/>
      <c r="AK10" s="779">
        <f t="shared" si="5"/>
        <v>0</v>
      </c>
      <c r="AL10" s="779">
        <f t="shared" si="5"/>
        <v>3837785148.0397205</v>
      </c>
      <c r="AM10" s="653"/>
      <c r="AN10" s="779">
        <f t="shared" si="5"/>
        <v>3771154832.1913977</v>
      </c>
      <c r="AO10" s="779">
        <f t="shared" si="5"/>
        <v>0</v>
      </c>
      <c r="AP10" s="779">
        <f t="shared" si="5"/>
        <v>0</v>
      </c>
      <c r="AQ10" s="779">
        <f t="shared" si="5"/>
        <v>0</v>
      </c>
      <c r="AR10" s="779">
        <f t="shared" si="5"/>
        <v>0</v>
      </c>
      <c r="AS10" s="653"/>
      <c r="AT10" s="779">
        <f>SUM(AT7:AT9)</f>
        <v>3771154832.1913977</v>
      </c>
      <c r="AU10" s="653"/>
      <c r="AV10" s="779">
        <f t="shared" si="5"/>
        <v>0</v>
      </c>
      <c r="AW10" s="779">
        <f t="shared" si="5"/>
        <v>0</v>
      </c>
      <c r="AX10" s="779">
        <f t="shared" si="5"/>
        <v>0</v>
      </c>
      <c r="AY10" s="779">
        <f t="shared" si="5"/>
        <v>0</v>
      </c>
      <c r="AZ10" s="779">
        <f t="shared" si="5"/>
        <v>0</v>
      </c>
      <c r="BA10" s="653"/>
      <c r="BB10" s="779">
        <f t="shared" si="5"/>
        <v>0</v>
      </c>
      <c r="BC10" s="653"/>
      <c r="BD10" s="779">
        <f t="shared" si="5"/>
        <v>3771154832.1913977</v>
      </c>
    </row>
    <row r="11" spans="1:56">
      <c r="A11" s="91"/>
      <c r="C11" s="757"/>
      <c r="D11" s="757"/>
      <c r="F11" s="653"/>
      <c r="G11" s="653"/>
      <c r="H11" s="653"/>
      <c r="I11" s="653"/>
      <c r="J11" s="653"/>
      <c r="K11" s="653"/>
      <c r="L11" s="877"/>
      <c r="M11" s="368"/>
      <c r="N11" s="653"/>
      <c r="O11" s="653"/>
      <c r="P11" s="653"/>
      <c r="Q11" s="653"/>
      <c r="R11" s="653"/>
      <c r="S11" s="653"/>
      <c r="T11" s="653"/>
      <c r="U11" s="653"/>
      <c r="V11" s="653"/>
      <c r="W11" s="653"/>
      <c r="X11" s="653"/>
      <c r="Y11" s="653"/>
      <c r="Z11" s="653"/>
      <c r="AA11" s="653"/>
      <c r="AB11" s="653"/>
      <c r="AC11" s="905"/>
      <c r="AD11" s="653"/>
      <c r="AE11" s="653"/>
      <c r="AF11" s="653"/>
      <c r="AG11" s="653"/>
      <c r="AH11" s="653"/>
      <c r="AI11" s="653"/>
      <c r="AJ11" s="653"/>
      <c r="AK11" s="653"/>
      <c r="AL11" s="653"/>
      <c r="AM11" s="653"/>
      <c r="AN11" s="653"/>
      <c r="AO11" s="653"/>
      <c r="AP11" s="653"/>
      <c r="AQ11" s="653"/>
      <c r="AR11" s="653"/>
      <c r="AS11" s="653"/>
      <c r="AT11" s="653"/>
      <c r="AU11" s="653"/>
      <c r="AV11" s="653"/>
      <c r="AW11" s="653"/>
      <c r="AX11" s="653"/>
      <c r="AY11" s="653"/>
      <c r="AZ11" s="653"/>
      <c r="BA11" s="653"/>
      <c r="BB11" s="653"/>
      <c r="BC11" s="653"/>
      <c r="BD11" s="653"/>
    </row>
    <row r="12" spans="1:56">
      <c r="A12" s="91">
        <f>IF(C12&lt;&gt;"",MAX(A10:A11)+1,"")</f>
        <v>7</v>
      </c>
      <c r="C12" s="80" t="s">
        <v>286</v>
      </c>
      <c r="D12" s="80"/>
      <c r="F12" s="369">
        <f>'B-7'!F15</f>
        <v>56501060.585000008</v>
      </c>
      <c r="G12" s="369">
        <v>0</v>
      </c>
      <c r="H12" s="369">
        <v>0</v>
      </c>
      <c r="I12" s="369">
        <v>0</v>
      </c>
      <c r="J12" s="369">
        <v>0</v>
      </c>
      <c r="K12" s="369"/>
      <c r="L12" s="370">
        <f>SUM(F12:J12)</f>
        <v>56501060.585000008</v>
      </c>
      <c r="M12" s="368"/>
      <c r="N12" s="369">
        <v>27903135.49499999</v>
      </c>
      <c r="O12" s="369">
        <v>0</v>
      </c>
      <c r="P12" s="369">
        <v>0</v>
      </c>
      <c r="Q12" s="369">
        <v>0</v>
      </c>
      <c r="R12" s="369">
        <v>0</v>
      </c>
      <c r="S12" s="369"/>
      <c r="T12" s="369">
        <f>+SUM(N12:R12)</f>
        <v>27903135.49499999</v>
      </c>
      <c r="U12" s="369">
        <f>+T12+L12</f>
        <v>84404196.079999998</v>
      </c>
      <c r="V12" s="369"/>
      <c r="W12" s="369">
        <f>'B-7'!H15</f>
        <v>56695460.585000008</v>
      </c>
      <c r="X12" s="369">
        <v>0</v>
      </c>
      <c r="Y12" s="369">
        <v>0</v>
      </c>
      <c r="Z12" s="369">
        <v>0</v>
      </c>
      <c r="AA12" s="369">
        <v>0</v>
      </c>
      <c r="AB12" s="369"/>
      <c r="AC12" s="369">
        <f>SUM(W12:AA12)</f>
        <v>56695460.585000008</v>
      </c>
      <c r="AD12" s="369"/>
      <c r="AE12" s="369">
        <f>+(U12*1.0348)-AC12</f>
        <v>30646001.518583983</v>
      </c>
      <c r="AF12" s="369">
        <v>0</v>
      </c>
      <c r="AG12" s="369">
        <v>0</v>
      </c>
      <c r="AH12" s="369">
        <v>0</v>
      </c>
      <c r="AI12" s="369">
        <v>0</v>
      </c>
      <c r="AJ12" s="369"/>
      <c r="AK12" s="369">
        <f>+SUM(AE12:AI12)</f>
        <v>30646001.518583983</v>
      </c>
      <c r="AL12" s="369">
        <f t="shared" ref="AL12:AL14" si="6">+AK12+AC12</f>
        <v>87341462.103583992</v>
      </c>
      <c r="AM12" s="369"/>
      <c r="AN12" s="369">
        <f>'B-7'!J15</f>
        <v>56370898.120000005</v>
      </c>
      <c r="AO12" s="369">
        <v>0</v>
      </c>
      <c r="AP12" s="369">
        <v>0</v>
      </c>
      <c r="AQ12" s="369">
        <v>0</v>
      </c>
      <c r="AR12" s="369">
        <v>0</v>
      </c>
      <c r="AS12" s="369"/>
      <c r="AT12" s="369">
        <f>SUM(AN12:AR12)</f>
        <v>56370898.120000005</v>
      </c>
      <c r="AU12" s="369"/>
      <c r="AV12" s="369">
        <f>(AL12*1.0348)-AT12</f>
        <v>34010046.864788711</v>
      </c>
      <c r="AW12" s="369">
        <v>0</v>
      </c>
      <c r="AX12" s="369">
        <v>0</v>
      </c>
      <c r="AY12" s="369">
        <v>0</v>
      </c>
      <c r="AZ12" s="369">
        <v>0</v>
      </c>
      <c r="BA12" s="369"/>
      <c r="BB12" s="369">
        <f t="shared" ref="BB12:BB14" si="7">+SUM(AV12:AZ12)</f>
        <v>34010046.864788711</v>
      </c>
      <c r="BC12" s="369"/>
      <c r="BD12" s="369">
        <f t="shared" ref="BD12:BD14" si="8">+BB12+AT12</f>
        <v>90380944.984788716</v>
      </c>
    </row>
    <row r="13" spans="1:56">
      <c r="A13" s="91">
        <f>IF(C13&lt;&gt;"",MAX(A11:A12)+1,"")</f>
        <v>8</v>
      </c>
      <c r="C13" s="705" t="s">
        <v>287</v>
      </c>
      <c r="D13" s="878"/>
      <c r="E13" s="2"/>
      <c r="F13" s="779">
        <f>F10+SUM(F12:F12)</f>
        <v>3992494587.307538</v>
      </c>
      <c r="G13" s="779">
        <f>G10+SUM(G12:G12)</f>
        <v>0</v>
      </c>
      <c r="H13" s="779">
        <f>H10+SUM(H12:H12)</f>
        <v>0</v>
      </c>
      <c r="I13" s="779">
        <f>I10+SUM(I12:I12)</f>
        <v>0</v>
      </c>
      <c r="J13" s="779">
        <f>J10+SUM(J12:J12)</f>
        <v>0</v>
      </c>
      <c r="K13" s="653"/>
      <c r="L13" s="875">
        <f>L10+SUM(L12:L12)</f>
        <v>3992494587.307538</v>
      </c>
      <c r="M13" s="875">
        <f t="shared" ref="M13:BD13" si="9">M10+SUM(M12:M12)</f>
        <v>0</v>
      </c>
      <c r="N13" s="875">
        <f t="shared" si="9"/>
        <v>27903135.49499999</v>
      </c>
      <c r="O13" s="875">
        <f t="shared" si="9"/>
        <v>0</v>
      </c>
      <c r="P13" s="875">
        <f t="shared" si="9"/>
        <v>0</v>
      </c>
      <c r="Q13" s="875">
        <f t="shared" si="9"/>
        <v>0</v>
      </c>
      <c r="R13" s="875">
        <f t="shared" si="9"/>
        <v>0</v>
      </c>
      <c r="S13" s="653"/>
      <c r="T13" s="875">
        <f t="shared" si="9"/>
        <v>27903135.49499999</v>
      </c>
      <c r="U13" s="875">
        <f t="shared" si="9"/>
        <v>4020397722.8025379</v>
      </c>
      <c r="V13" s="653"/>
      <c r="W13" s="875">
        <f t="shared" si="9"/>
        <v>3894480608.6247206</v>
      </c>
      <c r="X13" s="875">
        <f t="shared" si="9"/>
        <v>0</v>
      </c>
      <c r="Y13" s="875">
        <f t="shared" si="9"/>
        <v>0</v>
      </c>
      <c r="Z13" s="875">
        <f t="shared" si="9"/>
        <v>0</v>
      </c>
      <c r="AA13" s="875">
        <f t="shared" si="9"/>
        <v>0</v>
      </c>
      <c r="AB13" s="653"/>
      <c r="AC13" s="875">
        <f t="shared" si="9"/>
        <v>3894480608.6247206</v>
      </c>
      <c r="AD13" s="653"/>
      <c r="AE13" s="875">
        <f t="shared" si="9"/>
        <v>30646001.518583983</v>
      </c>
      <c r="AF13" s="875">
        <f t="shared" si="9"/>
        <v>0</v>
      </c>
      <c r="AG13" s="875">
        <f t="shared" si="9"/>
        <v>0</v>
      </c>
      <c r="AH13" s="875">
        <f t="shared" si="9"/>
        <v>0</v>
      </c>
      <c r="AI13" s="875">
        <f t="shared" si="9"/>
        <v>0</v>
      </c>
      <c r="AJ13" s="653"/>
      <c r="AK13" s="875">
        <f t="shared" si="9"/>
        <v>30646001.518583983</v>
      </c>
      <c r="AL13" s="875">
        <f t="shared" si="9"/>
        <v>3925126610.1433043</v>
      </c>
      <c r="AM13" s="653"/>
      <c r="AN13" s="875">
        <f t="shared" si="9"/>
        <v>3827525730.3113976</v>
      </c>
      <c r="AO13" s="875">
        <f t="shared" si="9"/>
        <v>0</v>
      </c>
      <c r="AP13" s="875">
        <f t="shared" si="9"/>
        <v>0</v>
      </c>
      <c r="AQ13" s="875">
        <f t="shared" si="9"/>
        <v>0</v>
      </c>
      <c r="AR13" s="875">
        <f t="shared" si="9"/>
        <v>0</v>
      </c>
      <c r="AS13" s="653"/>
      <c r="AT13" s="875">
        <f t="shared" si="9"/>
        <v>3827525730.3113976</v>
      </c>
      <c r="AU13" s="653"/>
      <c r="AV13" s="875">
        <f t="shared" si="9"/>
        <v>34010046.864788711</v>
      </c>
      <c r="AW13" s="875">
        <f t="shared" si="9"/>
        <v>0</v>
      </c>
      <c r="AX13" s="875">
        <f t="shared" si="9"/>
        <v>0</v>
      </c>
      <c r="AY13" s="875">
        <f t="shared" si="9"/>
        <v>0</v>
      </c>
      <c r="AZ13" s="875">
        <f t="shared" si="9"/>
        <v>0</v>
      </c>
      <c r="BA13" s="653"/>
      <c r="BB13" s="779">
        <f t="shared" si="9"/>
        <v>34010046.864788711</v>
      </c>
      <c r="BC13" s="653"/>
      <c r="BD13" s="875">
        <f t="shared" si="9"/>
        <v>3861535777.1761866</v>
      </c>
    </row>
    <row r="14" spans="1:56">
      <c r="A14" s="91">
        <f>IF(C14&lt;&gt;"",MAX(A12:A13)+1,"")</f>
        <v>9</v>
      </c>
      <c r="C14" s="80" t="s">
        <v>370</v>
      </c>
      <c r="D14" s="80"/>
      <c r="F14" s="850">
        <f>F9</f>
        <v>320077800</v>
      </c>
      <c r="G14" s="369">
        <v>0</v>
      </c>
      <c r="H14" s="369">
        <v>0</v>
      </c>
      <c r="I14" s="369">
        <v>0</v>
      </c>
      <c r="J14" s="369">
        <v>0</v>
      </c>
      <c r="K14" s="369"/>
      <c r="L14" s="370">
        <f>SUM(F14:J14)</f>
        <v>320077800</v>
      </c>
      <c r="M14" s="368"/>
      <c r="N14" s="369">
        <v>0</v>
      </c>
      <c r="O14" s="369">
        <v>0</v>
      </c>
      <c r="P14" s="369">
        <v>0</v>
      </c>
      <c r="Q14" s="369">
        <v>0</v>
      </c>
      <c r="R14" s="369">
        <v>0</v>
      </c>
      <c r="S14" s="369"/>
      <c r="T14" s="369">
        <f>+SUM(N14:R14)</f>
        <v>0</v>
      </c>
      <c r="U14" s="369">
        <f>+T14+L14</f>
        <v>320077800</v>
      </c>
      <c r="V14" s="369"/>
      <c r="W14" s="850">
        <f>F14</f>
        <v>320077800</v>
      </c>
      <c r="X14" s="369">
        <v>0</v>
      </c>
      <c r="Y14" s="369">
        <v>0</v>
      </c>
      <c r="Z14" s="369">
        <v>0</v>
      </c>
      <c r="AA14" s="369">
        <v>0</v>
      </c>
      <c r="AB14" s="369"/>
      <c r="AC14" s="369">
        <f>SUM(W14:AA14)</f>
        <v>320077800</v>
      </c>
      <c r="AD14" s="369"/>
      <c r="AE14" s="369">
        <v>0</v>
      </c>
      <c r="AF14" s="369">
        <v>0</v>
      </c>
      <c r="AG14" s="369">
        <v>0</v>
      </c>
      <c r="AH14" s="369">
        <v>0</v>
      </c>
      <c r="AI14" s="369">
        <v>0</v>
      </c>
      <c r="AJ14" s="369"/>
      <c r="AK14" s="369">
        <f t="shared" ref="AK14" si="10">+SUM(AE14:AI14)</f>
        <v>0</v>
      </c>
      <c r="AL14" s="369">
        <f t="shared" si="6"/>
        <v>320077800</v>
      </c>
      <c r="AM14" s="369"/>
      <c r="AN14" s="850">
        <f>W14</f>
        <v>320077800</v>
      </c>
      <c r="AO14" s="369">
        <v>0</v>
      </c>
      <c r="AP14" s="369">
        <v>0</v>
      </c>
      <c r="AQ14" s="369">
        <v>0</v>
      </c>
      <c r="AR14" s="369">
        <v>0</v>
      </c>
      <c r="AS14" s="369"/>
      <c r="AT14" s="369">
        <f>SUM(AN14:AR14)</f>
        <v>320077800</v>
      </c>
      <c r="AU14" s="369"/>
      <c r="AV14" s="369">
        <v>0</v>
      </c>
      <c r="AW14" s="369">
        <v>0</v>
      </c>
      <c r="AX14" s="369">
        <v>0</v>
      </c>
      <c r="AY14" s="369">
        <v>0</v>
      </c>
      <c r="AZ14" s="369">
        <v>0</v>
      </c>
      <c r="BA14" s="369"/>
      <c r="BB14" s="369">
        <f t="shared" si="7"/>
        <v>0</v>
      </c>
      <c r="BC14" s="369"/>
      <c r="BD14" s="369">
        <f t="shared" si="8"/>
        <v>320077800</v>
      </c>
    </row>
    <row r="15" spans="1:56">
      <c r="A15" s="77"/>
      <c r="E15" s="2"/>
      <c r="F15" s="368"/>
      <c r="G15" s="368"/>
      <c r="H15" s="368"/>
      <c r="I15" s="368"/>
      <c r="J15" s="368"/>
      <c r="K15" s="368"/>
      <c r="L15" s="861"/>
      <c r="M15" s="368"/>
      <c r="N15" s="368"/>
      <c r="O15" s="368"/>
      <c r="P15" s="368"/>
      <c r="Q15" s="368"/>
      <c r="R15" s="368"/>
      <c r="S15" s="368"/>
      <c r="T15" s="368"/>
      <c r="U15" s="368"/>
      <c r="V15" s="368"/>
      <c r="W15" s="368"/>
      <c r="X15" s="368"/>
      <c r="Y15" s="368"/>
      <c r="Z15" s="368"/>
      <c r="AA15" s="368"/>
      <c r="AB15" s="368"/>
      <c r="AC15" s="368"/>
      <c r="AD15" s="368"/>
      <c r="AE15" s="368"/>
      <c r="AF15" s="368"/>
      <c r="AG15" s="368"/>
      <c r="AH15" s="368"/>
      <c r="AI15" s="368"/>
      <c r="AJ15" s="368"/>
      <c r="AK15" s="368"/>
      <c r="AL15" s="368"/>
      <c r="AM15" s="368"/>
      <c r="AN15" s="368"/>
      <c r="AO15" s="368"/>
      <c r="AP15" s="368"/>
      <c r="AQ15" s="368"/>
      <c r="AR15" s="368"/>
      <c r="AS15" s="368"/>
      <c r="AT15" s="368"/>
      <c r="AU15" s="368"/>
      <c r="AV15" s="368"/>
      <c r="AW15" s="368"/>
      <c r="AX15" s="368"/>
      <c r="AY15" s="368"/>
      <c r="AZ15" s="368"/>
      <c r="BA15" s="368"/>
      <c r="BB15" s="368"/>
      <c r="BC15" s="368"/>
      <c r="BD15" s="368"/>
    </row>
    <row r="16" spans="1:56">
      <c r="A16" s="91">
        <f>IF(C16&lt;&gt;"",MAX(A14:A14)+1,"")</f>
        <v>10</v>
      </c>
      <c r="C16" s="710" t="s">
        <v>290</v>
      </c>
      <c r="D16" s="879"/>
      <c r="F16" s="875">
        <f>F13-SUM(F14:F14)</f>
        <v>3672416787.307538</v>
      </c>
      <c r="G16" s="779">
        <f>G13+SUM(G14:G14)</f>
        <v>0</v>
      </c>
      <c r="H16" s="779">
        <f>H13+SUM(H14:H14)</f>
        <v>0</v>
      </c>
      <c r="I16" s="779">
        <f>I13+SUM(I14:I14)</f>
        <v>0</v>
      </c>
      <c r="J16" s="779">
        <f>J13+SUM(J14:J14)</f>
        <v>0</v>
      </c>
      <c r="K16" s="653"/>
      <c r="L16" s="875">
        <f>L13-SUM(L14:L14)</f>
        <v>3672416787.307538</v>
      </c>
      <c r="M16" s="875">
        <f t="shared" ref="M16:BD16" si="11">M13-SUM(M14:M14)</f>
        <v>0</v>
      </c>
      <c r="N16" s="875">
        <f t="shared" si="11"/>
        <v>27903135.49499999</v>
      </c>
      <c r="O16" s="875">
        <f t="shared" si="11"/>
        <v>0</v>
      </c>
      <c r="P16" s="875">
        <f t="shared" si="11"/>
        <v>0</v>
      </c>
      <c r="Q16" s="875">
        <f t="shared" si="11"/>
        <v>0</v>
      </c>
      <c r="R16" s="875">
        <f t="shared" si="11"/>
        <v>0</v>
      </c>
      <c r="S16" s="653"/>
      <c r="T16" s="875">
        <f t="shared" si="11"/>
        <v>27903135.49499999</v>
      </c>
      <c r="U16" s="875">
        <f t="shared" si="11"/>
        <v>3700319922.8025379</v>
      </c>
      <c r="V16" s="653"/>
      <c r="W16" s="875">
        <f t="shared" si="11"/>
        <v>3574402808.6247206</v>
      </c>
      <c r="X16" s="875">
        <f t="shared" si="11"/>
        <v>0</v>
      </c>
      <c r="Y16" s="875">
        <f t="shared" si="11"/>
        <v>0</v>
      </c>
      <c r="Z16" s="875">
        <f t="shared" si="11"/>
        <v>0</v>
      </c>
      <c r="AA16" s="875">
        <f t="shared" si="11"/>
        <v>0</v>
      </c>
      <c r="AB16" s="653"/>
      <c r="AC16" s="875">
        <f t="shared" si="11"/>
        <v>3574402808.6247206</v>
      </c>
      <c r="AD16" s="653"/>
      <c r="AE16" s="875">
        <f t="shared" si="11"/>
        <v>30646001.518583983</v>
      </c>
      <c r="AF16" s="875">
        <f t="shared" si="11"/>
        <v>0</v>
      </c>
      <c r="AG16" s="875">
        <f t="shared" si="11"/>
        <v>0</v>
      </c>
      <c r="AH16" s="875">
        <f t="shared" si="11"/>
        <v>0</v>
      </c>
      <c r="AI16" s="875">
        <f t="shared" si="11"/>
        <v>0</v>
      </c>
      <c r="AJ16" s="653"/>
      <c r="AK16" s="875">
        <f t="shared" si="11"/>
        <v>30646001.518583983</v>
      </c>
      <c r="AL16" s="875">
        <f t="shared" si="11"/>
        <v>3605048810.1433043</v>
      </c>
      <c r="AM16" s="653"/>
      <c r="AN16" s="875">
        <f t="shared" si="11"/>
        <v>3507447930.3113976</v>
      </c>
      <c r="AO16" s="875">
        <f t="shared" si="11"/>
        <v>0</v>
      </c>
      <c r="AP16" s="875">
        <f t="shared" si="11"/>
        <v>0</v>
      </c>
      <c r="AQ16" s="875">
        <f t="shared" si="11"/>
        <v>0</v>
      </c>
      <c r="AR16" s="875">
        <f t="shared" si="11"/>
        <v>0</v>
      </c>
      <c r="AS16" s="653"/>
      <c r="AT16" s="875">
        <f t="shared" si="11"/>
        <v>3507447930.3113976</v>
      </c>
      <c r="AU16" s="653"/>
      <c r="AV16" s="875">
        <f t="shared" si="11"/>
        <v>34010046.864788711</v>
      </c>
      <c r="AW16" s="875">
        <f t="shared" si="11"/>
        <v>0</v>
      </c>
      <c r="AX16" s="875">
        <f t="shared" si="11"/>
        <v>0</v>
      </c>
      <c r="AY16" s="875">
        <f t="shared" si="11"/>
        <v>0</v>
      </c>
      <c r="AZ16" s="875">
        <f t="shared" si="11"/>
        <v>0</v>
      </c>
      <c r="BA16" s="653"/>
      <c r="BB16" s="779">
        <f t="shared" si="11"/>
        <v>34010046.864788711</v>
      </c>
      <c r="BC16" s="653"/>
      <c r="BD16" s="875">
        <f t="shared" si="11"/>
        <v>3541457977.1761866</v>
      </c>
    </row>
    <row r="17" spans="1:56">
      <c r="A17" s="91"/>
      <c r="C17" s="29"/>
      <c r="D17" s="29"/>
      <c r="E17" s="2"/>
      <c r="F17" s="653"/>
      <c r="G17" s="653"/>
      <c r="H17" s="653"/>
      <c r="I17" s="653"/>
      <c r="J17" s="653"/>
      <c r="K17" s="653"/>
      <c r="L17" s="877"/>
      <c r="M17" s="368"/>
      <c r="N17" s="653"/>
      <c r="O17" s="653"/>
      <c r="P17" s="653"/>
      <c r="Q17" s="653"/>
      <c r="R17" s="653"/>
      <c r="S17" s="653"/>
      <c r="T17" s="653"/>
      <c r="U17" s="653"/>
      <c r="V17" s="653"/>
      <c r="W17" s="653"/>
      <c r="X17" s="653"/>
      <c r="Y17" s="653"/>
      <c r="Z17" s="653"/>
      <c r="AA17" s="653"/>
      <c r="AB17" s="653"/>
      <c r="AC17" s="653"/>
      <c r="AD17" s="653"/>
      <c r="AE17" s="653"/>
      <c r="AF17" s="653"/>
      <c r="AG17" s="653"/>
      <c r="AH17" s="653"/>
      <c r="AI17" s="653"/>
      <c r="AJ17" s="653"/>
      <c r="AK17" s="653"/>
      <c r="AL17" s="653"/>
      <c r="AM17" s="653"/>
      <c r="AN17" s="653"/>
      <c r="AO17" s="653"/>
      <c r="AP17" s="653"/>
      <c r="AQ17" s="653"/>
      <c r="AR17" s="653"/>
      <c r="AS17" s="653"/>
      <c r="AT17" s="653"/>
      <c r="AU17" s="653"/>
      <c r="AV17" s="653"/>
      <c r="AW17" s="653"/>
      <c r="AX17" s="653"/>
      <c r="AY17" s="653"/>
      <c r="AZ17" s="653"/>
      <c r="BA17" s="653"/>
      <c r="BB17" s="653"/>
      <c r="BC17" s="653"/>
      <c r="BD17" s="653"/>
    </row>
    <row r="18" spans="1:56" ht="15.75" thickBot="1">
      <c r="A18" s="91">
        <f>IF(C18&lt;&gt;"",MAX(A16:A17)+1,"")</f>
        <v>11</v>
      </c>
      <c r="C18" s="870" t="s">
        <v>291</v>
      </c>
      <c r="D18" s="870"/>
      <c r="F18" s="871" t="s">
        <v>279</v>
      </c>
      <c r="G18" s="871" t="s">
        <v>279</v>
      </c>
      <c r="H18" s="871" t="s">
        <v>279</v>
      </c>
      <c r="I18" s="871" t="s">
        <v>279</v>
      </c>
      <c r="J18" s="871" t="s">
        <v>279</v>
      </c>
      <c r="K18" s="653"/>
      <c r="L18" s="872" t="s">
        <v>279</v>
      </c>
      <c r="M18" s="380"/>
      <c r="N18" s="871" t="s">
        <v>279</v>
      </c>
      <c r="O18" s="871" t="s">
        <v>279</v>
      </c>
      <c r="P18" s="871" t="s">
        <v>279</v>
      </c>
      <c r="Q18" s="871" t="s">
        <v>279</v>
      </c>
      <c r="R18" s="871" t="s">
        <v>279</v>
      </c>
      <c r="S18" s="653"/>
      <c r="T18" s="871">
        <f>+SUM(N18:R18)</f>
        <v>0</v>
      </c>
      <c r="U18" s="871"/>
      <c r="V18" s="653"/>
      <c r="W18" s="871" t="s">
        <v>279</v>
      </c>
      <c r="X18" s="871" t="s">
        <v>279</v>
      </c>
      <c r="Y18" s="871" t="s">
        <v>279</v>
      </c>
      <c r="Z18" s="871" t="s">
        <v>279</v>
      </c>
      <c r="AA18" s="871" t="s">
        <v>279</v>
      </c>
      <c r="AB18" s="653"/>
      <c r="AC18" s="871" t="s">
        <v>279</v>
      </c>
      <c r="AD18" s="653"/>
      <c r="AE18" s="871" t="s">
        <v>279</v>
      </c>
      <c r="AF18" s="871" t="s">
        <v>279</v>
      </c>
      <c r="AG18" s="871" t="s">
        <v>279</v>
      </c>
      <c r="AH18" s="871" t="s">
        <v>279</v>
      </c>
      <c r="AI18" s="871" t="s">
        <v>279</v>
      </c>
      <c r="AJ18" s="653"/>
      <c r="AK18" s="871">
        <f t="shared" ref="AK18" si="12">+SUM(AE18:AI18)</f>
        <v>0</v>
      </c>
      <c r="AL18" s="871"/>
      <c r="AM18" s="653"/>
      <c r="AN18" s="871" t="s">
        <v>279</v>
      </c>
      <c r="AO18" s="871" t="s">
        <v>279</v>
      </c>
      <c r="AP18" s="871" t="s">
        <v>279</v>
      </c>
      <c r="AQ18" s="871" t="s">
        <v>279</v>
      </c>
      <c r="AR18" s="871" t="s">
        <v>279</v>
      </c>
      <c r="AS18" s="653"/>
      <c r="AT18" s="871" t="s">
        <v>279</v>
      </c>
      <c r="AU18" s="653"/>
      <c r="AV18" s="871" t="s">
        <v>279</v>
      </c>
      <c r="AW18" s="871" t="s">
        <v>279</v>
      </c>
      <c r="AX18" s="871" t="s">
        <v>279</v>
      </c>
      <c r="AY18" s="871" t="s">
        <v>279</v>
      </c>
      <c r="AZ18" s="871" t="s">
        <v>279</v>
      </c>
      <c r="BA18" s="653"/>
      <c r="BB18" s="871">
        <f t="shared" ref="BB18" si="13">+SUM(AV18:AZ18)</f>
        <v>0</v>
      </c>
      <c r="BC18" s="653"/>
      <c r="BD18" s="871"/>
    </row>
    <row r="19" spans="1:56">
      <c r="A19" s="91"/>
      <c r="C19" s="29"/>
      <c r="D19" s="29"/>
      <c r="E19" s="2"/>
      <c r="F19" s="653"/>
      <c r="G19" s="653"/>
      <c r="H19" s="653"/>
      <c r="I19" s="653"/>
      <c r="J19" s="653"/>
      <c r="K19" s="653"/>
      <c r="L19" s="877"/>
      <c r="M19" s="368"/>
      <c r="N19" s="653"/>
      <c r="O19" s="653"/>
      <c r="P19" s="653"/>
      <c r="Q19" s="653"/>
      <c r="R19" s="653"/>
      <c r="S19" s="653"/>
      <c r="T19" s="653"/>
      <c r="U19" s="653"/>
      <c r="V19" s="653"/>
      <c r="W19" s="653"/>
      <c r="X19" s="653"/>
      <c r="Y19" s="653"/>
      <c r="Z19" s="653"/>
      <c r="AA19" s="653"/>
      <c r="AB19" s="653"/>
      <c r="AC19" s="653"/>
      <c r="AD19" s="653"/>
      <c r="AE19" s="653"/>
      <c r="AF19" s="653"/>
      <c r="AG19" s="653"/>
      <c r="AH19" s="653"/>
      <c r="AI19" s="653"/>
      <c r="AJ19" s="653"/>
      <c r="AK19" s="653"/>
      <c r="AL19" s="653"/>
      <c r="AM19" s="653"/>
      <c r="AN19" s="653"/>
      <c r="AO19" s="653"/>
      <c r="AP19" s="653"/>
      <c r="AQ19" s="653"/>
      <c r="AR19" s="653"/>
      <c r="AS19" s="653"/>
      <c r="AT19" s="653"/>
      <c r="AU19" s="653"/>
      <c r="AV19" s="653"/>
      <c r="AW19" s="653"/>
      <c r="AX19" s="653"/>
      <c r="AY19" s="653"/>
      <c r="AZ19" s="653"/>
      <c r="BA19" s="653"/>
      <c r="BB19" s="653"/>
      <c r="BC19" s="653"/>
      <c r="BD19" s="653"/>
    </row>
    <row r="20" spans="1:56">
      <c r="A20" s="91">
        <f>IF(C20&lt;&gt;"",MAX(A17:A18)+1,"")</f>
        <v>12</v>
      </c>
      <c r="C20" s="361" t="s">
        <v>292</v>
      </c>
      <c r="D20" s="361"/>
      <c r="F20" s="368"/>
      <c r="G20" s="368"/>
      <c r="H20" s="368"/>
      <c r="I20" s="368"/>
      <c r="J20" s="368"/>
      <c r="K20" s="368"/>
      <c r="L20" s="861"/>
      <c r="M20" s="368"/>
      <c r="N20" s="368"/>
      <c r="O20" s="368"/>
      <c r="P20" s="368"/>
      <c r="Q20" s="368"/>
      <c r="R20" s="368"/>
      <c r="S20" s="368"/>
      <c r="T20" s="368">
        <f>+SUM(N20:R20)</f>
        <v>0</v>
      </c>
      <c r="U20" s="368"/>
      <c r="V20" s="368"/>
      <c r="W20" s="368"/>
      <c r="X20" s="368"/>
      <c r="Y20" s="368"/>
      <c r="Z20" s="368"/>
      <c r="AA20" s="368"/>
      <c r="AB20" s="368"/>
      <c r="AC20" s="368"/>
      <c r="AD20" s="368"/>
      <c r="AE20" s="368"/>
      <c r="AF20" s="368"/>
      <c r="AG20" s="368"/>
      <c r="AH20" s="368"/>
      <c r="AI20" s="368"/>
      <c r="AJ20" s="368"/>
      <c r="AK20" s="368">
        <f t="shared" ref="AK20:AK23" si="14">+SUM(AE20:AI20)</f>
        <v>0</v>
      </c>
      <c r="AL20" s="368"/>
      <c r="AM20" s="368"/>
      <c r="AN20" s="368"/>
      <c r="AO20" s="368"/>
      <c r="AP20" s="368"/>
      <c r="AQ20" s="368"/>
      <c r="AR20" s="368"/>
      <c r="AS20" s="368"/>
      <c r="AT20" s="368"/>
      <c r="AU20" s="368"/>
      <c r="AV20" s="368"/>
      <c r="AW20" s="368"/>
      <c r="AX20" s="368"/>
      <c r="AY20" s="368"/>
      <c r="AZ20" s="368"/>
      <c r="BA20" s="368"/>
      <c r="BB20" s="368">
        <f t="shared" ref="BB20:BB23" si="15">+SUM(AV20:AZ20)</f>
        <v>0</v>
      </c>
      <c r="BC20" s="368"/>
      <c r="BD20" s="368"/>
    </row>
    <row r="21" spans="1:56">
      <c r="A21" s="91">
        <f>IF(C21&lt;&gt;"",MAX(A18:A20)+1,"")</f>
        <v>13</v>
      </c>
      <c r="C21" s="80" t="s">
        <v>293</v>
      </c>
      <c r="D21" s="80"/>
      <c r="E21" s="2"/>
      <c r="F21" s="377">
        <f>'F-6'!F191</f>
        <v>1710960028.6206896</v>
      </c>
      <c r="G21" s="369">
        <v>0</v>
      </c>
      <c r="H21" s="369">
        <v>0</v>
      </c>
      <c r="I21" s="369">
        <v>0</v>
      </c>
      <c r="J21" s="369">
        <v>0</v>
      </c>
      <c r="K21" s="369"/>
      <c r="L21" s="370">
        <f>SUM(F21:J21)</f>
        <v>1710960028.6206896</v>
      </c>
      <c r="M21" s="368"/>
      <c r="N21" s="377">
        <f>'F-6'!N191</f>
        <v>0</v>
      </c>
      <c r="O21" s="369">
        <v>0</v>
      </c>
      <c r="P21" s="369">
        <v>0</v>
      </c>
      <c r="Q21" s="369">
        <v>0</v>
      </c>
      <c r="R21" s="369">
        <v>0</v>
      </c>
      <c r="S21" s="369"/>
      <c r="T21" s="369">
        <f>+SUM(N21:R21)</f>
        <v>0</v>
      </c>
      <c r="U21" s="369">
        <f>+T21+L21</f>
        <v>1710960028.6206896</v>
      </c>
      <c r="V21" s="369"/>
      <c r="W21" s="369">
        <f>'F-6'!Q180</f>
        <v>1659770337.5443616</v>
      </c>
      <c r="X21" s="369">
        <v>0</v>
      </c>
      <c r="Y21" s="369">
        <v>0</v>
      </c>
      <c r="Z21" s="369">
        <v>0</v>
      </c>
      <c r="AA21" s="369">
        <v>0</v>
      </c>
      <c r="AB21" s="369"/>
      <c r="AC21" s="369">
        <f>SUM(W21:AA21)</f>
        <v>1659770337.5443616</v>
      </c>
      <c r="AD21" s="369"/>
      <c r="AE21" s="377">
        <f>'F-6'!AE191</f>
        <v>0</v>
      </c>
      <c r="AF21" s="369">
        <v>0</v>
      </c>
      <c r="AG21" s="369">
        <v>0</v>
      </c>
      <c r="AH21" s="369">
        <v>0</v>
      </c>
      <c r="AI21" s="369">
        <v>0</v>
      </c>
      <c r="AJ21" s="369"/>
      <c r="AK21" s="369">
        <f t="shared" si="14"/>
        <v>0</v>
      </c>
      <c r="AL21" s="369">
        <f t="shared" ref="AL21:AL23" si="16">+AK21+AC21</f>
        <v>1659770337.5443616</v>
      </c>
      <c r="AM21" s="369"/>
      <c r="AN21" s="369">
        <f>'F-6'!Q181</f>
        <v>1623835232.7383296</v>
      </c>
      <c r="AO21" s="369">
        <v>0</v>
      </c>
      <c r="AP21" s="369">
        <v>0</v>
      </c>
      <c r="AQ21" s="369">
        <v>0</v>
      </c>
      <c r="AR21" s="369">
        <v>0</v>
      </c>
      <c r="AS21" s="369"/>
      <c r="AT21" s="369">
        <f>SUM(AN21:AR21)</f>
        <v>1623835232.7383296</v>
      </c>
      <c r="AU21" s="369"/>
      <c r="AV21" s="377">
        <f>'F-6'!AV191</f>
        <v>0</v>
      </c>
      <c r="AW21" s="369">
        <v>0</v>
      </c>
      <c r="AX21" s="369">
        <v>0</v>
      </c>
      <c r="AY21" s="369">
        <v>0</v>
      </c>
      <c r="AZ21" s="369">
        <v>0</v>
      </c>
      <c r="BA21" s="369"/>
      <c r="BB21" s="369">
        <f t="shared" si="15"/>
        <v>0</v>
      </c>
      <c r="BC21" s="369"/>
      <c r="BD21" s="369">
        <f t="shared" ref="BD21:BD24" si="17">+BB21+AT21</f>
        <v>1623835232.7383296</v>
      </c>
    </row>
    <row r="22" spans="1:56">
      <c r="A22" s="91">
        <f>IF(C22&lt;&gt;"",MAX(A20:A21)+1,"")</f>
        <v>14</v>
      </c>
      <c r="C22" s="80" t="s">
        <v>294</v>
      </c>
      <c r="D22" s="80"/>
      <c r="F22" s="377">
        <f>'F-6'!D248</f>
        <v>575691701.22000003</v>
      </c>
      <c r="G22" s="369">
        <v>0</v>
      </c>
      <c r="H22" s="369">
        <v>0</v>
      </c>
      <c r="I22" s="369">
        <v>0</v>
      </c>
      <c r="J22" s="369">
        <v>0</v>
      </c>
      <c r="K22" s="369"/>
      <c r="L22" s="370">
        <f>SUM(F22:J22)</f>
        <v>575691701.22000003</v>
      </c>
      <c r="M22" s="368"/>
      <c r="N22" s="377">
        <v>0</v>
      </c>
      <c r="O22" s="369">
        <v>0</v>
      </c>
      <c r="P22" s="369">
        <v>0</v>
      </c>
      <c r="Q22" s="369">
        <v>0</v>
      </c>
      <c r="R22" s="369">
        <v>0</v>
      </c>
      <c r="S22" s="369"/>
      <c r="T22" s="369">
        <f>+SUM(N22:R22)</f>
        <v>0</v>
      </c>
      <c r="U22" s="369">
        <f>+T22+L22</f>
        <v>575691701.22000003</v>
      </c>
      <c r="V22" s="369"/>
      <c r="W22" s="369">
        <f>'F-6'!K258</f>
        <v>558467756.85677922</v>
      </c>
      <c r="X22" s="369">
        <v>0</v>
      </c>
      <c r="Y22" s="369">
        <v>0</v>
      </c>
      <c r="Z22" s="369">
        <v>0</v>
      </c>
      <c r="AA22" s="369">
        <v>0</v>
      </c>
      <c r="AB22" s="369"/>
      <c r="AC22" s="369">
        <f>SUM(W22:AA22)</f>
        <v>558467756.85677922</v>
      </c>
      <c r="AD22" s="369"/>
      <c r="AE22" s="377">
        <v>0</v>
      </c>
      <c r="AF22" s="369">
        <v>0</v>
      </c>
      <c r="AG22" s="369">
        <v>0</v>
      </c>
      <c r="AH22" s="369">
        <v>0</v>
      </c>
      <c r="AI22" s="369">
        <v>0</v>
      </c>
      <c r="AJ22" s="369"/>
      <c r="AK22" s="369">
        <f t="shared" si="14"/>
        <v>0</v>
      </c>
      <c r="AL22" s="369">
        <f t="shared" si="16"/>
        <v>558467756.85677922</v>
      </c>
      <c r="AM22" s="369"/>
      <c r="AN22" s="369">
        <f>'F-6'!K259</f>
        <v>546376567.54011166</v>
      </c>
      <c r="AO22" s="369">
        <v>0</v>
      </c>
      <c r="AP22" s="369">
        <v>0</v>
      </c>
      <c r="AQ22" s="369">
        <v>0</v>
      </c>
      <c r="AR22" s="369">
        <v>0</v>
      </c>
      <c r="AS22" s="369"/>
      <c r="AT22" s="369">
        <f>SUM(AN22:AR22)</f>
        <v>546376567.54011166</v>
      </c>
      <c r="AU22" s="369"/>
      <c r="AV22" s="377">
        <v>0</v>
      </c>
      <c r="AW22" s="369">
        <v>0</v>
      </c>
      <c r="AX22" s="369">
        <v>0</v>
      </c>
      <c r="AY22" s="369">
        <v>0</v>
      </c>
      <c r="AZ22" s="369">
        <v>0</v>
      </c>
      <c r="BA22" s="369"/>
      <c r="BB22" s="369">
        <f t="shared" si="15"/>
        <v>0</v>
      </c>
      <c r="BC22" s="369"/>
      <c r="BD22" s="369">
        <f t="shared" si="17"/>
        <v>546376567.54011166</v>
      </c>
    </row>
    <row r="23" spans="1:56">
      <c r="A23" s="91">
        <f t="shared" si="0"/>
        <v>15</v>
      </c>
      <c r="C23" s="80" t="s">
        <v>295</v>
      </c>
      <c r="D23" s="80"/>
      <c r="E23" s="2"/>
      <c r="F23" s="377">
        <f>'F-6'!L248</f>
        <v>150061570</v>
      </c>
      <c r="G23" s="369">
        <v>0</v>
      </c>
      <c r="H23" s="369">
        <v>0</v>
      </c>
      <c r="I23" s="369">
        <v>0</v>
      </c>
      <c r="J23" s="369">
        <v>0</v>
      </c>
      <c r="K23" s="369"/>
      <c r="L23" s="370">
        <f>SUM(F23:J23)</f>
        <v>150061570</v>
      </c>
      <c r="M23" s="368"/>
      <c r="N23" s="377">
        <f>'F-6'!T248</f>
        <v>0</v>
      </c>
      <c r="O23" s="369">
        <v>0</v>
      </c>
      <c r="P23" s="369">
        <v>0</v>
      </c>
      <c r="Q23" s="369">
        <v>0</v>
      </c>
      <c r="R23" s="369">
        <v>0</v>
      </c>
      <c r="S23" s="369"/>
      <c r="T23" s="369">
        <f>+SUM(N23:R23)</f>
        <v>0</v>
      </c>
      <c r="U23" s="369">
        <f>+T23+L23</f>
        <v>150061570</v>
      </c>
      <c r="V23" s="369"/>
      <c r="W23" s="369">
        <f>'F-6'!M258</f>
        <v>145571923.67148736</v>
      </c>
      <c r="X23" s="369">
        <v>0</v>
      </c>
      <c r="Y23" s="369">
        <v>0</v>
      </c>
      <c r="Z23" s="369">
        <v>0</v>
      </c>
      <c r="AA23" s="369">
        <v>0</v>
      </c>
      <c r="AB23" s="369"/>
      <c r="AC23" s="369">
        <f>SUM(W23:AA23)</f>
        <v>145571923.67148736</v>
      </c>
      <c r="AD23" s="369"/>
      <c r="AE23" s="377">
        <f>'F-6'!AK248</f>
        <v>0</v>
      </c>
      <c r="AF23" s="369">
        <v>0</v>
      </c>
      <c r="AG23" s="369">
        <v>0</v>
      </c>
      <c r="AH23" s="369">
        <v>0</v>
      </c>
      <c r="AI23" s="369">
        <v>0</v>
      </c>
      <c r="AJ23" s="369"/>
      <c r="AK23" s="369">
        <f t="shared" si="14"/>
        <v>0</v>
      </c>
      <c r="AL23" s="369">
        <f t="shared" si="16"/>
        <v>145571923.67148736</v>
      </c>
      <c r="AM23" s="369"/>
      <c r="AN23" s="369">
        <f>'F-6'!M259</f>
        <v>142420197.06472677</v>
      </c>
      <c r="AO23" s="369">
        <v>0</v>
      </c>
      <c r="AP23" s="369">
        <v>0</v>
      </c>
      <c r="AQ23" s="369">
        <v>0</v>
      </c>
      <c r="AR23" s="369">
        <v>0</v>
      </c>
      <c r="AS23" s="369"/>
      <c r="AT23" s="369">
        <f>SUM(AN23:AR23)</f>
        <v>142420197.06472677</v>
      </c>
      <c r="AU23" s="369"/>
      <c r="AV23" s="377">
        <f>'F-6'!BB248</f>
        <v>0</v>
      </c>
      <c r="AW23" s="369">
        <v>0</v>
      </c>
      <c r="AX23" s="369">
        <v>0</v>
      </c>
      <c r="AY23" s="369">
        <v>0</v>
      </c>
      <c r="AZ23" s="369">
        <v>0</v>
      </c>
      <c r="BA23" s="369"/>
      <c r="BB23" s="369">
        <f t="shared" si="15"/>
        <v>0</v>
      </c>
      <c r="BC23" s="369"/>
      <c r="BD23" s="369">
        <f t="shared" si="17"/>
        <v>142420197.06472677</v>
      </c>
    </row>
    <row r="24" spans="1:56">
      <c r="A24" s="91">
        <f t="shared" si="0"/>
        <v>16</v>
      </c>
      <c r="C24" s="792" t="s">
        <v>296</v>
      </c>
      <c r="D24" s="874"/>
      <c r="F24" s="779">
        <f>SUM(F21:F23)</f>
        <v>2436713299.8406897</v>
      </c>
      <c r="G24" s="779">
        <f t="shared" ref="G24:BB24" si="18">SUM(G21:G23)</f>
        <v>0</v>
      </c>
      <c r="H24" s="779">
        <f t="shared" si="18"/>
        <v>0</v>
      </c>
      <c r="I24" s="779">
        <f t="shared" si="18"/>
        <v>0</v>
      </c>
      <c r="J24" s="779">
        <f t="shared" si="18"/>
        <v>0</v>
      </c>
      <c r="K24" s="653"/>
      <c r="L24" s="779">
        <f t="shared" si="18"/>
        <v>2436713299.8406897</v>
      </c>
      <c r="M24" s="779">
        <f t="shared" si="18"/>
        <v>0</v>
      </c>
      <c r="N24" s="779">
        <f t="shared" si="18"/>
        <v>0</v>
      </c>
      <c r="O24" s="779">
        <f t="shared" si="18"/>
        <v>0</v>
      </c>
      <c r="P24" s="779">
        <f t="shared" si="18"/>
        <v>0</v>
      </c>
      <c r="Q24" s="779">
        <f t="shared" si="18"/>
        <v>0</v>
      </c>
      <c r="R24" s="779">
        <f t="shared" si="18"/>
        <v>0</v>
      </c>
      <c r="S24" s="653"/>
      <c r="T24" s="779">
        <f t="shared" si="18"/>
        <v>0</v>
      </c>
      <c r="U24" s="779">
        <f t="shared" si="18"/>
        <v>2436713299.8406897</v>
      </c>
      <c r="V24" s="653"/>
      <c r="W24" s="779">
        <f t="shared" si="18"/>
        <v>2363810018.072628</v>
      </c>
      <c r="X24" s="779">
        <f t="shared" si="18"/>
        <v>0</v>
      </c>
      <c r="Y24" s="779">
        <f t="shared" si="18"/>
        <v>0</v>
      </c>
      <c r="Z24" s="779">
        <f t="shared" si="18"/>
        <v>0</v>
      </c>
      <c r="AA24" s="779">
        <f t="shared" si="18"/>
        <v>0</v>
      </c>
      <c r="AB24" s="653"/>
      <c r="AC24" s="779">
        <f t="shared" si="18"/>
        <v>2363810018.072628</v>
      </c>
      <c r="AD24" s="653"/>
      <c r="AE24" s="779">
        <f t="shared" si="18"/>
        <v>0</v>
      </c>
      <c r="AF24" s="779">
        <f t="shared" si="18"/>
        <v>0</v>
      </c>
      <c r="AG24" s="779">
        <f t="shared" si="18"/>
        <v>0</v>
      </c>
      <c r="AH24" s="779">
        <f t="shared" si="18"/>
        <v>0</v>
      </c>
      <c r="AI24" s="779">
        <f t="shared" si="18"/>
        <v>0</v>
      </c>
      <c r="AJ24" s="653"/>
      <c r="AK24" s="779">
        <f t="shared" si="18"/>
        <v>0</v>
      </c>
      <c r="AL24" s="779">
        <f t="shared" si="18"/>
        <v>2363810018.072628</v>
      </c>
      <c r="AM24" s="653"/>
      <c r="AN24" s="779">
        <f t="shared" si="18"/>
        <v>2312631997.3431683</v>
      </c>
      <c r="AO24" s="779">
        <f t="shared" si="18"/>
        <v>0</v>
      </c>
      <c r="AP24" s="779">
        <f t="shared" si="18"/>
        <v>0</v>
      </c>
      <c r="AQ24" s="779">
        <f t="shared" si="18"/>
        <v>0</v>
      </c>
      <c r="AR24" s="779">
        <f t="shared" si="18"/>
        <v>0</v>
      </c>
      <c r="AS24" s="653"/>
      <c r="AT24" s="779">
        <f t="shared" si="18"/>
        <v>2312631997.3431683</v>
      </c>
      <c r="AU24" s="653"/>
      <c r="AV24" s="779">
        <f t="shared" si="18"/>
        <v>0</v>
      </c>
      <c r="AW24" s="779">
        <f t="shared" si="18"/>
        <v>0</v>
      </c>
      <c r="AX24" s="779">
        <f t="shared" si="18"/>
        <v>0</v>
      </c>
      <c r="AY24" s="779">
        <f t="shared" si="18"/>
        <v>0</v>
      </c>
      <c r="AZ24" s="779">
        <f t="shared" si="18"/>
        <v>0</v>
      </c>
      <c r="BA24" s="653"/>
      <c r="BB24" s="779">
        <f t="shared" si="18"/>
        <v>0</v>
      </c>
      <c r="BC24" s="653"/>
      <c r="BD24" s="779">
        <f t="shared" si="17"/>
        <v>2312631997.3431683</v>
      </c>
    </row>
    <row r="25" spans="1:56">
      <c r="A25" s="91"/>
      <c r="C25" s="29"/>
      <c r="D25" s="29"/>
      <c r="E25" s="2"/>
      <c r="F25" s="653"/>
      <c r="G25" s="653"/>
      <c r="H25" s="653"/>
      <c r="I25" s="653"/>
      <c r="J25" s="653"/>
      <c r="K25" s="653"/>
      <c r="L25" s="877"/>
      <c r="M25" s="368"/>
      <c r="N25" s="653"/>
      <c r="O25" s="653"/>
      <c r="P25" s="653"/>
      <c r="Q25" s="653"/>
      <c r="R25" s="653"/>
      <c r="S25" s="653"/>
      <c r="T25" s="653"/>
      <c r="U25" s="653"/>
      <c r="V25" s="653"/>
      <c r="W25" s="653"/>
      <c r="X25" s="653"/>
      <c r="Y25" s="653"/>
      <c r="Z25" s="653"/>
      <c r="AA25" s="653"/>
      <c r="AB25" s="653"/>
      <c r="AC25" s="653"/>
      <c r="AD25" s="653"/>
      <c r="AE25" s="653"/>
      <c r="AF25" s="653"/>
      <c r="AG25" s="653"/>
      <c r="AH25" s="653"/>
      <c r="AI25" s="653"/>
      <c r="AJ25" s="653"/>
      <c r="AK25" s="653"/>
      <c r="AL25" s="653"/>
      <c r="AM25" s="653"/>
      <c r="AN25" s="653"/>
      <c r="AO25" s="653"/>
      <c r="AP25" s="653"/>
      <c r="AQ25" s="653"/>
      <c r="AR25" s="653"/>
      <c r="AS25" s="653"/>
      <c r="AT25" s="653"/>
      <c r="AU25" s="653"/>
      <c r="AV25" s="653"/>
      <c r="AW25" s="653"/>
      <c r="AX25" s="653"/>
      <c r="AY25" s="653"/>
      <c r="AZ25" s="653"/>
      <c r="BA25" s="653"/>
      <c r="BB25" s="653"/>
      <c r="BC25" s="653"/>
      <c r="BD25" s="653"/>
    </row>
    <row r="26" spans="1:56" ht="15.75" thickBot="1">
      <c r="A26" s="91">
        <f t="shared" si="0"/>
        <v>17</v>
      </c>
      <c r="C26" s="880" t="s">
        <v>297</v>
      </c>
      <c r="D26" s="880"/>
      <c r="F26" s="871"/>
      <c r="G26" s="871"/>
      <c r="H26" s="871"/>
      <c r="I26" s="871"/>
      <c r="J26" s="871"/>
      <c r="K26" s="653"/>
      <c r="L26" s="872"/>
      <c r="M26" s="380"/>
      <c r="N26" s="871"/>
      <c r="O26" s="871"/>
      <c r="P26" s="871"/>
      <c r="Q26" s="871"/>
      <c r="R26" s="871"/>
      <c r="S26" s="653"/>
      <c r="T26" s="871">
        <f>+SUM(N26:R26)</f>
        <v>0</v>
      </c>
      <c r="U26" s="871"/>
      <c r="V26" s="653"/>
      <c r="W26" s="871"/>
      <c r="X26" s="871"/>
      <c r="Y26" s="871"/>
      <c r="Z26" s="871"/>
      <c r="AA26" s="871"/>
      <c r="AB26" s="653"/>
      <c r="AC26" s="871"/>
      <c r="AD26" s="653"/>
      <c r="AE26" s="871"/>
      <c r="AF26" s="871"/>
      <c r="AG26" s="871"/>
      <c r="AH26" s="871"/>
      <c r="AI26" s="871"/>
      <c r="AJ26" s="653"/>
      <c r="AK26" s="871">
        <f t="shared" ref="AK26" si="19">+SUM(AE26:AI26)</f>
        <v>0</v>
      </c>
      <c r="AL26" s="871"/>
      <c r="AM26" s="653"/>
      <c r="AN26" s="871"/>
      <c r="AO26" s="871"/>
      <c r="AP26" s="871"/>
      <c r="AQ26" s="871"/>
      <c r="AR26" s="871"/>
      <c r="AS26" s="653"/>
      <c r="AT26" s="871"/>
      <c r="AU26" s="653"/>
      <c r="AV26" s="871"/>
      <c r="AW26" s="871"/>
      <c r="AX26" s="871"/>
      <c r="AY26" s="871"/>
      <c r="AZ26" s="871"/>
      <c r="BA26" s="653"/>
      <c r="BB26" s="871">
        <f t="shared" ref="BB26" si="20">+SUM(AV26:AZ26)</f>
        <v>0</v>
      </c>
      <c r="BC26" s="653"/>
      <c r="BD26" s="871"/>
    </row>
    <row r="27" spans="1:56">
      <c r="A27" s="91"/>
      <c r="C27" s="414"/>
      <c r="D27" s="414"/>
      <c r="E27" s="2"/>
      <c r="F27" s="653"/>
      <c r="G27" s="653"/>
      <c r="H27" s="653"/>
      <c r="I27" s="653"/>
      <c r="J27" s="653"/>
      <c r="K27" s="653"/>
      <c r="L27" s="877"/>
      <c r="M27" s="368"/>
      <c r="N27" s="653"/>
      <c r="O27" s="653"/>
      <c r="P27" s="653"/>
      <c r="Q27" s="653"/>
      <c r="R27" s="653"/>
      <c r="S27" s="653"/>
      <c r="T27" s="653"/>
      <c r="U27" s="653"/>
      <c r="V27" s="653"/>
      <c r="W27" s="653"/>
      <c r="X27" s="653"/>
      <c r="Y27" s="653"/>
      <c r="Z27" s="653"/>
      <c r="AA27" s="653"/>
      <c r="AB27" s="653"/>
      <c r="AC27" s="653"/>
      <c r="AD27" s="653"/>
      <c r="AE27" s="653"/>
      <c r="AF27" s="653"/>
      <c r="AG27" s="653"/>
      <c r="AH27" s="653"/>
      <c r="AI27" s="653"/>
      <c r="AJ27" s="653"/>
      <c r="AK27" s="653"/>
      <c r="AL27" s="653"/>
      <c r="AM27" s="653"/>
      <c r="AN27" s="653"/>
      <c r="AO27" s="653"/>
      <c r="AP27" s="653"/>
      <c r="AQ27" s="653"/>
      <c r="AR27" s="653"/>
      <c r="AS27" s="653"/>
      <c r="AT27" s="653"/>
      <c r="AU27" s="653"/>
      <c r="AV27" s="653"/>
      <c r="AW27" s="653"/>
      <c r="AX27" s="653"/>
      <c r="AY27" s="653"/>
      <c r="AZ27" s="653"/>
      <c r="BA27" s="653"/>
      <c r="BB27" s="653"/>
      <c r="BC27" s="653"/>
      <c r="BD27" s="653"/>
    </row>
    <row r="28" spans="1:56">
      <c r="A28" s="91">
        <f>IF(C28&lt;&gt;"",MAX(A24:A26)+1,"")</f>
        <v>18</v>
      </c>
      <c r="C28" s="361" t="s">
        <v>298</v>
      </c>
      <c r="D28" s="361"/>
      <c r="F28" s="368"/>
      <c r="G28" s="368"/>
      <c r="H28" s="368"/>
      <c r="I28" s="368"/>
      <c r="J28" s="368"/>
      <c r="K28" s="368"/>
      <c r="L28" s="861"/>
      <c r="M28" s="368"/>
      <c r="N28" s="368"/>
      <c r="O28" s="368"/>
      <c r="P28" s="368"/>
      <c r="Q28" s="368"/>
      <c r="R28" s="368"/>
      <c r="S28" s="368"/>
      <c r="T28" s="368">
        <f t="shared" ref="T28:T32" si="21">+SUM(N28:R28)</f>
        <v>0</v>
      </c>
      <c r="U28" s="368"/>
      <c r="V28" s="368"/>
      <c r="W28" s="368"/>
      <c r="X28" s="368"/>
      <c r="Y28" s="368"/>
      <c r="Z28" s="368"/>
      <c r="AA28" s="368"/>
      <c r="AB28" s="368"/>
      <c r="AC28" s="368"/>
      <c r="AD28" s="368"/>
      <c r="AE28" s="368"/>
      <c r="AF28" s="368"/>
      <c r="AG28" s="368"/>
      <c r="AH28" s="368"/>
      <c r="AI28" s="368"/>
      <c r="AJ28" s="368"/>
      <c r="AK28" s="368">
        <f t="shared" ref="AK28:AK32" si="22">+SUM(AE28:AI28)</f>
        <v>0</v>
      </c>
      <c r="AL28" s="368"/>
      <c r="AM28" s="368"/>
      <c r="AN28" s="368"/>
      <c r="AO28" s="368"/>
      <c r="AP28" s="368"/>
      <c r="AQ28" s="368"/>
      <c r="AR28" s="368"/>
      <c r="AS28" s="368"/>
      <c r="AT28" s="368"/>
      <c r="AU28" s="368"/>
      <c r="AV28" s="368"/>
      <c r="AW28" s="368"/>
      <c r="AX28" s="368"/>
      <c r="AY28" s="368"/>
      <c r="AZ28" s="368"/>
      <c r="BA28" s="368"/>
      <c r="BB28" s="368">
        <f t="shared" ref="BB28:BB32" si="23">+SUM(AV28:AZ28)</f>
        <v>0</v>
      </c>
      <c r="BC28" s="368"/>
      <c r="BD28" s="368"/>
    </row>
    <row r="29" spans="1:56">
      <c r="A29" s="91">
        <f>IF(C29&lt;&gt;"",MAX(A25:A28)+1,"")</f>
        <v>19</v>
      </c>
      <c r="C29" s="80" t="s">
        <v>299</v>
      </c>
      <c r="D29" s="80"/>
      <c r="E29" s="2"/>
      <c r="F29" s="377">
        <v>0</v>
      </c>
      <c r="G29" s="377">
        <v>70940649.271238104</v>
      </c>
      <c r="H29" s="369">
        <f>4398000*1.05</f>
        <v>4617900</v>
      </c>
      <c r="I29" s="369">
        <f>7892000*1.05</f>
        <v>8286600</v>
      </c>
      <c r="J29" s="369">
        <v>262056237.13847497</v>
      </c>
      <c r="K29" s="369"/>
      <c r="L29" s="370">
        <f>SUM(F29:J29)</f>
        <v>345901386.40971309</v>
      </c>
      <c r="M29" s="368"/>
      <c r="N29" s="377">
        <v>0</v>
      </c>
      <c r="O29" s="377">
        <v>0</v>
      </c>
      <c r="P29" s="377">
        <f>(SUMIF('FY26-FY28_PREPA Consolidated'!I:I,C29,'FY26-FY28_PREPA Consolidated'!DL:DL)*1000)-H29</f>
        <v>535466.60416666698</v>
      </c>
      <c r="Q29" s="377">
        <f>((SUMIF('FY26-FY28_PREPA Consolidated'!I:I,C29,'FY26-FY28_PREPA Consolidated'!BT:BT)+SUMIF('FY26-FY28_PREPA Consolidated'!I:I,C29,'FY26-FY28_PREPA Consolidated'!CD:CD))*1000)-I29</f>
        <v>217877.6950000003</v>
      </c>
      <c r="R29" s="377">
        <v>0</v>
      </c>
      <c r="S29" s="369"/>
      <c r="T29" s="369">
        <f t="shared" si="21"/>
        <v>753344.29916666728</v>
      </c>
      <c r="U29" s="369">
        <f>+T29+L29</f>
        <v>346654730.70887977</v>
      </c>
      <c r="V29" s="369"/>
      <c r="W29" s="369">
        <v>0</v>
      </c>
      <c r="X29" s="377">
        <v>72517543.004937157</v>
      </c>
      <c r="Y29" s="369">
        <f>H29*1.05</f>
        <v>4848795</v>
      </c>
      <c r="Z29" s="369">
        <f>I29*1.05</f>
        <v>8700930</v>
      </c>
      <c r="AA29" s="377">
        <v>293097073</v>
      </c>
      <c r="AB29" s="369"/>
      <c r="AC29" s="369">
        <f>SUM(W29:AA29)</f>
        <v>379164341.00493717</v>
      </c>
      <c r="AD29" s="369"/>
      <c r="AE29" s="377">
        <v>0</v>
      </c>
      <c r="AF29" s="377">
        <v>0</v>
      </c>
      <c r="AG29" s="377">
        <f>(SUMIF('FY26-FY28_PREPA Consolidated'!I:I,C29,'FY26-FY28_PREPA Consolidated'!DY:DY)*1000)-Y29</f>
        <v>388687.05522167217</v>
      </c>
      <c r="AH29" s="377">
        <f>((SUMIF('FY26-FY28_PREPA Consolidated'!I:I,C29,'FY26-FY28_PREPA Consolidated'!DU:DU)+SUMIF('FY26-FY28_PREPA Consolidated'!I:I,C29,'FY26-FY28_PREPA Consolidated'!DW:DW))*1000)-Z29</f>
        <v>-57638.587240470573</v>
      </c>
      <c r="AI29" s="377">
        <v>0</v>
      </c>
      <c r="AJ29" s="369"/>
      <c r="AK29" s="369">
        <f t="shared" si="22"/>
        <v>331048.4679812016</v>
      </c>
      <c r="AL29" s="369">
        <f t="shared" ref="AL29:AL32" si="24">+AK29+AC29</f>
        <v>379495389.47291839</v>
      </c>
      <c r="AM29" s="369"/>
      <c r="AN29" s="369">
        <v>0</v>
      </c>
      <c r="AO29" s="377">
        <v>74220588.237332135</v>
      </c>
      <c r="AP29" s="369">
        <f>Y29*1.05</f>
        <v>5091234.75</v>
      </c>
      <c r="AQ29" s="369">
        <f>Z29*1.05</f>
        <v>9135976.5</v>
      </c>
      <c r="AR29" s="868">
        <v>317023873</v>
      </c>
      <c r="AS29" s="369"/>
      <c r="AT29" s="369">
        <f>SUM(AN29:AR29)</f>
        <v>405471672.48733211</v>
      </c>
      <c r="AU29" s="369"/>
      <c r="AV29" s="377">
        <v>0</v>
      </c>
      <c r="AW29" s="377">
        <v>0</v>
      </c>
      <c r="AX29" s="1066">
        <f>(SUMIF('FY26-FY28_PREPA Consolidated'!I:I,C29,'FY26-FY28_PREPA Consolidated'!EI:EI)*1000)-AP29</f>
        <v>234808.28799572587</v>
      </c>
      <c r="AY29" s="1066">
        <f>((SUMIF('FY26-FY28_PREPA Consolidated'!I:I,C29,'FY26-FY28_PREPA Consolidated'!EE:EE)+SUMIF('FY26-FY28_PREPA Consolidated'!I:I,C29,'FY26-FY28_PREPA Consolidated'!EG:EG))*1000)-AQ29</f>
        <v>-346535.01477322914</v>
      </c>
      <c r="AZ29" s="377">
        <v>0</v>
      </c>
      <c r="BA29" s="369"/>
      <c r="BB29" s="369">
        <f t="shared" si="23"/>
        <v>-111726.72677750327</v>
      </c>
      <c r="BC29" s="369"/>
      <c r="BD29" s="369">
        <f t="shared" ref="BD29:BD32" si="25">+BB29+AT29</f>
        <v>405359945.76055461</v>
      </c>
    </row>
    <row r="30" spans="1:56">
      <c r="A30" s="91">
        <f>IF(C30&lt;&gt;"",MAX(A26:A29)+1,"")</f>
        <v>20</v>
      </c>
      <c r="C30" s="80" t="s">
        <v>300</v>
      </c>
      <c r="D30" s="80"/>
      <c r="F30" s="377">
        <v>0</v>
      </c>
      <c r="G30" s="377">
        <v>30901244.029177699</v>
      </c>
      <c r="H30" s="369">
        <v>0</v>
      </c>
      <c r="I30" s="369">
        <v>0</v>
      </c>
      <c r="J30" s="369">
        <v>107623981.40794994</v>
      </c>
      <c r="K30" s="369"/>
      <c r="L30" s="370">
        <f t="shared" ref="L30:L32" si="26">SUM(F30:J30)</f>
        <v>138525225.43712765</v>
      </c>
      <c r="M30" s="368"/>
      <c r="N30" s="377">
        <v>0</v>
      </c>
      <c r="O30" s="377">
        <v>0</v>
      </c>
      <c r="P30" s="377">
        <f>(SUMIF('FY26-FY28_PREPA Consolidated'!I:I,C30,'FY26-FY28_PREPA Consolidated'!DL:DL)*1000)-H30</f>
        <v>1288341.6510416667</v>
      </c>
      <c r="Q30" s="377">
        <f>((SUMIF('FY26-FY28_PREPA Consolidated'!I:I,C30,'FY26-FY28_PREPA Consolidated'!BT:BT)+SUMIF('FY26-FY28_PREPA Consolidated'!I:I,C30,'FY26-FY28_PREPA Consolidated'!CD:CD))*1000)-I30</f>
        <v>2126119.4237500001</v>
      </c>
      <c r="R30" s="377">
        <v>0</v>
      </c>
      <c r="S30" s="369"/>
      <c r="T30" s="369">
        <f t="shared" si="21"/>
        <v>3414461.0747916671</v>
      </c>
      <c r="U30" s="369">
        <f>+T30+L30</f>
        <v>141939686.51191932</v>
      </c>
      <c r="V30" s="369"/>
      <c r="W30" s="369">
        <v>0</v>
      </c>
      <c r="X30" s="377">
        <v>31838050.801834203</v>
      </c>
      <c r="Y30" s="369">
        <v>0</v>
      </c>
      <c r="Z30" s="369">
        <v>0</v>
      </c>
      <c r="AA30" s="377">
        <v>120372155</v>
      </c>
      <c r="AB30" s="369"/>
      <c r="AC30" s="369">
        <f>SUM(W30:AA30)</f>
        <v>152210205.8018342</v>
      </c>
      <c r="AD30" s="369"/>
      <c r="AE30" s="377">
        <v>0</v>
      </c>
      <c r="AF30" s="377">
        <v>0</v>
      </c>
      <c r="AG30" s="377">
        <f>(SUMIF('FY26-FY28_PREPA Consolidated'!I:I,C30,'FY26-FY28_PREPA Consolidated'!DY:DY)*1000)-Y30</f>
        <v>1309370.513805418</v>
      </c>
      <c r="AH30" s="377">
        <f>((SUMIF('FY26-FY28_PREPA Consolidated'!I:I,C30,'FY26-FY28_PREPA Consolidated'!DU:DU)+SUMIF('FY26-FY28_PREPA Consolidated'!I:I,C30,'FY26-FY28_PREPA Consolidated'!DW:DW))*1000)-Z30</f>
        <v>2160822.8531898824</v>
      </c>
      <c r="AI30" s="377">
        <v>0</v>
      </c>
      <c r="AJ30" s="369"/>
      <c r="AK30" s="369">
        <f t="shared" si="22"/>
        <v>3470193.3669953002</v>
      </c>
      <c r="AL30" s="369">
        <f t="shared" si="24"/>
        <v>155680399.1688295</v>
      </c>
      <c r="AM30" s="369"/>
      <c r="AN30" s="369">
        <v>0</v>
      </c>
      <c r="AO30" s="377">
        <v>32849802.116303224</v>
      </c>
      <c r="AP30" s="369">
        <v>0</v>
      </c>
      <c r="AQ30" s="369">
        <v>0</v>
      </c>
      <c r="AR30" s="868">
        <v>130198662</v>
      </c>
      <c r="AS30" s="369"/>
      <c r="AT30" s="369">
        <f>SUM(AN30:AR30)</f>
        <v>163048464.11630324</v>
      </c>
      <c r="AU30" s="369"/>
      <c r="AV30" s="377">
        <v>0</v>
      </c>
      <c r="AW30" s="377">
        <v>0</v>
      </c>
      <c r="AX30" s="1066">
        <f>(SUMIF('FY26-FY28_PREPA Consolidated'!I:I,C30,'FY26-FY28_PREPA Consolidated'!EI:EI)*1000)-AP30</f>
        <v>1331510.7594989315</v>
      </c>
      <c r="AY30" s="1066">
        <f>((SUMIF('FY26-FY28_PREPA Consolidated'!I:I,C30,'FY26-FY28_PREPA Consolidated'!EE:EE)+SUMIF('FY26-FY28_PREPA Consolidated'!I:I,C30,'FY26-FY28_PREPA Consolidated'!EG:EG))*1000)-AQ30</f>
        <v>2197360.3713066927</v>
      </c>
      <c r="AZ30" s="377">
        <v>0</v>
      </c>
      <c r="BA30" s="369"/>
      <c r="BB30" s="369">
        <f t="shared" si="23"/>
        <v>3528871.1308056242</v>
      </c>
      <c r="BC30" s="369"/>
      <c r="BD30" s="369">
        <f t="shared" si="25"/>
        <v>166577335.24710885</v>
      </c>
    </row>
    <row r="31" spans="1:56">
      <c r="A31" s="91">
        <f t="shared" si="0"/>
        <v>21</v>
      </c>
      <c r="C31" s="80" t="s">
        <v>301</v>
      </c>
      <c r="D31" s="80"/>
      <c r="E31" s="2"/>
      <c r="F31" s="377">
        <v>0</v>
      </c>
      <c r="G31" s="377">
        <v>11779258.82969005</v>
      </c>
      <c r="H31" s="369">
        <v>0</v>
      </c>
      <c r="I31" s="369">
        <v>0</v>
      </c>
      <c r="J31" s="369">
        <v>23670143.769850004</v>
      </c>
      <c r="K31" s="369"/>
      <c r="L31" s="370">
        <f t="shared" si="26"/>
        <v>35449402.599540055</v>
      </c>
      <c r="M31" s="368"/>
      <c r="N31" s="377">
        <v>0</v>
      </c>
      <c r="O31" s="377">
        <v>0</v>
      </c>
      <c r="P31" s="377">
        <f>(SUMIF('FY26-FY28_PREPA Consolidated'!I:I,C31,'FY26-FY28_PREPA Consolidated'!DL:DL)*1000)-H31</f>
        <v>692044.97855113633</v>
      </c>
      <c r="Q31" s="377">
        <f>((SUMIF('FY26-FY28_PREPA Consolidated'!I:I,C31,'FY26-FY28_PREPA Consolidated'!BT:BT)+SUMIF('FY26-FY28_PREPA Consolidated'!I:I,C31,'FY26-FY28_PREPA Consolidated'!CD:CD))*1000)-I31</f>
        <v>189334.64800000002</v>
      </c>
      <c r="R31" s="377">
        <v>0</v>
      </c>
      <c r="S31" s="369"/>
      <c r="T31" s="369">
        <f t="shared" si="21"/>
        <v>881379.62655113637</v>
      </c>
      <c r="U31" s="369">
        <f>+T31+L31</f>
        <v>36330782.226091191</v>
      </c>
      <c r="V31" s="369"/>
      <c r="W31" s="369">
        <v>0</v>
      </c>
      <c r="X31" s="377">
        <v>12282446.640065257</v>
      </c>
      <c r="Y31" s="369">
        <v>0</v>
      </c>
      <c r="Z31" s="369">
        <v>0</v>
      </c>
      <c r="AA31" s="377">
        <v>26473897</v>
      </c>
      <c r="AB31" s="369"/>
      <c r="AC31" s="369">
        <f>SUM(W31:AA31)</f>
        <v>38756343.640065253</v>
      </c>
      <c r="AD31" s="369"/>
      <c r="AE31" s="377">
        <v>0</v>
      </c>
      <c r="AF31" s="377">
        <v>0</v>
      </c>
      <c r="AG31" s="377">
        <f>(SUMIF('FY26-FY28_PREPA Consolidated'!I:I,C31,'FY26-FY28_PREPA Consolidated'!DY:DY)*1000)-Y31</f>
        <v>703340.83230897214</v>
      </c>
      <c r="AH31" s="377">
        <f>((SUMIF('FY26-FY28_PREPA Consolidated'!I:I,C31,'FY26-FY28_PREPA Consolidated'!DU:DU)+SUMIF('FY26-FY28_PREPA Consolidated'!I:I,C31,'FY26-FY28_PREPA Consolidated'!DW:DW))*1000)-Z31</f>
        <v>192425.04900193616</v>
      </c>
      <c r="AI31" s="377">
        <v>0</v>
      </c>
      <c r="AJ31" s="369"/>
      <c r="AK31" s="369">
        <f t="shared" si="22"/>
        <v>895765.88131090836</v>
      </c>
      <c r="AL31" s="369">
        <f t="shared" si="24"/>
        <v>39652109.521376163</v>
      </c>
      <c r="AM31" s="369"/>
      <c r="AN31" s="369">
        <v>0</v>
      </c>
      <c r="AO31" s="377">
        <v>12825889.475270476</v>
      </c>
      <c r="AP31" s="369">
        <v>0</v>
      </c>
      <c r="AQ31" s="369">
        <v>0</v>
      </c>
      <c r="AR31" s="868">
        <v>28635077</v>
      </c>
      <c r="AS31" s="369"/>
      <c r="AT31" s="369">
        <f>SUM(AN31:AR31)</f>
        <v>41460966.47527048</v>
      </c>
      <c r="AU31" s="369"/>
      <c r="AV31" s="377">
        <v>0</v>
      </c>
      <c r="AW31" s="377">
        <v>0</v>
      </c>
      <c r="AX31" s="1066">
        <f>(SUMIF('FY26-FY28_PREPA Consolidated'!I:I,C31,'FY26-FY28_PREPA Consolidated'!EI:EI)*1000)-AP31</f>
        <v>715233.67598416959</v>
      </c>
      <c r="AY31" s="1066">
        <f>((SUMIF('FY26-FY28_PREPA Consolidated'!I:I,C31,'FY26-FY28_PREPA Consolidated'!EE:EE)+SUMIF('FY26-FY28_PREPA Consolidated'!I:I,C31,'FY26-FY28_PREPA Consolidated'!EG:EG))*1000)-AQ31</f>
        <v>195678.77880382963</v>
      </c>
      <c r="AZ31" s="377">
        <v>0</v>
      </c>
      <c r="BA31" s="369"/>
      <c r="BB31" s="369">
        <f t="shared" si="23"/>
        <v>910912.45478799916</v>
      </c>
      <c r="BC31" s="369"/>
      <c r="BD31" s="369">
        <f t="shared" si="25"/>
        <v>42371878.930058479</v>
      </c>
    </row>
    <row r="32" spans="1:56">
      <c r="A32" s="91">
        <f t="shared" si="0"/>
        <v>22</v>
      </c>
      <c r="C32" s="80" t="s">
        <v>302</v>
      </c>
      <c r="D32" s="80"/>
      <c r="F32" s="369">
        <v>0</v>
      </c>
      <c r="G32" s="369">
        <v>0</v>
      </c>
      <c r="H32" s="369">
        <v>0</v>
      </c>
      <c r="I32" s="369">
        <v>0</v>
      </c>
      <c r="J32" s="369">
        <v>0</v>
      </c>
      <c r="K32" s="369"/>
      <c r="L32" s="372">
        <f t="shared" si="26"/>
        <v>0</v>
      </c>
      <c r="M32" s="368"/>
      <c r="N32" s="369">
        <v>0</v>
      </c>
      <c r="O32" s="369">
        <v>0</v>
      </c>
      <c r="P32" s="377">
        <f>(SUMIF('FY26-FY28_PREPA Consolidated'!I:I,C32,'FY26-FY28_PREPA Consolidated'!DL:DL)*1000)-H32</f>
        <v>83045.397426136362</v>
      </c>
      <c r="Q32" s="377">
        <f>((SUMIF('FY26-FY28_PREPA Consolidated'!I:I,C32,'FY26-FY28_PREPA Consolidated'!BT:BT)+SUMIF('FY26-FY28_PREPA Consolidated'!I:I,C32,'FY26-FY28_PREPA Consolidated'!CD:CD))*1000)-I32</f>
        <v>21573.869760000001</v>
      </c>
      <c r="R32" s="369">
        <v>0</v>
      </c>
      <c r="S32" s="369"/>
      <c r="T32" s="369">
        <f t="shared" si="21"/>
        <v>104619.26718613636</v>
      </c>
      <c r="U32" s="369">
        <f>+T32+L32</f>
        <v>104619.26718613636</v>
      </c>
      <c r="V32" s="369"/>
      <c r="W32" s="369">
        <v>0</v>
      </c>
      <c r="X32" s="369">
        <v>0</v>
      </c>
      <c r="Y32" s="369">
        <v>0</v>
      </c>
      <c r="Z32" s="369">
        <v>0</v>
      </c>
      <c r="AA32" s="369">
        <v>0</v>
      </c>
      <c r="AB32" s="369"/>
      <c r="AC32" s="369">
        <f>SUM(W32:AA32)</f>
        <v>0</v>
      </c>
      <c r="AD32" s="369"/>
      <c r="AE32" s="369">
        <v>0</v>
      </c>
      <c r="AF32" s="369">
        <v>0</v>
      </c>
      <c r="AG32" s="377">
        <f>(SUMIF('FY26-FY28_PREPA Consolidated'!I:I,C32,'FY26-FY28_PREPA Consolidated'!DY:DY)*1000)-Y32</f>
        <v>84400.899877076648</v>
      </c>
      <c r="AH32" s="377">
        <f>((SUMIF('FY26-FY28_PREPA Consolidated'!I:I,C32,'FY26-FY28_PREPA Consolidated'!DU:DU)+SUMIF('FY26-FY28_PREPA Consolidated'!I:I,C32,'FY26-FY28_PREPA Consolidated'!DW:DW))*1000)-Z32</f>
        <v>21926.00767784135</v>
      </c>
      <c r="AI32" s="369">
        <v>0</v>
      </c>
      <c r="AJ32" s="369"/>
      <c r="AK32" s="369">
        <f t="shared" si="22"/>
        <v>106326.907554918</v>
      </c>
      <c r="AL32" s="369">
        <f t="shared" si="24"/>
        <v>106326.907554918</v>
      </c>
      <c r="AM32" s="369"/>
      <c r="AN32" s="369">
        <v>0</v>
      </c>
      <c r="AO32" s="369">
        <v>0</v>
      </c>
      <c r="AP32" s="369">
        <v>0</v>
      </c>
      <c r="AQ32" s="369">
        <v>0</v>
      </c>
      <c r="AR32" s="369">
        <v>0</v>
      </c>
      <c r="AS32" s="369"/>
      <c r="AT32" s="369">
        <f>SUM(AN32:AR32)</f>
        <v>0</v>
      </c>
      <c r="AU32" s="369"/>
      <c r="AV32" s="369">
        <v>0</v>
      </c>
      <c r="AW32" s="369">
        <v>0</v>
      </c>
      <c r="AX32" s="1066">
        <f>(SUMIF('FY26-FY28_PREPA Consolidated'!I:I,C32,'FY26-FY28_PREPA Consolidated'!EI:EI)*1000)-AP32</f>
        <v>85828.041118100358</v>
      </c>
      <c r="AY32" s="1066">
        <f>((SUMIF('FY26-FY28_PREPA Consolidated'!I:I,C32,'FY26-FY28_PREPA Consolidated'!EE:EE)+SUMIF('FY26-FY28_PREPA Consolidated'!I:I,C32,'FY26-FY28_PREPA Consolidated'!EG:EG))*1000)-AQ32</f>
        <v>22296.756210779073</v>
      </c>
      <c r="AZ32" s="369">
        <v>0</v>
      </c>
      <c r="BA32" s="369"/>
      <c r="BB32" s="369">
        <f t="shared" si="23"/>
        <v>108124.79732887943</v>
      </c>
      <c r="BC32" s="369"/>
      <c r="BD32" s="369">
        <f t="shared" si="25"/>
        <v>108124.79732887943</v>
      </c>
    </row>
    <row r="33" spans="1:56">
      <c r="A33" s="91">
        <f t="shared" si="0"/>
        <v>23</v>
      </c>
      <c r="C33" s="792" t="s">
        <v>303</v>
      </c>
      <c r="D33" s="874"/>
      <c r="E33" s="2"/>
      <c r="F33" s="779">
        <f>SUM(F29:F32)</f>
        <v>0</v>
      </c>
      <c r="G33" s="779">
        <f t="shared" ref="G33:BD33" si="27">SUM(G29:G32)</f>
        <v>113621152.13010585</v>
      </c>
      <c r="H33" s="779">
        <f t="shared" si="27"/>
        <v>4617900</v>
      </c>
      <c r="I33" s="779">
        <f t="shared" si="27"/>
        <v>8286600</v>
      </c>
      <c r="J33" s="779">
        <f t="shared" si="27"/>
        <v>393350362.31627494</v>
      </c>
      <c r="K33" s="653"/>
      <c r="L33" s="779">
        <f t="shared" si="27"/>
        <v>519876014.44638079</v>
      </c>
      <c r="M33" s="779">
        <f t="shared" si="27"/>
        <v>0</v>
      </c>
      <c r="N33" s="779">
        <f t="shared" si="27"/>
        <v>0</v>
      </c>
      <c r="O33" s="779">
        <f t="shared" si="27"/>
        <v>0</v>
      </c>
      <c r="P33" s="779">
        <f t="shared" si="27"/>
        <v>2598898.6311856066</v>
      </c>
      <c r="Q33" s="779">
        <f t="shared" si="27"/>
        <v>2554905.6365100006</v>
      </c>
      <c r="R33" s="779">
        <f t="shared" si="27"/>
        <v>0</v>
      </c>
      <c r="S33" s="653"/>
      <c r="T33" s="779">
        <f t="shared" si="27"/>
        <v>5153804.2676956067</v>
      </c>
      <c r="U33" s="779">
        <f t="shared" si="27"/>
        <v>525029818.71407646</v>
      </c>
      <c r="V33" s="653"/>
      <c r="W33" s="779">
        <f t="shared" si="27"/>
        <v>0</v>
      </c>
      <c r="X33" s="779">
        <f t="shared" si="27"/>
        <v>116638040.44683662</v>
      </c>
      <c r="Y33" s="779">
        <f t="shared" si="27"/>
        <v>4848795</v>
      </c>
      <c r="Z33" s="779">
        <f t="shared" si="27"/>
        <v>8700930</v>
      </c>
      <c r="AA33" s="779">
        <f t="shared" si="27"/>
        <v>439943125</v>
      </c>
      <c r="AB33" s="653"/>
      <c r="AC33" s="779">
        <f t="shared" si="27"/>
        <v>570130890.44683671</v>
      </c>
      <c r="AD33" s="653"/>
      <c r="AE33" s="779">
        <f t="shared" si="27"/>
        <v>0</v>
      </c>
      <c r="AF33" s="779">
        <f t="shared" si="27"/>
        <v>0</v>
      </c>
      <c r="AG33" s="779">
        <f t="shared" si="27"/>
        <v>2485799.3012131387</v>
      </c>
      <c r="AH33" s="779">
        <f t="shared" si="27"/>
        <v>2317535.3226291896</v>
      </c>
      <c r="AI33" s="779">
        <f t="shared" si="27"/>
        <v>0</v>
      </c>
      <c r="AJ33" s="653"/>
      <c r="AK33" s="779">
        <f t="shared" si="27"/>
        <v>4803334.6238423279</v>
      </c>
      <c r="AL33" s="779">
        <f t="shared" si="27"/>
        <v>574934225.07067895</v>
      </c>
      <c r="AM33" s="653"/>
      <c r="AN33" s="779">
        <f t="shared" si="27"/>
        <v>0</v>
      </c>
      <c r="AO33" s="779">
        <f t="shared" si="27"/>
        <v>119896279.82890584</v>
      </c>
      <c r="AP33" s="779">
        <f t="shared" si="27"/>
        <v>5091234.75</v>
      </c>
      <c r="AQ33" s="779">
        <f t="shared" si="27"/>
        <v>9135976.5</v>
      </c>
      <c r="AR33" s="779">
        <f t="shared" si="27"/>
        <v>475857612</v>
      </c>
      <c r="AS33" s="653"/>
      <c r="AT33" s="779">
        <f t="shared" si="27"/>
        <v>609981103.07890582</v>
      </c>
      <c r="AU33" s="653"/>
      <c r="AV33" s="779">
        <f t="shared" si="27"/>
        <v>0</v>
      </c>
      <c r="AW33" s="779">
        <f t="shared" si="27"/>
        <v>0</v>
      </c>
      <c r="AX33" s="779">
        <f t="shared" si="27"/>
        <v>2367380.764596927</v>
      </c>
      <c r="AY33" s="779">
        <f t="shared" si="27"/>
        <v>2068800.8915480722</v>
      </c>
      <c r="AZ33" s="779">
        <f t="shared" si="27"/>
        <v>0</v>
      </c>
      <c r="BA33" s="653"/>
      <c r="BB33" s="779">
        <f t="shared" si="27"/>
        <v>4436181.656144999</v>
      </c>
      <c r="BC33" s="653"/>
      <c r="BD33" s="779">
        <f t="shared" si="27"/>
        <v>614417284.7350508</v>
      </c>
    </row>
    <row r="34" spans="1:56">
      <c r="A34" s="91" t="str">
        <f t="shared" si="0"/>
        <v/>
      </c>
      <c r="C34" s="361"/>
      <c r="D34" s="361"/>
      <c r="F34" s="653"/>
      <c r="G34" s="653"/>
      <c r="H34" s="653"/>
      <c r="I34" s="653"/>
      <c r="J34" s="653"/>
      <c r="K34" s="653"/>
      <c r="L34" s="877"/>
      <c r="M34" s="368"/>
      <c r="N34" s="653"/>
      <c r="O34" s="653"/>
      <c r="P34" s="653"/>
      <c r="Q34" s="653"/>
      <c r="R34" s="653"/>
      <c r="S34" s="653"/>
      <c r="T34" s="653"/>
      <c r="U34" s="653"/>
      <c r="V34" s="653"/>
      <c r="W34" s="653"/>
      <c r="X34" s="653"/>
      <c r="Y34" s="653"/>
      <c r="Z34" s="653"/>
      <c r="AA34" s="653"/>
      <c r="AB34" s="653"/>
      <c r="AC34" s="653"/>
      <c r="AD34" s="653"/>
      <c r="AE34" s="653"/>
      <c r="AF34" s="653"/>
      <c r="AG34" s="653"/>
      <c r="AH34" s="653"/>
      <c r="AI34" s="653"/>
      <c r="AJ34" s="653"/>
      <c r="AK34" s="653"/>
      <c r="AL34" s="653"/>
      <c r="AM34" s="653"/>
      <c r="AN34" s="653" t="s">
        <v>279</v>
      </c>
      <c r="AO34" s="653" t="s">
        <v>279</v>
      </c>
      <c r="AP34" s="653" t="s">
        <v>279</v>
      </c>
      <c r="AQ34" s="653" t="s">
        <v>279</v>
      </c>
      <c r="AR34" s="653" t="s">
        <v>279</v>
      </c>
      <c r="AS34" s="653"/>
      <c r="AT34" s="653" t="s">
        <v>279</v>
      </c>
      <c r="AU34" s="653"/>
      <c r="AV34" s="653"/>
      <c r="AW34" s="653"/>
      <c r="AX34" s="653"/>
      <c r="AY34" s="653"/>
      <c r="AZ34" s="653"/>
      <c r="BA34" s="653"/>
      <c r="BB34" s="653"/>
      <c r="BC34" s="653"/>
      <c r="BD34" s="653"/>
    </row>
    <row r="35" spans="1:56">
      <c r="A35" s="91">
        <f t="shared" si="0"/>
        <v>24</v>
      </c>
      <c r="C35" s="361" t="s">
        <v>304</v>
      </c>
      <c r="D35" s="361"/>
      <c r="E35" s="2"/>
      <c r="F35" s="368"/>
      <c r="G35" s="368"/>
      <c r="H35" s="368"/>
      <c r="I35" s="368"/>
      <c r="J35" s="368"/>
      <c r="K35" s="368"/>
      <c r="L35" s="861"/>
      <c r="M35" s="368"/>
      <c r="N35" s="368"/>
      <c r="O35" s="368"/>
      <c r="P35" s="368"/>
      <c r="Q35" s="368"/>
      <c r="R35" s="368"/>
      <c r="S35" s="368"/>
      <c r="T35" s="368">
        <f t="shared" ref="T35:T73" si="28">+SUM(N35:R35)</f>
        <v>0</v>
      </c>
      <c r="U35" s="368">
        <f t="shared" ref="U35:U72" si="29">+T35+L35</f>
        <v>0</v>
      </c>
      <c r="V35" s="368"/>
      <c r="W35" s="368"/>
      <c r="X35" s="368"/>
      <c r="Y35" s="368"/>
      <c r="Z35" s="368"/>
      <c r="AA35" s="368"/>
      <c r="AB35" s="368"/>
      <c r="AC35" s="368"/>
      <c r="AD35" s="368"/>
      <c r="AE35" s="368"/>
      <c r="AF35" s="368"/>
      <c r="AG35" s="368"/>
      <c r="AH35" s="368"/>
      <c r="AI35" s="368"/>
      <c r="AJ35" s="368"/>
      <c r="AK35" s="368">
        <f t="shared" ref="AK35:AK73" si="30">+SUM(AE35:AI35)</f>
        <v>0</v>
      </c>
      <c r="AL35" s="368">
        <f t="shared" ref="AL35:AL73" si="31">+AK35+AC35</f>
        <v>0</v>
      </c>
      <c r="AM35" s="368"/>
      <c r="AN35" s="368"/>
      <c r="AO35" s="368"/>
      <c r="AP35" s="368"/>
      <c r="AQ35" s="368"/>
      <c r="AR35" s="368"/>
      <c r="AS35" s="368"/>
      <c r="AT35" s="368"/>
      <c r="AU35" s="368"/>
      <c r="AV35" s="368"/>
      <c r="AW35" s="368"/>
      <c r="AX35" s="368"/>
      <c r="AY35" s="368"/>
      <c r="AZ35" s="368"/>
      <c r="BA35" s="368"/>
      <c r="BB35" s="368">
        <f t="shared" ref="BB35:BB73" si="32">+SUM(AV35:AZ35)</f>
        <v>0</v>
      </c>
      <c r="BC35" s="368"/>
      <c r="BD35" s="368">
        <f t="shared" ref="BD35:BD73" si="33">+BB35+AT35</f>
        <v>0</v>
      </c>
    </row>
    <row r="36" spans="1:56">
      <c r="A36" s="91">
        <f t="shared" si="0"/>
        <v>25</v>
      </c>
      <c r="C36" s="80" t="s">
        <v>305</v>
      </c>
      <c r="D36" s="80"/>
      <c r="F36" s="369">
        <v>0</v>
      </c>
      <c r="G36" s="377">
        <v>38289319.969999999</v>
      </c>
      <c r="H36" s="369">
        <v>0</v>
      </c>
      <c r="I36" s="369">
        <v>0</v>
      </c>
      <c r="J36" s="883">
        <v>47493408</v>
      </c>
      <c r="K36" s="369"/>
      <c r="L36" s="370">
        <f>SUM(F36:J36)</f>
        <v>85782727.969999999</v>
      </c>
      <c r="M36" s="368"/>
      <c r="N36" s="369">
        <v>0</v>
      </c>
      <c r="O36" s="369">
        <v>0</v>
      </c>
      <c r="P36" s="377">
        <f>(SUMIF('FY26-FY28_PREPA Consolidated'!I:I,C36,'FY26-FY28_PREPA Consolidated'!DL:DL)*1000)-H36</f>
        <v>1426603.8499999999</v>
      </c>
      <c r="Q36" s="377">
        <f>((SUMIF('FY26-FY28_PREPA Consolidated'!I:I,C36,'FY26-FY28_PREPA Consolidated'!BT:BT)+SUMIF('FY26-FY28_PREPA Consolidated'!I:I,C36,'FY26-FY28_PREPA Consolidated'!CD:CD))*1000)-I36</f>
        <v>398171.2300000001</v>
      </c>
      <c r="R36" s="369">
        <v>0</v>
      </c>
      <c r="S36" s="369"/>
      <c r="T36" s="369">
        <f t="shared" si="28"/>
        <v>1824775.08</v>
      </c>
      <c r="U36" s="369">
        <f t="shared" si="29"/>
        <v>87607503.049999997</v>
      </c>
      <c r="V36" s="369"/>
      <c r="W36" s="369">
        <v>0</v>
      </c>
      <c r="X36" s="377">
        <v>30390643</v>
      </c>
      <c r="Y36" s="369">
        <v>0</v>
      </c>
      <c r="Z36" s="369">
        <v>0</v>
      </c>
      <c r="AA36" s="883">
        <v>50607056</v>
      </c>
      <c r="AB36" s="369"/>
      <c r="AC36" s="369">
        <f t="shared" ref="AC36:AC55" si="34">SUM(W36:AA36)</f>
        <v>80997699</v>
      </c>
      <c r="AD36" s="369"/>
      <c r="AE36" s="369">
        <v>0</v>
      </c>
      <c r="AF36" s="369">
        <v>0</v>
      </c>
      <c r="AG36" s="377">
        <f>(SUMIF('FY26-FY28_PREPA Consolidated'!I:I,C36,'FY26-FY28_PREPA Consolidated'!DY:DY)*1000)-Y36</f>
        <v>1449889.487436028</v>
      </c>
      <c r="AH36" s="377">
        <f>((SUMIF('FY26-FY28_PREPA Consolidated'!I:I,C36,'FY26-FY28_PREPA Consolidated'!DU:DU)+SUMIF('FY26-FY28_PREPA Consolidated'!I:I,C36,'FY26-FY28_PREPA Consolidated'!DW:DW))*1000)-Z36</f>
        <v>404670.3509011789</v>
      </c>
      <c r="AI36" s="369">
        <v>0</v>
      </c>
      <c r="AJ36" s="369"/>
      <c r="AK36" s="369">
        <f t="shared" si="30"/>
        <v>1854559.8383372067</v>
      </c>
      <c r="AL36" s="369">
        <f t="shared" si="31"/>
        <v>82852258.838337213</v>
      </c>
      <c r="AM36" s="369"/>
      <c r="AN36" s="369">
        <v>0</v>
      </c>
      <c r="AO36" s="377">
        <v>30903260.824999999</v>
      </c>
      <c r="AP36" s="369">
        <v>0</v>
      </c>
      <c r="AQ36" s="369">
        <v>0</v>
      </c>
      <c r="AR36" s="883">
        <v>53889246</v>
      </c>
      <c r="AS36" s="369"/>
      <c r="AT36" s="369">
        <f t="shared" ref="AT36:AT55" si="35">SUM(AN36:AR36)</f>
        <v>84792506.825000003</v>
      </c>
      <c r="AU36" s="369"/>
      <c r="AV36" s="369">
        <v>0</v>
      </c>
      <c r="AW36" s="369">
        <v>0</v>
      </c>
      <c r="AX36" s="1066">
        <f>(SUMIF('FY26-FY28_PREPA Consolidated'!I:I,C36,'FY26-FY28_PREPA Consolidated'!EI:EI)*1000)-AP36</f>
        <v>1474405.7791516411</v>
      </c>
      <c r="AY36" s="1066">
        <f>((SUMIF('FY26-FY28_PREPA Consolidated'!I:I,C36,'FY26-FY28_PREPA Consolidated'!EE:EE)+SUMIF('FY26-FY28_PREPA Consolidated'!I:I,C36,'FY26-FY28_PREPA Consolidated'!EG:EG))*1000)-AQ36</f>
        <v>411512.95267001924</v>
      </c>
      <c r="AZ36" s="369">
        <v>0</v>
      </c>
      <c r="BA36" s="369"/>
      <c r="BB36" s="369">
        <f t="shared" si="32"/>
        <v>1885918.7318216604</v>
      </c>
      <c r="BC36" s="369"/>
      <c r="BD36" s="369">
        <f t="shared" si="33"/>
        <v>86678425.556821659</v>
      </c>
    </row>
    <row r="37" spans="1:56">
      <c r="A37" s="91">
        <f t="shared" si="0"/>
        <v>26</v>
      </c>
      <c r="C37" s="80" t="s">
        <v>306</v>
      </c>
      <c r="D37" s="80"/>
      <c r="E37" s="2"/>
      <c r="F37" s="369">
        <v>0</v>
      </c>
      <c r="G37" s="377">
        <v>2289860</v>
      </c>
      <c r="H37" s="369">
        <v>0</v>
      </c>
      <c r="I37" s="369">
        <v>0</v>
      </c>
      <c r="J37" s="883">
        <v>30666895</v>
      </c>
      <c r="K37" s="369"/>
      <c r="L37" s="370">
        <f t="shared" ref="L37:L55" si="36">SUM(F37:J37)</f>
        <v>32956755</v>
      </c>
      <c r="M37" s="368"/>
      <c r="N37" s="369">
        <v>0</v>
      </c>
      <c r="O37" s="369">
        <v>0</v>
      </c>
      <c r="P37" s="377">
        <f>(SUMIF('FY26-FY28_PREPA Consolidated'!I:I,C37,'FY26-FY28_PREPA Consolidated'!DL:DL)*1000)-H37</f>
        <v>480379.45</v>
      </c>
      <c r="Q37" s="377">
        <f>((SUMIF('FY26-FY28_PREPA Consolidated'!I:I,C37,'FY26-FY28_PREPA Consolidated'!BT:BT)+SUMIF('FY26-FY28_PREPA Consolidated'!I:I,C37,'FY26-FY28_PREPA Consolidated'!CD:CD))*1000)-I37</f>
        <v>650835.80000000005</v>
      </c>
      <c r="R37" s="369">
        <v>0</v>
      </c>
      <c r="S37" s="369"/>
      <c r="T37" s="369">
        <f t="shared" si="28"/>
        <v>1131215.25</v>
      </c>
      <c r="U37" s="369">
        <f t="shared" si="29"/>
        <v>34087970.25</v>
      </c>
      <c r="V37" s="369"/>
      <c r="W37" s="369">
        <v>0</v>
      </c>
      <c r="X37" s="377">
        <v>2325060</v>
      </c>
      <c r="Y37" s="369">
        <v>0</v>
      </c>
      <c r="Z37" s="369">
        <v>0</v>
      </c>
      <c r="AA37" s="883">
        <v>34935910</v>
      </c>
      <c r="AB37" s="369"/>
      <c r="AC37" s="369">
        <f t="shared" si="34"/>
        <v>37260970</v>
      </c>
      <c r="AD37" s="369"/>
      <c r="AE37" s="369">
        <v>0</v>
      </c>
      <c r="AF37" s="369">
        <v>0</v>
      </c>
      <c r="AG37" s="377">
        <f>(SUMIF('FY26-FY28_PREPA Consolidated'!I:I,C37,'FY26-FY28_PREPA Consolidated'!DY:DY)*1000)-Y37</f>
        <v>488220.40858455631</v>
      </c>
      <c r="AH37" s="377">
        <f>((SUMIF('FY26-FY28_PREPA Consolidated'!I:I,C37,'FY26-FY28_PREPA Consolidated'!DU:DU)+SUMIF('FY26-FY28_PREPA Consolidated'!I:I,C37,'FY26-FY28_PREPA Consolidated'!DW:DW))*1000)-Z37</f>
        <v>661459.01994237385</v>
      </c>
      <c r="AI37" s="369">
        <v>0</v>
      </c>
      <c r="AJ37" s="369"/>
      <c r="AK37" s="369">
        <f t="shared" si="30"/>
        <v>1149679.42852693</v>
      </c>
      <c r="AL37" s="369">
        <f t="shared" si="31"/>
        <v>38410649.428526931</v>
      </c>
      <c r="AM37" s="369"/>
      <c r="AN37" s="369">
        <v>0</v>
      </c>
      <c r="AO37" s="377">
        <v>2358014</v>
      </c>
      <c r="AP37" s="369">
        <v>0</v>
      </c>
      <c r="AQ37" s="369">
        <v>0</v>
      </c>
      <c r="AR37" s="883">
        <v>37679217</v>
      </c>
      <c r="AS37" s="369"/>
      <c r="AT37" s="369">
        <f t="shared" si="35"/>
        <v>40037231</v>
      </c>
      <c r="AU37" s="369"/>
      <c r="AV37" s="369">
        <v>0</v>
      </c>
      <c r="AW37" s="369">
        <v>0</v>
      </c>
      <c r="AX37" s="1066">
        <f>(SUMIF('FY26-FY28_PREPA Consolidated'!I:I,C37,'FY26-FY28_PREPA Consolidated'!EI:EI)*1000)-AP37</f>
        <v>496475.76463899692</v>
      </c>
      <c r="AY37" s="1066">
        <f>((SUMIF('FY26-FY28_PREPA Consolidated'!I:I,C37,'FY26-FY28_PREPA Consolidated'!EE:EE)+SUMIF('FY26-FY28_PREPA Consolidated'!I:I,C37,'FY26-FY28_PREPA Consolidated'!EG:EG))*1000)-AQ37</f>
        <v>672643.68086401967</v>
      </c>
      <c r="AZ37" s="369">
        <v>0</v>
      </c>
      <c r="BA37" s="369"/>
      <c r="BB37" s="369">
        <f t="shared" si="32"/>
        <v>1169119.4455030165</v>
      </c>
      <c r="BC37" s="369"/>
      <c r="BD37" s="369">
        <f t="shared" si="33"/>
        <v>41206350.445503019</v>
      </c>
    </row>
    <row r="38" spans="1:56">
      <c r="A38" s="91">
        <f t="shared" si="0"/>
        <v>27</v>
      </c>
      <c r="C38" s="80" t="s">
        <v>307</v>
      </c>
      <c r="D38" s="80"/>
      <c r="F38" s="369">
        <v>0</v>
      </c>
      <c r="G38" s="377">
        <v>49900000</v>
      </c>
      <c r="H38" s="369">
        <v>0</v>
      </c>
      <c r="I38" s="369">
        <v>0</v>
      </c>
      <c r="J38" s="883">
        <v>18093442</v>
      </c>
      <c r="K38" s="369"/>
      <c r="L38" s="370">
        <f t="shared" si="36"/>
        <v>67993442</v>
      </c>
      <c r="M38" s="368"/>
      <c r="N38" s="369">
        <v>0</v>
      </c>
      <c r="O38" s="369">
        <v>0</v>
      </c>
      <c r="P38" s="377">
        <f>(SUMIF('FY26-FY28_PREPA Consolidated'!I:I,C38,'FY26-FY28_PREPA Consolidated'!DL:DL)*1000)-H38</f>
        <v>0</v>
      </c>
      <c r="Q38" s="377">
        <f>((SUMIF('FY26-FY28_PREPA Consolidated'!I:I,C38,'FY26-FY28_PREPA Consolidated'!BT:BT)+SUMIF('FY26-FY28_PREPA Consolidated'!I:I,C38,'FY26-FY28_PREPA Consolidated'!CD:CD))*1000)-I38</f>
        <v>0</v>
      </c>
      <c r="R38" s="369">
        <v>0</v>
      </c>
      <c r="S38" s="369"/>
      <c r="T38" s="369">
        <f t="shared" si="28"/>
        <v>0</v>
      </c>
      <c r="U38" s="369">
        <f t="shared" si="29"/>
        <v>67993442</v>
      </c>
      <c r="V38" s="369"/>
      <c r="W38" s="369">
        <v>0</v>
      </c>
      <c r="X38" s="377">
        <v>55150000</v>
      </c>
      <c r="Y38" s="369">
        <v>0</v>
      </c>
      <c r="Z38" s="369">
        <v>0</v>
      </c>
      <c r="AA38" s="883">
        <v>19008614</v>
      </c>
      <c r="AB38" s="369"/>
      <c r="AC38" s="369">
        <f t="shared" si="34"/>
        <v>74158614</v>
      </c>
      <c r="AD38" s="369"/>
      <c r="AE38" s="369">
        <v>0</v>
      </c>
      <c r="AF38" s="369">
        <v>0</v>
      </c>
      <c r="AG38" s="377">
        <f>(SUMIF('FY26-FY28_PREPA Consolidated'!I:I,C38,'FY26-FY28_PREPA Consolidated'!DY:DY)*1000)-Y38</f>
        <v>0</v>
      </c>
      <c r="AH38" s="377">
        <f>((SUMIF('FY26-FY28_PREPA Consolidated'!I:I,C38,'FY26-FY28_PREPA Consolidated'!DU:DU)+SUMIF('FY26-FY28_PREPA Consolidated'!I:I,C38,'FY26-FY28_PREPA Consolidated'!DW:DW))*1000)-Z38</f>
        <v>0</v>
      </c>
      <c r="AI38" s="369">
        <v>0</v>
      </c>
      <c r="AJ38" s="369"/>
      <c r="AK38" s="369">
        <f t="shared" si="30"/>
        <v>0</v>
      </c>
      <c r="AL38" s="369">
        <f t="shared" si="31"/>
        <v>74158614</v>
      </c>
      <c r="AM38" s="369"/>
      <c r="AN38" s="369">
        <v>0</v>
      </c>
      <c r="AO38" s="377">
        <v>55400000</v>
      </c>
      <c r="AP38" s="369">
        <v>0</v>
      </c>
      <c r="AQ38" s="369">
        <v>0</v>
      </c>
      <c r="AR38" s="883">
        <v>19959045</v>
      </c>
      <c r="AS38" s="369"/>
      <c r="AT38" s="369">
        <f t="shared" si="35"/>
        <v>75359045</v>
      </c>
      <c r="AU38" s="369"/>
      <c r="AV38" s="369">
        <v>0</v>
      </c>
      <c r="AW38" s="369">
        <v>0</v>
      </c>
      <c r="AX38" s="1066">
        <f>(SUMIF('FY26-FY28_PREPA Consolidated'!I:I,C38,'FY26-FY28_PREPA Consolidated'!EI:EI)*1000)-AP38</f>
        <v>0</v>
      </c>
      <c r="AY38" s="1066">
        <f>((SUMIF('FY26-FY28_PREPA Consolidated'!I:I,C38,'FY26-FY28_PREPA Consolidated'!EE:EE)+SUMIF('FY26-FY28_PREPA Consolidated'!I:I,C38,'FY26-FY28_PREPA Consolidated'!EG:EG))*1000)-AQ38</f>
        <v>0</v>
      </c>
      <c r="AZ38" s="369">
        <v>0</v>
      </c>
      <c r="BA38" s="369"/>
      <c r="BB38" s="369">
        <f t="shared" si="32"/>
        <v>0</v>
      </c>
      <c r="BC38" s="369"/>
      <c r="BD38" s="369">
        <f t="shared" si="33"/>
        <v>75359045</v>
      </c>
    </row>
    <row r="39" spans="1:56">
      <c r="A39" s="91">
        <f t="shared" si="0"/>
        <v>28</v>
      </c>
      <c r="C39" s="80" t="s">
        <v>308</v>
      </c>
      <c r="D39" s="80"/>
      <c r="E39" s="2"/>
      <c r="F39" s="369">
        <v>0</v>
      </c>
      <c r="G39" s="377">
        <v>0</v>
      </c>
      <c r="H39" s="369">
        <v>0</v>
      </c>
      <c r="I39" s="369">
        <v>0</v>
      </c>
      <c r="J39" s="377">
        <v>0</v>
      </c>
      <c r="K39" s="369"/>
      <c r="L39" s="370">
        <f t="shared" si="36"/>
        <v>0</v>
      </c>
      <c r="M39" s="368"/>
      <c r="N39" s="369">
        <v>0</v>
      </c>
      <c r="O39" s="369">
        <v>0</v>
      </c>
      <c r="P39" s="377">
        <f>(SUMIF('FY26-FY28_PREPA Consolidated'!I:I,C39,'FY26-FY28_PREPA Consolidated'!DL:DL)*1000)-H39</f>
        <v>0</v>
      </c>
      <c r="Q39" s="377">
        <f>((SUMIF('FY26-FY28_PREPA Consolidated'!I:I,C39,'FY26-FY28_PREPA Consolidated'!BT:BT)+SUMIF('FY26-FY28_PREPA Consolidated'!I:I,C39,'FY26-FY28_PREPA Consolidated'!CD:CD))*1000)-I39</f>
        <v>7950000</v>
      </c>
      <c r="R39" s="369">
        <v>0</v>
      </c>
      <c r="S39" s="369"/>
      <c r="T39" s="369">
        <f t="shared" si="28"/>
        <v>7950000</v>
      </c>
      <c r="U39" s="369">
        <f t="shared" si="29"/>
        <v>7950000</v>
      </c>
      <c r="V39" s="369"/>
      <c r="W39" s="369">
        <v>0</v>
      </c>
      <c r="X39" s="377">
        <v>0</v>
      </c>
      <c r="Y39" s="369">
        <v>0</v>
      </c>
      <c r="Z39" s="369">
        <v>0</v>
      </c>
      <c r="AA39" s="377">
        <v>0</v>
      </c>
      <c r="AB39" s="369"/>
      <c r="AC39" s="369">
        <f t="shared" si="34"/>
        <v>0</v>
      </c>
      <c r="AD39" s="369"/>
      <c r="AE39" s="369">
        <v>0</v>
      </c>
      <c r="AF39" s="369">
        <v>0</v>
      </c>
      <c r="AG39" s="377">
        <f>(SUMIF('FY26-FY28_PREPA Consolidated'!I:I,C39,'FY26-FY28_PREPA Consolidated'!DY:DY)*1000)-Y39</f>
        <v>0</v>
      </c>
      <c r="AH39" s="377">
        <f>((SUMIF('FY26-FY28_PREPA Consolidated'!I:I,C39,'FY26-FY28_PREPA Consolidated'!DU:DU)+SUMIF('FY26-FY28_PREPA Consolidated'!I:I,C39,'FY26-FY28_PREPA Consolidated'!DW:DW))*1000)-Z39</f>
        <v>8347500</v>
      </c>
      <c r="AI39" s="369">
        <v>0</v>
      </c>
      <c r="AJ39" s="369"/>
      <c r="AK39" s="369">
        <f t="shared" si="30"/>
        <v>8347500</v>
      </c>
      <c r="AL39" s="369">
        <f t="shared" si="31"/>
        <v>8347500</v>
      </c>
      <c r="AM39" s="369"/>
      <c r="AN39" s="369">
        <v>0</v>
      </c>
      <c r="AO39" s="377">
        <v>0</v>
      </c>
      <c r="AP39" s="369">
        <v>0</v>
      </c>
      <c r="AQ39" s="369">
        <v>0</v>
      </c>
      <c r="AR39" s="377">
        <v>0</v>
      </c>
      <c r="AS39" s="369"/>
      <c r="AT39" s="369">
        <f t="shared" si="35"/>
        <v>0</v>
      </c>
      <c r="AU39" s="369"/>
      <c r="AV39" s="369">
        <v>0</v>
      </c>
      <c r="AW39" s="369">
        <v>0</v>
      </c>
      <c r="AX39" s="1066">
        <f>(SUMIF('FY26-FY28_PREPA Consolidated'!I:I,C39,'FY26-FY28_PREPA Consolidated'!EI:EI)*1000)-AP39</f>
        <v>0</v>
      </c>
      <c r="AY39" s="1066">
        <f>((SUMIF('FY26-FY28_PREPA Consolidated'!I:I,C39,'FY26-FY28_PREPA Consolidated'!EE:EE)+SUMIF('FY26-FY28_PREPA Consolidated'!I:I,C39,'FY26-FY28_PREPA Consolidated'!EG:EG))*1000)-AQ39</f>
        <v>8764875</v>
      </c>
      <c r="AZ39" s="369">
        <v>0</v>
      </c>
      <c r="BA39" s="369"/>
      <c r="BB39" s="369">
        <f t="shared" si="32"/>
        <v>8764875</v>
      </c>
      <c r="BC39" s="369"/>
      <c r="BD39" s="369">
        <f t="shared" si="33"/>
        <v>8764875</v>
      </c>
    </row>
    <row r="40" spans="1:56">
      <c r="A40" s="91">
        <f t="shared" si="0"/>
        <v>29</v>
      </c>
      <c r="C40" s="80" t="s">
        <v>309</v>
      </c>
      <c r="D40" s="80"/>
      <c r="F40" s="369">
        <v>0</v>
      </c>
      <c r="G40" s="377">
        <v>7126875</v>
      </c>
      <c r="H40" s="369">
        <v>0</v>
      </c>
      <c r="I40" s="369">
        <v>0</v>
      </c>
      <c r="J40" s="883">
        <v>7480496</v>
      </c>
      <c r="K40" s="369"/>
      <c r="L40" s="370">
        <f t="shared" si="36"/>
        <v>14607371</v>
      </c>
      <c r="M40" s="368"/>
      <c r="N40" s="369">
        <v>0</v>
      </c>
      <c r="O40" s="369">
        <v>0</v>
      </c>
      <c r="P40" s="377">
        <f>(SUMIF('FY26-FY28_PREPA Consolidated'!I:I,C40,'FY26-FY28_PREPA Consolidated'!DL:DL)*1000)-H40</f>
        <v>2104646</v>
      </c>
      <c r="Q40" s="377">
        <f>((SUMIF('FY26-FY28_PREPA Consolidated'!I:I,C40,'FY26-FY28_PREPA Consolidated'!BT:BT)+SUMIF('FY26-FY28_PREPA Consolidated'!I:I,C40,'FY26-FY28_PREPA Consolidated'!CD:CD))*1000)-I40</f>
        <v>1601743</v>
      </c>
      <c r="R40" s="369">
        <v>0</v>
      </c>
      <c r="S40" s="369"/>
      <c r="T40" s="369">
        <f t="shared" si="28"/>
        <v>3706389</v>
      </c>
      <c r="U40" s="369">
        <f t="shared" si="29"/>
        <v>18313760</v>
      </c>
      <c r="V40" s="369"/>
      <c r="W40" s="369">
        <v>0</v>
      </c>
      <c r="X40" s="377">
        <v>7483218.75</v>
      </c>
      <c r="Y40" s="369">
        <v>0</v>
      </c>
      <c r="Z40" s="369">
        <v>0</v>
      </c>
      <c r="AA40" s="883">
        <v>7704911</v>
      </c>
      <c r="AB40" s="369"/>
      <c r="AC40" s="369">
        <f t="shared" si="34"/>
        <v>15188129.75</v>
      </c>
      <c r="AD40" s="369"/>
      <c r="AE40" s="369">
        <v>0</v>
      </c>
      <c r="AF40" s="369">
        <v>0</v>
      </c>
      <c r="AG40" s="377">
        <f>(SUMIF('FY26-FY28_PREPA Consolidated'!I:I,C40,'FY26-FY28_PREPA Consolidated'!DY:DY)*1000)-Y40</f>
        <v>2033512.7600000002</v>
      </c>
      <c r="AH40" s="377">
        <f>((SUMIF('FY26-FY28_PREPA Consolidated'!I:I,C40,'FY26-FY28_PREPA Consolidated'!DU:DU)+SUMIF('FY26-FY28_PREPA Consolidated'!I:I,C40,'FY26-FY28_PREPA Consolidated'!DW:DW))*1000)-Z40</f>
        <v>1426134.34</v>
      </c>
      <c r="AI40" s="369">
        <v>0</v>
      </c>
      <c r="AJ40" s="369"/>
      <c r="AK40" s="369">
        <f t="shared" si="30"/>
        <v>3459647.1000000006</v>
      </c>
      <c r="AL40" s="369">
        <f t="shared" si="31"/>
        <v>18647776.850000001</v>
      </c>
      <c r="AM40" s="369"/>
      <c r="AN40" s="369">
        <v>0</v>
      </c>
      <c r="AO40" s="377">
        <v>7857379.4375</v>
      </c>
      <c r="AP40" s="369">
        <v>0</v>
      </c>
      <c r="AQ40" s="369">
        <v>0</v>
      </c>
      <c r="AR40" s="883">
        <v>7936058</v>
      </c>
      <c r="AS40" s="369"/>
      <c r="AT40" s="369">
        <f t="shared" si="35"/>
        <v>15793437.4375</v>
      </c>
      <c r="AU40" s="369"/>
      <c r="AV40" s="369">
        <v>0</v>
      </c>
      <c r="AW40" s="369">
        <v>0</v>
      </c>
      <c r="AX40" s="1066">
        <f>(SUMIF('FY26-FY28_PREPA Consolidated'!I:I,C40,'FY26-FY28_PREPA Consolidated'!EI:EI)*1000)-AP40</f>
        <v>2083645.1040000003</v>
      </c>
      <c r="AY40" s="1066">
        <f>((SUMIF('FY26-FY28_PREPA Consolidated'!I:I,C40,'FY26-FY28_PREPA Consolidated'!EE:EE)+SUMIF('FY26-FY28_PREPA Consolidated'!I:I,C40,'FY26-FY28_PREPA Consolidated'!EG:EG))*1000)-AQ40</f>
        <v>1461082.216</v>
      </c>
      <c r="AZ40" s="369">
        <v>0</v>
      </c>
      <c r="BA40" s="369"/>
      <c r="BB40" s="369">
        <f t="shared" si="32"/>
        <v>3544727.3200000003</v>
      </c>
      <c r="BC40" s="369"/>
      <c r="BD40" s="369">
        <f t="shared" si="33"/>
        <v>19338164.7575</v>
      </c>
    </row>
    <row r="41" spans="1:56">
      <c r="A41" s="91">
        <f t="shared" si="0"/>
        <v>30</v>
      </c>
      <c r="C41" s="80" t="s">
        <v>310</v>
      </c>
      <c r="D41" s="80"/>
      <c r="E41" s="2"/>
      <c r="F41" s="369">
        <v>0</v>
      </c>
      <c r="G41" s="377">
        <v>9651505.75</v>
      </c>
      <c r="H41" s="369">
        <v>0</v>
      </c>
      <c r="I41" s="369">
        <v>0</v>
      </c>
      <c r="J41" s="883">
        <v>56077813</v>
      </c>
      <c r="K41" s="369"/>
      <c r="L41" s="370">
        <f t="shared" si="36"/>
        <v>65729318.75</v>
      </c>
      <c r="M41" s="368"/>
      <c r="N41" s="369">
        <v>0</v>
      </c>
      <c r="O41" s="369">
        <v>0</v>
      </c>
      <c r="P41" s="377">
        <f>(SUMIF('FY26-FY28_PREPA Consolidated'!I:I,C41,'FY26-FY28_PREPA Consolidated'!DL:DL)*1000)-H41</f>
        <v>0</v>
      </c>
      <c r="Q41" s="377">
        <f>((SUMIF('FY26-FY28_PREPA Consolidated'!I:I,C41,'FY26-FY28_PREPA Consolidated'!BT:BT)+SUMIF('FY26-FY28_PREPA Consolidated'!I:I,C41,'FY26-FY28_PREPA Consolidated'!CD:CD))*1000)-I41</f>
        <v>2477500</v>
      </c>
      <c r="R41" s="369">
        <v>0</v>
      </c>
      <c r="S41" s="369"/>
      <c r="T41" s="369">
        <f t="shared" si="28"/>
        <v>2477500</v>
      </c>
      <c r="U41" s="369">
        <f t="shared" si="29"/>
        <v>68206818.75</v>
      </c>
      <c r="V41" s="369"/>
      <c r="W41" s="369">
        <v>0</v>
      </c>
      <c r="X41" s="377">
        <v>10165124.35</v>
      </c>
      <c r="Y41" s="369">
        <v>0</v>
      </c>
      <c r="Z41" s="369">
        <v>0</v>
      </c>
      <c r="AA41" s="883">
        <v>84589855</v>
      </c>
      <c r="AB41" s="369"/>
      <c r="AC41" s="369">
        <f t="shared" si="34"/>
        <v>94754979.349999994</v>
      </c>
      <c r="AD41" s="369"/>
      <c r="AE41" s="369">
        <v>0</v>
      </c>
      <c r="AF41" s="369">
        <v>0</v>
      </c>
      <c r="AG41" s="377">
        <f>(SUMIF('FY26-FY28_PREPA Consolidated'!I:I,C41,'FY26-FY28_PREPA Consolidated'!DY:DY)*1000)-Y41</f>
        <v>0</v>
      </c>
      <c r="AH41" s="377">
        <f>((SUMIF('FY26-FY28_PREPA Consolidated'!I:I,C41,'FY26-FY28_PREPA Consolidated'!DU:DU)+SUMIF('FY26-FY28_PREPA Consolidated'!I:I,C41,'FY26-FY28_PREPA Consolidated'!DW:DW))*1000)-Z41</f>
        <v>3388500</v>
      </c>
      <c r="AI41" s="369">
        <v>0</v>
      </c>
      <c r="AJ41" s="369"/>
      <c r="AK41" s="369">
        <f t="shared" si="30"/>
        <v>3388500</v>
      </c>
      <c r="AL41" s="369">
        <f t="shared" si="31"/>
        <v>98143479.349999994</v>
      </c>
      <c r="AM41" s="369"/>
      <c r="AN41" s="369">
        <v>0</v>
      </c>
      <c r="AO41" s="377">
        <v>10719021.109999999</v>
      </c>
      <c r="AP41" s="369">
        <v>0</v>
      </c>
      <c r="AQ41" s="369">
        <v>0</v>
      </c>
      <c r="AR41" s="883">
        <v>102940592</v>
      </c>
      <c r="AS41" s="369"/>
      <c r="AT41" s="369">
        <f t="shared" si="35"/>
        <v>113659613.11</v>
      </c>
      <c r="AU41" s="369"/>
      <c r="AV41" s="369">
        <v>0</v>
      </c>
      <c r="AW41" s="369">
        <v>0</v>
      </c>
      <c r="AX41" s="1066">
        <f>(SUMIF('FY26-FY28_PREPA Consolidated'!I:I,C41,'FY26-FY28_PREPA Consolidated'!EI:EI)*1000)-AP41</f>
        <v>0</v>
      </c>
      <c r="AY41" s="1066">
        <f>((SUMIF('FY26-FY28_PREPA Consolidated'!I:I,C41,'FY26-FY28_PREPA Consolidated'!EE:EE)+SUMIF('FY26-FY28_PREPA Consolidated'!I:I,C41,'FY26-FY28_PREPA Consolidated'!EG:EG))*1000)-AQ41</f>
        <v>2838500</v>
      </c>
      <c r="AZ41" s="369">
        <v>0</v>
      </c>
      <c r="BA41" s="369"/>
      <c r="BB41" s="369">
        <f t="shared" si="32"/>
        <v>2838500</v>
      </c>
      <c r="BC41" s="369"/>
      <c r="BD41" s="369">
        <f t="shared" si="33"/>
        <v>116498113.11</v>
      </c>
    </row>
    <row r="42" spans="1:56">
      <c r="A42" s="91">
        <f t="shared" si="0"/>
        <v>31</v>
      </c>
      <c r="C42" s="80" t="s">
        <v>311</v>
      </c>
      <c r="D42" s="80"/>
      <c r="F42" s="369">
        <v>0</v>
      </c>
      <c r="G42" s="377">
        <v>0</v>
      </c>
      <c r="H42" s="369">
        <v>0</v>
      </c>
      <c r="I42" s="369">
        <v>0</v>
      </c>
      <c r="J42" s="883">
        <v>2050000</v>
      </c>
      <c r="K42" s="369"/>
      <c r="L42" s="370">
        <f t="shared" si="36"/>
        <v>2050000</v>
      </c>
      <c r="M42" s="368"/>
      <c r="N42" s="369">
        <v>0</v>
      </c>
      <c r="O42" s="369">
        <v>0</v>
      </c>
      <c r="P42" s="377">
        <f>(SUMIF('FY26-FY28_PREPA Consolidated'!I:I,C42,'FY26-FY28_PREPA Consolidated'!DL:DL)*1000)-H42</f>
        <v>0</v>
      </c>
      <c r="Q42" s="377">
        <f>((SUMIF('FY26-FY28_PREPA Consolidated'!I:I,C42,'FY26-FY28_PREPA Consolidated'!BT:BT)+SUMIF('FY26-FY28_PREPA Consolidated'!I:I,C42,'FY26-FY28_PREPA Consolidated'!CD:CD))*1000)-I42</f>
        <v>0</v>
      </c>
      <c r="R42" s="369">
        <v>0</v>
      </c>
      <c r="S42" s="369"/>
      <c r="T42" s="369">
        <f t="shared" si="28"/>
        <v>0</v>
      </c>
      <c r="U42" s="369">
        <f t="shared" si="29"/>
        <v>2050000</v>
      </c>
      <c r="V42" s="369"/>
      <c r="W42" s="369">
        <v>0</v>
      </c>
      <c r="X42" s="377">
        <v>0</v>
      </c>
      <c r="Y42" s="369">
        <v>0</v>
      </c>
      <c r="Z42" s="369">
        <v>0</v>
      </c>
      <c r="AA42" s="377">
        <v>2152500</v>
      </c>
      <c r="AB42" s="369"/>
      <c r="AC42" s="369">
        <f t="shared" si="34"/>
        <v>2152500</v>
      </c>
      <c r="AD42" s="369"/>
      <c r="AE42" s="369">
        <v>0</v>
      </c>
      <c r="AF42" s="369">
        <v>0</v>
      </c>
      <c r="AG42" s="377">
        <f>(SUMIF('FY26-FY28_PREPA Consolidated'!I:I,C42,'FY26-FY28_PREPA Consolidated'!DY:DY)*1000)-Y42</f>
        <v>0</v>
      </c>
      <c r="AH42" s="377">
        <f>((SUMIF('FY26-FY28_PREPA Consolidated'!I:I,C42,'FY26-FY28_PREPA Consolidated'!DU:DU)+SUMIF('FY26-FY28_PREPA Consolidated'!I:I,C42,'FY26-FY28_PREPA Consolidated'!DW:DW))*1000)-Z42</f>
        <v>0</v>
      </c>
      <c r="AI42" s="369">
        <v>0</v>
      </c>
      <c r="AJ42" s="369"/>
      <c r="AK42" s="369">
        <f t="shared" si="30"/>
        <v>0</v>
      </c>
      <c r="AL42" s="369">
        <f t="shared" si="31"/>
        <v>2152500</v>
      </c>
      <c r="AM42" s="369"/>
      <c r="AN42" s="369">
        <v>0</v>
      </c>
      <c r="AO42" s="377">
        <v>0</v>
      </c>
      <c r="AP42" s="369">
        <v>0</v>
      </c>
      <c r="AQ42" s="369">
        <v>0</v>
      </c>
      <c r="AR42" s="377">
        <v>2260125</v>
      </c>
      <c r="AS42" s="369"/>
      <c r="AT42" s="369">
        <f t="shared" si="35"/>
        <v>2260125</v>
      </c>
      <c r="AU42" s="369"/>
      <c r="AV42" s="369">
        <v>0</v>
      </c>
      <c r="AW42" s="369">
        <v>0</v>
      </c>
      <c r="AX42" s="1066">
        <f>(SUMIF('FY26-FY28_PREPA Consolidated'!I:I,C42,'FY26-FY28_PREPA Consolidated'!EI:EI)*1000)-AP42</f>
        <v>0</v>
      </c>
      <c r="AY42" s="1066">
        <f>((SUMIF('FY26-FY28_PREPA Consolidated'!I:I,C42,'FY26-FY28_PREPA Consolidated'!EE:EE)+SUMIF('FY26-FY28_PREPA Consolidated'!I:I,C42,'FY26-FY28_PREPA Consolidated'!EG:EG))*1000)-AQ42</f>
        <v>0</v>
      </c>
      <c r="AZ42" s="369">
        <v>0</v>
      </c>
      <c r="BA42" s="369"/>
      <c r="BB42" s="369">
        <f t="shared" si="32"/>
        <v>0</v>
      </c>
      <c r="BC42" s="369"/>
      <c r="BD42" s="369">
        <f t="shared" si="33"/>
        <v>2260125</v>
      </c>
    </row>
    <row r="43" spans="1:56">
      <c r="A43" s="91">
        <f t="shared" si="0"/>
        <v>32</v>
      </c>
      <c r="C43" s="80" t="s">
        <v>312</v>
      </c>
      <c r="D43" s="80"/>
      <c r="E43" s="2"/>
      <c r="F43" s="369">
        <v>0</v>
      </c>
      <c r="G43" s="377">
        <v>20082294</v>
      </c>
      <c r="H43" s="369">
        <v>0</v>
      </c>
      <c r="I43" s="369">
        <v>0</v>
      </c>
      <c r="J43" s="883">
        <v>24173338</v>
      </c>
      <c r="K43" s="369"/>
      <c r="L43" s="370">
        <f t="shared" si="36"/>
        <v>44255632</v>
      </c>
      <c r="M43" s="368"/>
      <c r="N43" s="369">
        <v>0</v>
      </c>
      <c r="O43" s="369">
        <v>0</v>
      </c>
      <c r="P43" s="377">
        <f>(SUMIF('FY26-FY28_PREPA Consolidated'!I:I,C43,'FY26-FY28_PREPA Consolidated'!DL:DL)*1000)-H43</f>
        <v>80000</v>
      </c>
      <c r="Q43" s="377">
        <f>((SUMIF('FY26-FY28_PREPA Consolidated'!I:I,C43,'FY26-FY28_PREPA Consolidated'!BT:BT)+SUMIF('FY26-FY28_PREPA Consolidated'!I:I,C43,'FY26-FY28_PREPA Consolidated'!CD:CD))*1000)-I43</f>
        <v>72000</v>
      </c>
      <c r="R43" s="369">
        <v>0</v>
      </c>
      <c r="S43" s="369"/>
      <c r="T43" s="369">
        <f t="shared" si="28"/>
        <v>152000</v>
      </c>
      <c r="U43" s="369">
        <f t="shared" si="29"/>
        <v>44407632</v>
      </c>
      <c r="V43" s="369"/>
      <c r="W43" s="369">
        <v>0</v>
      </c>
      <c r="X43" s="377">
        <v>20153168.879999999</v>
      </c>
      <c r="Y43" s="369">
        <v>0</v>
      </c>
      <c r="Z43" s="369">
        <v>0</v>
      </c>
      <c r="AA43" s="883">
        <v>25099976</v>
      </c>
      <c r="AB43" s="369"/>
      <c r="AC43" s="369">
        <f t="shared" si="34"/>
        <v>45253144.879999995</v>
      </c>
      <c r="AD43" s="369"/>
      <c r="AE43" s="369">
        <v>0</v>
      </c>
      <c r="AF43" s="369">
        <v>0</v>
      </c>
      <c r="AG43" s="377">
        <f>(SUMIF('FY26-FY28_PREPA Consolidated'!I:I,C43,'FY26-FY28_PREPA Consolidated'!DY:DY)*1000)-Y43</f>
        <v>84000</v>
      </c>
      <c r="AH43" s="377">
        <f>((SUMIF('FY26-FY28_PREPA Consolidated'!I:I,C43,'FY26-FY28_PREPA Consolidated'!DU:DU)+SUMIF('FY26-FY28_PREPA Consolidated'!I:I,C43,'FY26-FY28_PREPA Consolidated'!DW:DW))*1000)-Z43</f>
        <v>75600</v>
      </c>
      <c r="AI43" s="369">
        <v>0</v>
      </c>
      <c r="AJ43" s="369"/>
      <c r="AK43" s="369">
        <f t="shared" si="30"/>
        <v>159600</v>
      </c>
      <c r="AL43" s="369">
        <f t="shared" si="31"/>
        <v>45412744.879999995</v>
      </c>
      <c r="AM43" s="369"/>
      <c r="AN43" s="369">
        <v>0</v>
      </c>
      <c r="AO43" s="377">
        <v>20424519.440000001</v>
      </c>
      <c r="AP43" s="369">
        <v>0</v>
      </c>
      <c r="AQ43" s="369">
        <v>0</v>
      </c>
      <c r="AR43" s="883">
        <v>26041773</v>
      </c>
      <c r="AS43" s="369"/>
      <c r="AT43" s="369">
        <f t="shared" si="35"/>
        <v>46466292.439999998</v>
      </c>
      <c r="AU43" s="369"/>
      <c r="AV43" s="369">
        <v>0</v>
      </c>
      <c r="AW43" s="369">
        <v>0</v>
      </c>
      <c r="AX43" s="1066">
        <f>(SUMIF('FY26-FY28_PREPA Consolidated'!I:I,C43,'FY26-FY28_PREPA Consolidated'!EI:EI)*1000)-AP43</f>
        <v>88200</v>
      </c>
      <c r="AY43" s="1066">
        <f>((SUMIF('FY26-FY28_PREPA Consolidated'!I:I,C43,'FY26-FY28_PREPA Consolidated'!EE:EE)+SUMIF('FY26-FY28_PREPA Consolidated'!I:I,C43,'FY26-FY28_PREPA Consolidated'!EG:EG))*1000)-AQ43</f>
        <v>79380</v>
      </c>
      <c r="AZ43" s="369">
        <v>0</v>
      </c>
      <c r="BA43" s="369"/>
      <c r="BB43" s="369">
        <f t="shared" si="32"/>
        <v>167580</v>
      </c>
      <c r="BC43" s="369"/>
      <c r="BD43" s="369">
        <f t="shared" si="33"/>
        <v>46633872.439999998</v>
      </c>
    </row>
    <row r="44" spans="1:56">
      <c r="A44" s="91">
        <f t="shared" si="0"/>
        <v>33</v>
      </c>
      <c r="C44" s="80" t="s">
        <v>313</v>
      </c>
      <c r="D44" s="80"/>
      <c r="F44" s="369">
        <v>0</v>
      </c>
      <c r="G44" s="377">
        <v>2500000</v>
      </c>
      <c r="H44" s="369">
        <v>0</v>
      </c>
      <c r="I44" s="369">
        <v>0</v>
      </c>
      <c r="J44" s="883">
        <v>19932197</v>
      </c>
      <c r="K44" s="369"/>
      <c r="L44" s="370">
        <f t="shared" si="36"/>
        <v>22432197</v>
      </c>
      <c r="M44" s="368"/>
      <c r="N44" s="369">
        <v>0</v>
      </c>
      <c r="O44" s="369">
        <v>0</v>
      </c>
      <c r="P44" s="377">
        <f>(SUMIF('FY26-FY28_PREPA Consolidated'!I:I,C44,'FY26-FY28_PREPA Consolidated'!DL:DL)*1000)-H44</f>
        <v>0</v>
      </c>
      <c r="Q44" s="377">
        <f>((SUMIF('FY26-FY28_PREPA Consolidated'!I:I,C44,'FY26-FY28_PREPA Consolidated'!BT:BT)+SUMIF('FY26-FY28_PREPA Consolidated'!I:I,C44,'FY26-FY28_PREPA Consolidated'!CD:CD))*1000)-I44</f>
        <v>7267000</v>
      </c>
      <c r="R44" s="369">
        <v>0</v>
      </c>
      <c r="S44" s="369"/>
      <c r="T44" s="369">
        <f t="shared" si="28"/>
        <v>7267000</v>
      </c>
      <c r="U44" s="369">
        <f t="shared" si="29"/>
        <v>29699197</v>
      </c>
      <c r="V44" s="369"/>
      <c r="W44" s="369">
        <v>0</v>
      </c>
      <c r="X44" s="377">
        <v>2500000</v>
      </c>
      <c r="Y44" s="369">
        <v>0</v>
      </c>
      <c r="Z44" s="369">
        <v>0</v>
      </c>
      <c r="AA44" s="883">
        <v>20975283</v>
      </c>
      <c r="AB44" s="369"/>
      <c r="AC44" s="369">
        <f t="shared" si="34"/>
        <v>23475283</v>
      </c>
      <c r="AD44" s="369"/>
      <c r="AE44" s="369">
        <v>0</v>
      </c>
      <c r="AF44" s="369">
        <v>0</v>
      </c>
      <c r="AG44" s="377">
        <f>(SUMIF('FY26-FY28_PREPA Consolidated'!I:I,C44,'FY26-FY28_PREPA Consolidated'!DY:DY)*1000)-Y44</f>
        <v>0</v>
      </c>
      <c r="AH44" s="377">
        <f>((SUMIF('FY26-FY28_PREPA Consolidated'!I:I,C44,'FY26-FY28_PREPA Consolidated'!DU:DU)+SUMIF('FY26-FY28_PREPA Consolidated'!I:I,C44,'FY26-FY28_PREPA Consolidated'!DW:DW))*1000)-Z44</f>
        <v>7630456.8806639081</v>
      </c>
      <c r="AI44" s="369">
        <v>0</v>
      </c>
      <c r="AJ44" s="369"/>
      <c r="AK44" s="369">
        <f t="shared" si="30"/>
        <v>7630456.8806639081</v>
      </c>
      <c r="AL44" s="369">
        <f t="shared" si="31"/>
        <v>31105739.880663909</v>
      </c>
      <c r="AM44" s="369"/>
      <c r="AN44" s="369">
        <v>0</v>
      </c>
      <c r="AO44" s="377">
        <v>2500000</v>
      </c>
      <c r="AP44" s="369">
        <v>0</v>
      </c>
      <c r="AQ44" s="369">
        <v>0</v>
      </c>
      <c r="AR44" s="883">
        <v>22473827</v>
      </c>
      <c r="AS44" s="369"/>
      <c r="AT44" s="369">
        <f t="shared" si="35"/>
        <v>24973827</v>
      </c>
      <c r="AU44" s="369"/>
      <c r="AV44" s="369">
        <v>0</v>
      </c>
      <c r="AW44" s="369">
        <v>0</v>
      </c>
      <c r="AX44" s="1066">
        <f>(SUMIF('FY26-FY28_PREPA Consolidated'!I:I,C44,'FY26-FY28_PREPA Consolidated'!EI:EI)*1000)-AP44</f>
        <v>0</v>
      </c>
      <c r="AY44" s="1066">
        <f>((SUMIF('FY26-FY28_PREPA Consolidated'!I:I,C44,'FY26-FY28_PREPA Consolidated'!EE:EE)+SUMIF('FY26-FY28_PREPA Consolidated'!I:I,C44,'FY26-FY28_PREPA Consolidated'!EG:EG))*1000)-AQ44</f>
        <v>7234117.2427388998</v>
      </c>
      <c r="AZ44" s="369">
        <v>0</v>
      </c>
      <c r="BA44" s="369"/>
      <c r="BB44" s="369">
        <f t="shared" si="32"/>
        <v>7234117.2427388998</v>
      </c>
      <c r="BC44" s="369"/>
      <c r="BD44" s="369">
        <f t="shared" si="33"/>
        <v>32207944.242738899</v>
      </c>
    </row>
    <row r="45" spans="1:56">
      <c r="A45" s="91">
        <f t="shared" si="0"/>
        <v>34</v>
      </c>
      <c r="C45" s="80" t="s">
        <v>314</v>
      </c>
      <c r="D45" s="80"/>
      <c r="E45" s="2"/>
      <c r="F45" s="369">
        <v>0</v>
      </c>
      <c r="G45" s="377">
        <v>1490000</v>
      </c>
      <c r="H45" s="369">
        <v>0</v>
      </c>
      <c r="I45" s="369">
        <v>0</v>
      </c>
      <c r="J45" s="883">
        <v>2069177</v>
      </c>
      <c r="K45" s="369"/>
      <c r="L45" s="370">
        <f t="shared" si="36"/>
        <v>3559177</v>
      </c>
      <c r="M45" s="368"/>
      <c r="N45" s="369">
        <v>0</v>
      </c>
      <c r="O45" s="369">
        <v>0</v>
      </c>
      <c r="P45" s="377">
        <f>(SUMIF('FY26-FY28_PREPA Consolidated'!I:I,C45,'FY26-FY28_PREPA Consolidated'!DL:DL)*1000)-H45</f>
        <v>0</v>
      </c>
      <c r="Q45" s="377">
        <f>((SUMIF('FY26-FY28_PREPA Consolidated'!I:I,C45,'FY26-FY28_PREPA Consolidated'!BT:BT)+SUMIF('FY26-FY28_PREPA Consolidated'!I:I,C45,'FY26-FY28_PREPA Consolidated'!CD:CD))*1000)-I45</f>
        <v>0</v>
      </c>
      <c r="R45" s="369">
        <v>0</v>
      </c>
      <c r="S45" s="369"/>
      <c r="T45" s="369">
        <f t="shared" si="28"/>
        <v>0</v>
      </c>
      <c r="U45" s="369">
        <f t="shared" si="29"/>
        <v>3559177</v>
      </c>
      <c r="V45" s="369"/>
      <c r="W45" s="369">
        <v>0</v>
      </c>
      <c r="X45" s="377">
        <v>801760</v>
      </c>
      <c r="Y45" s="369">
        <v>0</v>
      </c>
      <c r="Z45" s="369">
        <v>0</v>
      </c>
      <c r="AA45" s="883">
        <v>2165112</v>
      </c>
      <c r="AB45" s="369"/>
      <c r="AC45" s="369">
        <f t="shared" si="34"/>
        <v>2966872</v>
      </c>
      <c r="AD45" s="369"/>
      <c r="AE45" s="369">
        <v>0</v>
      </c>
      <c r="AF45" s="369">
        <v>0</v>
      </c>
      <c r="AG45" s="377">
        <f>(SUMIF('FY26-FY28_PREPA Consolidated'!I:I,C45,'FY26-FY28_PREPA Consolidated'!DY:DY)*1000)-Y45</f>
        <v>0</v>
      </c>
      <c r="AH45" s="377">
        <f>((SUMIF('FY26-FY28_PREPA Consolidated'!I:I,C45,'FY26-FY28_PREPA Consolidated'!DU:DU)+SUMIF('FY26-FY28_PREPA Consolidated'!I:I,C45,'FY26-FY28_PREPA Consolidated'!DW:DW))*1000)-Z45</f>
        <v>0</v>
      </c>
      <c r="AI45" s="369">
        <v>0</v>
      </c>
      <c r="AJ45" s="369"/>
      <c r="AK45" s="369">
        <f t="shared" si="30"/>
        <v>0</v>
      </c>
      <c r="AL45" s="369">
        <f t="shared" si="31"/>
        <v>2966872</v>
      </c>
      <c r="AM45" s="369"/>
      <c r="AN45" s="369">
        <v>0</v>
      </c>
      <c r="AO45" s="377">
        <v>856936</v>
      </c>
      <c r="AP45" s="369">
        <v>0</v>
      </c>
      <c r="AQ45" s="369">
        <v>0</v>
      </c>
      <c r="AR45" s="883">
        <v>2263766</v>
      </c>
      <c r="AS45" s="369"/>
      <c r="AT45" s="369">
        <f t="shared" si="35"/>
        <v>3120702</v>
      </c>
      <c r="AU45" s="369"/>
      <c r="AV45" s="369">
        <v>0</v>
      </c>
      <c r="AW45" s="369">
        <v>0</v>
      </c>
      <c r="AX45" s="1066">
        <f>(SUMIF('FY26-FY28_PREPA Consolidated'!I:I,C45,'FY26-FY28_PREPA Consolidated'!EI:EI)*1000)-AP45</f>
        <v>0</v>
      </c>
      <c r="AY45" s="1066">
        <f>((SUMIF('FY26-FY28_PREPA Consolidated'!I:I,C45,'FY26-FY28_PREPA Consolidated'!EE:EE)+SUMIF('FY26-FY28_PREPA Consolidated'!I:I,C45,'FY26-FY28_PREPA Consolidated'!EG:EG))*1000)-AQ45</f>
        <v>0</v>
      </c>
      <c r="AZ45" s="369">
        <v>0</v>
      </c>
      <c r="BA45" s="369"/>
      <c r="BB45" s="369">
        <f t="shared" si="32"/>
        <v>0</v>
      </c>
      <c r="BC45" s="369"/>
      <c r="BD45" s="369">
        <f t="shared" si="33"/>
        <v>3120702</v>
      </c>
    </row>
    <row r="46" spans="1:56">
      <c r="A46" s="91">
        <f t="shared" si="0"/>
        <v>35</v>
      </c>
      <c r="C46" s="80" t="s">
        <v>315</v>
      </c>
      <c r="D46" s="80"/>
      <c r="F46" s="369">
        <v>0</v>
      </c>
      <c r="G46" s="377">
        <v>17780758.439999998</v>
      </c>
      <c r="H46" s="369">
        <v>0</v>
      </c>
      <c r="I46" s="369">
        <v>0</v>
      </c>
      <c r="J46" s="883">
        <v>275154028</v>
      </c>
      <c r="K46" s="369"/>
      <c r="L46" s="370">
        <f t="shared" si="36"/>
        <v>292934786.44</v>
      </c>
      <c r="M46" s="368"/>
      <c r="N46" s="369">
        <v>0</v>
      </c>
      <c r="O46" s="1158">
        <v>1000000</v>
      </c>
      <c r="P46" s="377">
        <f>(SUMIF('FY26-FY28_PREPA Consolidated'!I:I,C46,'FY26-FY28_PREPA Consolidated'!DL:DL)*1000)-H46</f>
        <v>1246000</v>
      </c>
      <c r="Q46" s="377">
        <f>((SUMIF('FY26-FY28_PREPA Consolidated'!I:I,C46,'FY26-FY28_PREPA Consolidated'!BT:BT)+SUMIF('FY26-FY28_PREPA Consolidated'!I:I,C46,'FY26-FY28_PREPA Consolidated'!CD:CD))*1000)-I46</f>
        <v>9287041.5</v>
      </c>
      <c r="R46" s="1158">
        <f>-150000+'LUMA’s Updates to RR'!F39</f>
        <v>-3150000</v>
      </c>
      <c r="S46" s="369"/>
      <c r="T46" s="369">
        <f t="shared" si="28"/>
        <v>8383041.5</v>
      </c>
      <c r="U46" s="369">
        <f t="shared" si="29"/>
        <v>301317827.94</v>
      </c>
      <c r="V46" s="369"/>
      <c r="W46" s="369">
        <v>0</v>
      </c>
      <c r="X46" s="377">
        <v>14670532.432499999</v>
      </c>
      <c r="Y46" s="369">
        <v>0</v>
      </c>
      <c r="Z46" s="369">
        <v>0</v>
      </c>
      <c r="AA46" s="883">
        <v>316687594</v>
      </c>
      <c r="AB46" s="369"/>
      <c r="AC46" s="369">
        <f t="shared" si="34"/>
        <v>331358126.4325</v>
      </c>
      <c r="AD46" s="369"/>
      <c r="AE46" s="369">
        <v>0</v>
      </c>
      <c r="AF46" s="1158">
        <v>1000000</v>
      </c>
      <c r="AG46" s="377">
        <f>(SUMIF('FY26-FY28_PREPA Consolidated'!I:I,C46,'FY26-FY28_PREPA Consolidated'!DY:DY)*1000)-Y46</f>
        <v>1266337.744248546</v>
      </c>
      <c r="AH46" s="377">
        <f>((SUMIF('FY26-FY28_PREPA Consolidated'!I:I,C46,'FY26-FY28_PREPA Consolidated'!DU:DU)+SUMIF('FY26-FY28_PREPA Consolidated'!I:I,C46,'FY26-FY28_PREPA Consolidated'!DW:DW))*1000)-Z46</f>
        <v>10188628.558469206</v>
      </c>
      <c r="AI46" s="1158">
        <f>'LUMA’s Updates to RR'!F40</f>
        <v>-3000000</v>
      </c>
      <c r="AJ46" s="369"/>
      <c r="AK46" s="369">
        <f t="shared" si="30"/>
        <v>9454966.3027177528</v>
      </c>
      <c r="AL46" s="369">
        <f t="shared" si="31"/>
        <v>340813092.73521775</v>
      </c>
      <c r="AM46" s="369"/>
      <c r="AN46" s="369">
        <v>0</v>
      </c>
      <c r="AO46" s="377">
        <v>14235536.096125001</v>
      </c>
      <c r="AP46" s="369">
        <v>0</v>
      </c>
      <c r="AQ46" s="369">
        <v>0</v>
      </c>
      <c r="AR46" s="883">
        <v>340721516</v>
      </c>
      <c r="AS46" s="369"/>
      <c r="AT46" s="369">
        <f t="shared" si="35"/>
        <v>354957052.09612501</v>
      </c>
      <c r="AU46" s="369"/>
      <c r="AV46" s="369">
        <v>0</v>
      </c>
      <c r="AW46" s="1158">
        <v>1000000</v>
      </c>
      <c r="AX46" s="1066">
        <f>(SUMIF('FY26-FY28_PREPA Consolidated'!I:I,C46,'FY26-FY28_PREPA Consolidated'!EI:EI)*1000)-AP46</f>
        <v>1287750.345565761</v>
      </c>
      <c r="AY46" s="1066">
        <f>((SUMIF('FY26-FY28_PREPA Consolidated'!I:I,C46,'FY26-FY28_PREPA Consolidated'!EE:EE)+SUMIF('FY26-FY28_PREPA Consolidated'!I:I,C46,'FY26-FY28_PREPA Consolidated'!EG:EG))*1000)-AQ46</f>
        <v>10860908.854371745</v>
      </c>
      <c r="AZ46" s="1158">
        <f>'LUMA’s Updates to RR'!F41</f>
        <v>-3000000</v>
      </c>
      <c r="BA46" s="369"/>
      <c r="BB46" s="369">
        <f t="shared" si="32"/>
        <v>10148659.199937506</v>
      </c>
      <c r="BC46" s="369"/>
      <c r="BD46" s="369">
        <f t="shared" si="33"/>
        <v>365105711.29606253</v>
      </c>
    </row>
    <row r="47" spans="1:56">
      <c r="A47" s="91">
        <f t="shared" si="0"/>
        <v>36</v>
      </c>
      <c r="C47" s="80" t="s">
        <v>316</v>
      </c>
      <c r="D47" s="80"/>
      <c r="E47" s="2"/>
      <c r="F47" s="369">
        <v>0</v>
      </c>
      <c r="G47" s="377">
        <v>0</v>
      </c>
      <c r="H47" s="369">
        <v>0</v>
      </c>
      <c r="I47" s="369">
        <v>0</v>
      </c>
      <c r="J47" s="883">
        <v>125000000</v>
      </c>
      <c r="K47" s="369"/>
      <c r="L47" s="370">
        <f t="shared" si="36"/>
        <v>125000000</v>
      </c>
      <c r="M47" s="368"/>
      <c r="N47" s="369">
        <v>0</v>
      </c>
      <c r="O47" s="369">
        <v>0</v>
      </c>
      <c r="P47" s="377">
        <f>(SUMIF('FY26-FY28_PREPA Consolidated'!I:I,C47,'FY26-FY28_PREPA Consolidated'!DL:DL)*1000)-H47</f>
        <v>0</v>
      </c>
      <c r="Q47" s="377">
        <f>((SUMIF('FY26-FY28_PREPA Consolidated'!I:I,C47,'FY26-FY28_PREPA Consolidated'!BT:BT)+SUMIF('FY26-FY28_PREPA Consolidated'!I:I,C47,'FY26-FY28_PREPA Consolidated'!CD:CD))*1000)-I47</f>
        <v>0</v>
      </c>
      <c r="R47" s="369">
        <v>0</v>
      </c>
      <c r="S47" s="369"/>
      <c r="T47" s="369">
        <f t="shared" si="28"/>
        <v>0</v>
      </c>
      <c r="U47" s="369">
        <f t="shared" si="29"/>
        <v>125000000</v>
      </c>
      <c r="V47" s="369"/>
      <c r="W47" s="369">
        <v>0</v>
      </c>
      <c r="X47" s="377">
        <v>0</v>
      </c>
      <c r="Y47" s="369">
        <v>0</v>
      </c>
      <c r="Z47" s="369">
        <v>0</v>
      </c>
      <c r="AA47" s="883">
        <v>131250000</v>
      </c>
      <c r="AB47" s="369"/>
      <c r="AC47" s="369">
        <f t="shared" si="34"/>
        <v>131250000</v>
      </c>
      <c r="AD47" s="369"/>
      <c r="AE47" s="369">
        <v>0</v>
      </c>
      <c r="AF47" s="369">
        <v>0</v>
      </c>
      <c r="AG47" s="377">
        <f>(SUMIF('FY26-FY28_PREPA Consolidated'!I:I,C47,'FY26-FY28_PREPA Consolidated'!DY:DY)*1000)-Y47</f>
        <v>0</v>
      </c>
      <c r="AH47" s="377">
        <f>((SUMIF('FY26-FY28_PREPA Consolidated'!I:I,C47,'FY26-FY28_PREPA Consolidated'!DU:DU)+SUMIF('FY26-FY28_PREPA Consolidated'!I:I,C47,'FY26-FY28_PREPA Consolidated'!DW:DW))*1000)-Z47</f>
        <v>0</v>
      </c>
      <c r="AI47" s="369">
        <v>0</v>
      </c>
      <c r="AJ47" s="369"/>
      <c r="AK47" s="369">
        <f t="shared" si="30"/>
        <v>0</v>
      </c>
      <c r="AL47" s="369">
        <f t="shared" si="31"/>
        <v>131250000</v>
      </c>
      <c r="AM47" s="369"/>
      <c r="AN47" s="369">
        <v>0</v>
      </c>
      <c r="AO47" s="377">
        <v>0</v>
      </c>
      <c r="AP47" s="369">
        <v>0</v>
      </c>
      <c r="AQ47" s="369">
        <v>0</v>
      </c>
      <c r="AR47" s="883">
        <v>137812500</v>
      </c>
      <c r="AS47" s="369"/>
      <c r="AT47" s="369">
        <f t="shared" si="35"/>
        <v>137812500</v>
      </c>
      <c r="AU47" s="369"/>
      <c r="AV47" s="369">
        <v>0</v>
      </c>
      <c r="AW47" s="369">
        <v>0</v>
      </c>
      <c r="AX47" s="1066">
        <f>(SUMIF('FY26-FY28_PREPA Consolidated'!I:I,C47,'FY26-FY28_PREPA Consolidated'!EI:EI)*1000)-AP47</f>
        <v>0</v>
      </c>
      <c r="AY47" s="1066">
        <f>((SUMIF('FY26-FY28_PREPA Consolidated'!I:I,C47,'FY26-FY28_PREPA Consolidated'!EE:EE)+SUMIF('FY26-FY28_PREPA Consolidated'!I:I,C47,'FY26-FY28_PREPA Consolidated'!EG:EG))*1000)-AQ47</f>
        <v>0</v>
      </c>
      <c r="AZ47" s="369">
        <v>0</v>
      </c>
      <c r="BA47" s="369"/>
      <c r="BB47" s="369">
        <f t="shared" si="32"/>
        <v>0</v>
      </c>
      <c r="BC47" s="369"/>
      <c r="BD47" s="369">
        <f t="shared" si="33"/>
        <v>137812500</v>
      </c>
    </row>
    <row r="48" spans="1:56">
      <c r="A48" s="91">
        <f t="shared" si="0"/>
        <v>37</v>
      </c>
      <c r="C48" s="80" t="s">
        <v>317</v>
      </c>
      <c r="D48" s="80"/>
      <c r="F48" s="369">
        <v>0</v>
      </c>
      <c r="G48" s="377">
        <v>5172500</v>
      </c>
      <c r="H48" s="369">
        <v>0</v>
      </c>
      <c r="I48" s="369">
        <v>0</v>
      </c>
      <c r="J48" s="377">
        <v>0</v>
      </c>
      <c r="K48" s="369"/>
      <c r="L48" s="370">
        <f t="shared" si="36"/>
        <v>5172500</v>
      </c>
      <c r="M48" s="368"/>
      <c r="N48" s="369">
        <v>0</v>
      </c>
      <c r="O48" s="369">
        <v>0</v>
      </c>
      <c r="P48" s="377">
        <f>(SUMIF('FY26-FY28_PREPA Consolidated'!I:I,C48,'FY26-FY28_PREPA Consolidated'!DL:DL)*1000)-H48</f>
        <v>838000</v>
      </c>
      <c r="Q48" s="377">
        <f>((SUMIF('FY26-FY28_PREPA Consolidated'!I:I,C48,'FY26-FY28_PREPA Consolidated'!BT:BT)+SUMIF('FY26-FY28_PREPA Consolidated'!I:I,C48,'FY26-FY28_PREPA Consolidated'!CD:CD))*1000)-I48</f>
        <v>2314750</v>
      </c>
      <c r="R48" s="369">
        <v>0</v>
      </c>
      <c r="S48" s="369"/>
      <c r="T48" s="369">
        <f t="shared" si="28"/>
        <v>3152750</v>
      </c>
      <c r="U48" s="369">
        <f t="shared" si="29"/>
        <v>8325250</v>
      </c>
      <c r="V48" s="369"/>
      <c r="W48" s="369">
        <v>0</v>
      </c>
      <c r="X48" s="377">
        <v>5206625</v>
      </c>
      <c r="Y48" s="369">
        <v>0</v>
      </c>
      <c r="Z48" s="369">
        <v>0</v>
      </c>
      <c r="AA48" s="377">
        <v>0</v>
      </c>
      <c r="AB48" s="369"/>
      <c r="AC48" s="369">
        <f t="shared" si="34"/>
        <v>5206625</v>
      </c>
      <c r="AD48" s="369"/>
      <c r="AE48" s="369">
        <v>0</v>
      </c>
      <c r="AF48" s="369">
        <v>0</v>
      </c>
      <c r="AG48" s="377">
        <f>(SUMIF('FY26-FY28_PREPA Consolidated'!I:I,C48,'FY26-FY28_PREPA Consolidated'!DY:DY)*1000)-Y48</f>
        <v>830500</v>
      </c>
      <c r="AH48" s="377">
        <f>((SUMIF('FY26-FY28_PREPA Consolidated'!I:I,C48,'FY26-FY28_PREPA Consolidated'!DU:DU)+SUMIF('FY26-FY28_PREPA Consolidated'!I:I,C48,'FY26-FY28_PREPA Consolidated'!DW:DW))*1000)-Z48</f>
        <v>2134750</v>
      </c>
      <c r="AI48" s="369">
        <v>0</v>
      </c>
      <c r="AJ48" s="369"/>
      <c r="AK48" s="369">
        <f t="shared" si="30"/>
        <v>2965250</v>
      </c>
      <c r="AL48" s="369">
        <f t="shared" si="31"/>
        <v>8171875</v>
      </c>
      <c r="AM48" s="369"/>
      <c r="AN48" s="369">
        <v>0</v>
      </c>
      <c r="AO48" s="377">
        <v>5206625</v>
      </c>
      <c r="AP48" s="369">
        <v>0</v>
      </c>
      <c r="AQ48" s="369">
        <v>0</v>
      </c>
      <c r="AR48" s="377">
        <v>0</v>
      </c>
      <c r="AS48" s="369"/>
      <c r="AT48" s="369">
        <f t="shared" si="35"/>
        <v>5206625</v>
      </c>
      <c r="AU48" s="369"/>
      <c r="AV48" s="369">
        <v>0</v>
      </c>
      <c r="AW48" s="369">
        <v>0</v>
      </c>
      <c r="AX48" s="1066">
        <f>(SUMIF('FY26-FY28_PREPA Consolidated'!I:I,C48,'FY26-FY28_PREPA Consolidated'!EI:EI)*1000)-AP48</f>
        <v>830500</v>
      </c>
      <c r="AY48" s="1066">
        <f>((SUMIF('FY26-FY28_PREPA Consolidated'!I:I,C48,'FY26-FY28_PREPA Consolidated'!EE:EE)+SUMIF('FY26-FY28_PREPA Consolidated'!I:I,C48,'FY26-FY28_PREPA Consolidated'!EG:EG))*1000)-AQ48</f>
        <v>2134750</v>
      </c>
      <c r="AZ48" s="369">
        <v>0</v>
      </c>
      <c r="BA48" s="369"/>
      <c r="BB48" s="369">
        <f t="shared" si="32"/>
        <v>2965250</v>
      </c>
      <c r="BC48" s="369"/>
      <c r="BD48" s="369">
        <f t="shared" si="33"/>
        <v>8171875</v>
      </c>
    </row>
    <row r="49" spans="1:56">
      <c r="A49" s="91">
        <f t="shared" si="0"/>
        <v>38</v>
      </c>
      <c r="C49" s="80" t="s">
        <v>318</v>
      </c>
      <c r="D49" s="80"/>
      <c r="E49" s="2"/>
      <c r="F49" s="369">
        <v>0</v>
      </c>
      <c r="G49" s="377">
        <v>500000</v>
      </c>
      <c r="H49" s="369">
        <v>0</v>
      </c>
      <c r="I49" s="369">
        <v>0</v>
      </c>
      <c r="J49" s="883">
        <v>300000</v>
      </c>
      <c r="K49" s="369"/>
      <c r="L49" s="370">
        <f>SUM(F49:J49)</f>
        <v>800000</v>
      </c>
      <c r="M49" s="368"/>
      <c r="N49" s="369">
        <v>0</v>
      </c>
      <c r="O49" s="369">
        <v>0</v>
      </c>
      <c r="P49" s="377">
        <f>(SUMIF('FY26-FY28_PREPA Consolidated'!I:I,C49,'FY26-FY28_PREPA Consolidated'!DL:DL)*1000)-H49</f>
        <v>0</v>
      </c>
      <c r="Q49" s="377">
        <f>((SUMIF('FY26-FY28_PREPA Consolidated'!I:I,C49,'FY26-FY28_PREPA Consolidated'!BT:BT)+SUMIF('FY26-FY28_PREPA Consolidated'!I:I,C49,'FY26-FY28_PREPA Consolidated'!CD:CD))*1000)-I49</f>
        <v>5486275</v>
      </c>
      <c r="R49" s="369">
        <v>0</v>
      </c>
      <c r="S49" s="369"/>
      <c r="T49" s="369">
        <f t="shared" si="28"/>
        <v>5486275</v>
      </c>
      <c r="U49" s="369">
        <f t="shared" si="29"/>
        <v>6286275</v>
      </c>
      <c r="V49" s="369"/>
      <c r="W49" s="369">
        <v>0</v>
      </c>
      <c r="X49" s="377">
        <v>510000</v>
      </c>
      <c r="Y49" s="369">
        <v>0</v>
      </c>
      <c r="Z49" s="369">
        <v>0</v>
      </c>
      <c r="AA49" s="883">
        <v>315000</v>
      </c>
      <c r="AB49" s="369"/>
      <c r="AC49" s="369">
        <f>SUM(W49:AA49)</f>
        <v>825000</v>
      </c>
      <c r="AD49" s="369"/>
      <c r="AE49" s="369">
        <v>0</v>
      </c>
      <c r="AF49" s="369">
        <v>0</v>
      </c>
      <c r="AG49" s="377">
        <f>(SUMIF('FY26-FY28_PREPA Consolidated'!I:I,C49,'FY26-FY28_PREPA Consolidated'!DY:DY)*1000)-Y49</f>
        <v>0</v>
      </c>
      <c r="AH49" s="377">
        <f>((SUMIF('FY26-FY28_PREPA Consolidated'!I:I,C49,'FY26-FY28_PREPA Consolidated'!DU:DU)+SUMIF('FY26-FY28_PREPA Consolidated'!I:I,C49,'FY26-FY28_PREPA Consolidated'!DW:DW))*1000)-Z49</f>
        <v>7886275</v>
      </c>
      <c r="AI49" s="369">
        <v>0</v>
      </c>
      <c r="AJ49" s="369"/>
      <c r="AK49" s="369">
        <f t="shared" si="30"/>
        <v>7886275</v>
      </c>
      <c r="AL49" s="369">
        <f t="shared" si="31"/>
        <v>8711275</v>
      </c>
      <c r="AM49" s="369"/>
      <c r="AN49" s="369">
        <v>0</v>
      </c>
      <c r="AO49" s="377">
        <v>520200</v>
      </c>
      <c r="AP49" s="369">
        <v>0</v>
      </c>
      <c r="AQ49" s="369">
        <v>0</v>
      </c>
      <c r="AR49" s="883">
        <v>330000</v>
      </c>
      <c r="AS49" s="369"/>
      <c r="AT49" s="369">
        <f t="shared" si="35"/>
        <v>850200</v>
      </c>
      <c r="AU49" s="369"/>
      <c r="AV49" s="369">
        <v>0</v>
      </c>
      <c r="AW49" s="369">
        <v>0</v>
      </c>
      <c r="AX49" s="1066">
        <f>(SUMIF('FY26-FY28_PREPA Consolidated'!I:I,C49,'FY26-FY28_PREPA Consolidated'!EI:EI)*1000)-AP49</f>
        <v>0</v>
      </c>
      <c r="AY49" s="1066">
        <f>((SUMIF('FY26-FY28_PREPA Consolidated'!I:I,C49,'FY26-FY28_PREPA Consolidated'!EE:EE)+SUMIF('FY26-FY28_PREPA Consolidated'!I:I,C49,'FY26-FY28_PREPA Consolidated'!EG:EG))*1000)-AQ49</f>
        <v>5486275</v>
      </c>
      <c r="AZ49" s="369">
        <v>0</v>
      </c>
      <c r="BA49" s="369"/>
      <c r="BB49" s="369">
        <f t="shared" si="32"/>
        <v>5486275</v>
      </c>
      <c r="BC49" s="369"/>
      <c r="BD49" s="369">
        <f t="shared" si="33"/>
        <v>6336475</v>
      </c>
    </row>
    <row r="50" spans="1:56">
      <c r="A50" s="91">
        <f t="shared" si="0"/>
        <v>39</v>
      </c>
      <c r="C50" s="80" t="s">
        <v>455</v>
      </c>
      <c r="D50" s="80"/>
      <c r="E50" s="2"/>
      <c r="F50" s="369">
        <v>0</v>
      </c>
      <c r="G50" s="377">
        <v>30256411.579999998</v>
      </c>
      <c r="H50" s="369">
        <v>0</v>
      </c>
      <c r="I50" s="369">
        <v>0</v>
      </c>
      <c r="J50" s="377">
        <v>0</v>
      </c>
      <c r="K50" s="369"/>
      <c r="L50" s="370">
        <f t="shared" si="36"/>
        <v>30256411.579999998</v>
      </c>
      <c r="M50" s="368"/>
      <c r="N50" s="369">
        <v>0</v>
      </c>
      <c r="O50" s="369">
        <v>0</v>
      </c>
      <c r="P50" s="377">
        <f>(SUMIF('FY26-FY28_PREPA Consolidated'!I:I,C50,'FY26-FY28_PREPA Consolidated'!DL:DL)*1000)-H50</f>
        <v>0</v>
      </c>
      <c r="Q50" s="377">
        <f>((SUMIF('FY26-FY28_PREPA Consolidated'!I:I,C50,'FY26-FY28_PREPA Consolidated'!BT:BT)+SUMIF('FY26-FY28_PREPA Consolidated'!I:I,C50,'FY26-FY28_PREPA Consolidated'!CD:CD))*1000)-I50</f>
        <v>0</v>
      </c>
      <c r="R50" s="369">
        <v>0</v>
      </c>
      <c r="S50" s="369"/>
      <c r="T50" s="369">
        <f t="shared" si="28"/>
        <v>0</v>
      </c>
      <c r="U50" s="369">
        <f t="shared" si="29"/>
        <v>30256411.579999998</v>
      </c>
      <c r="V50" s="369"/>
      <c r="W50" s="369"/>
      <c r="X50" s="377">
        <v>31450746.938000001</v>
      </c>
      <c r="Y50" s="369"/>
      <c r="Z50" s="369"/>
      <c r="AA50" s="377">
        <v>0</v>
      </c>
      <c r="AB50" s="369"/>
      <c r="AC50" s="369">
        <f t="shared" si="34"/>
        <v>31450746.938000001</v>
      </c>
      <c r="AD50" s="369"/>
      <c r="AE50" s="369">
        <v>0</v>
      </c>
      <c r="AF50" s="369">
        <v>0</v>
      </c>
      <c r="AG50" s="377">
        <f>(SUMIF('FY26-FY28_PREPA Consolidated'!I:I,C50,'FY26-FY28_PREPA Consolidated'!DY:DY)*1000)-Y50</f>
        <v>0</v>
      </c>
      <c r="AH50" s="377">
        <f>((SUMIF('FY26-FY28_PREPA Consolidated'!I:I,C50,'FY26-FY28_PREPA Consolidated'!DU:DU)+SUMIF('FY26-FY28_PREPA Consolidated'!I:I,C50,'FY26-FY28_PREPA Consolidated'!DW:DW))*1000)-Z50</f>
        <v>0</v>
      </c>
      <c r="AI50" s="369">
        <v>0</v>
      </c>
      <c r="AJ50" s="369"/>
      <c r="AK50" s="369">
        <f t="shared" si="30"/>
        <v>0</v>
      </c>
      <c r="AL50" s="369">
        <f t="shared" si="31"/>
        <v>31450746.938000001</v>
      </c>
      <c r="AM50" s="369"/>
      <c r="AN50" s="369">
        <v>0</v>
      </c>
      <c r="AO50" s="377">
        <v>33295260.624299999</v>
      </c>
      <c r="AP50" s="369"/>
      <c r="AQ50" s="369"/>
      <c r="AR50" s="377">
        <v>0</v>
      </c>
      <c r="AS50" s="369"/>
      <c r="AT50" s="369">
        <f t="shared" si="35"/>
        <v>33295260.624299999</v>
      </c>
      <c r="AU50" s="369"/>
      <c r="AV50" s="369">
        <v>0</v>
      </c>
      <c r="AW50" s="369">
        <v>0</v>
      </c>
      <c r="AX50" s="1066">
        <f>(SUMIF('FY26-FY28_PREPA Consolidated'!I:I,C50,'FY26-FY28_PREPA Consolidated'!EI:EI)*1000)-AP50</f>
        <v>0</v>
      </c>
      <c r="AY50" s="1066">
        <f>((SUMIF('FY26-FY28_PREPA Consolidated'!I:I,C50,'FY26-FY28_PREPA Consolidated'!EE:EE)+SUMIF('FY26-FY28_PREPA Consolidated'!I:I,C50,'FY26-FY28_PREPA Consolidated'!EG:EG))*1000)-AQ50</f>
        <v>0</v>
      </c>
      <c r="AZ50" s="369">
        <v>0</v>
      </c>
      <c r="BA50" s="369"/>
      <c r="BB50" s="369">
        <f t="shared" si="32"/>
        <v>0</v>
      </c>
      <c r="BC50" s="369"/>
      <c r="BD50" s="369">
        <f t="shared" si="33"/>
        <v>33295260.624299999</v>
      </c>
    </row>
    <row r="51" spans="1:56">
      <c r="A51" s="91">
        <f t="shared" si="0"/>
        <v>40</v>
      </c>
      <c r="C51" s="80" t="s">
        <v>319</v>
      </c>
      <c r="D51" s="80"/>
      <c r="F51" s="369">
        <v>0</v>
      </c>
      <c r="G51" s="377">
        <v>0</v>
      </c>
      <c r="H51" s="369">
        <v>0</v>
      </c>
      <c r="I51" s="369">
        <v>0</v>
      </c>
      <c r="J51" s="377">
        <v>0</v>
      </c>
      <c r="K51" s="369"/>
      <c r="L51" s="370">
        <f t="shared" si="36"/>
        <v>0</v>
      </c>
      <c r="M51" s="368"/>
      <c r="N51" s="369">
        <v>0</v>
      </c>
      <c r="O51" s="369">
        <v>0</v>
      </c>
      <c r="P51" s="377">
        <f>(SUMIF('FY26-FY28_PREPA Consolidated'!I:I,C51,'FY26-FY28_PREPA Consolidated'!DL:DL)*1000)-H51</f>
        <v>414989.64999999997</v>
      </c>
      <c r="Q51" s="377">
        <f>((SUMIF('FY26-FY28_PREPA Consolidated'!I:I,C51,'FY26-FY28_PREPA Consolidated'!BT:BT)+SUMIF('FY26-FY28_PREPA Consolidated'!I:I,C51,'FY26-FY28_PREPA Consolidated'!CD:CD))*1000)-I51</f>
        <v>1755729.3</v>
      </c>
      <c r="R51" s="369">
        <v>0</v>
      </c>
      <c r="S51" s="369"/>
      <c r="T51" s="369">
        <f t="shared" si="28"/>
        <v>2170718.9500000002</v>
      </c>
      <c r="U51" s="369">
        <f t="shared" si="29"/>
        <v>2170718.9500000002</v>
      </c>
      <c r="V51" s="369"/>
      <c r="W51" s="369">
        <v>0</v>
      </c>
      <c r="X51" s="377">
        <v>0</v>
      </c>
      <c r="Y51" s="369">
        <v>0</v>
      </c>
      <c r="Z51" s="369">
        <v>0</v>
      </c>
      <c r="AA51" s="377">
        <v>0</v>
      </c>
      <c r="AB51" s="369"/>
      <c r="AC51" s="369">
        <f t="shared" si="34"/>
        <v>0</v>
      </c>
      <c r="AD51" s="369"/>
      <c r="AE51" s="369">
        <v>0</v>
      </c>
      <c r="AF51" s="369">
        <v>0</v>
      </c>
      <c r="AG51" s="377">
        <f>(SUMIF('FY26-FY28_PREPA Consolidated'!I:I,C51,'FY26-FY28_PREPA Consolidated'!DY:DY)*1000)-Y51</f>
        <v>421763.28833667224</v>
      </c>
      <c r="AH51" s="377">
        <f>((SUMIF('FY26-FY28_PREPA Consolidated'!I:I,C51,'FY26-FY28_PREPA Consolidated'!DU:DU)+SUMIF('FY26-FY28_PREPA Consolidated'!I:I,C51,'FY26-FY28_PREPA Consolidated'!DW:DW))*1000)-Z51</f>
        <v>1784387.063622053</v>
      </c>
      <c r="AI51" s="369">
        <v>0</v>
      </c>
      <c r="AJ51" s="369"/>
      <c r="AK51" s="369">
        <f t="shared" si="30"/>
        <v>2206150.3519587251</v>
      </c>
      <c r="AL51" s="369">
        <f t="shared" si="31"/>
        <v>2206150.3519587251</v>
      </c>
      <c r="AM51" s="369"/>
      <c r="AN51" s="369">
        <v>0</v>
      </c>
      <c r="AO51" s="377">
        <v>0</v>
      </c>
      <c r="AP51" s="369">
        <v>0</v>
      </c>
      <c r="AQ51" s="369">
        <v>0</v>
      </c>
      <c r="AR51" s="377">
        <v>0</v>
      </c>
      <c r="AS51" s="369"/>
      <c r="AT51" s="369">
        <f t="shared" si="35"/>
        <v>0</v>
      </c>
      <c r="AU51" s="369"/>
      <c r="AV51" s="369">
        <v>0</v>
      </c>
      <c r="AW51" s="369">
        <v>0</v>
      </c>
      <c r="AX51" s="1066">
        <f>(SUMIF('FY26-FY28_PREPA Consolidated'!I:I,C51,'FY26-FY28_PREPA Consolidated'!EI:EI)*1000)-AP51</f>
        <v>428894.91588580597</v>
      </c>
      <c r="AY51" s="1066">
        <f>((SUMIF('FY26-FY28_PREPA Consolidated'!I:I,C51,'FY26-FY28_PREPA Consolidated'!EE:EE)+SUMIF('FY26-FY28_PREPA Consolidated'!I:I,C51,'FY26-FY28_PREPA Consolidated'!EG:EG))*1000)-AQ51</f>
        <v>1814559.4003169592</v>
      </c>
      <c r="AZ51" s="369">
        <v>0</v>
      </c>
      <c r="BA51" s="369"/>
      <c r="BB51" s="369">
        <f t="shared" si="32"/>
        <v>2243454.3162027653</v>
      </c>
      <c r="BC51" s="369"/>
      <c r="BD51" s="369">
        <f t="shared" si="33"/>
        <v>2243454.3162027653</v>
      </c>
    </row>
    <row r="52" spans="1:56">
      <c r="A52" s="91">
        <f t="shared" si="0"/>
        <v>41</v>
      </c>
      <c r="C52" s="80" t="s">
        <v>320</v>
      </c>
      <c r="D52" s="80"/>
      <c r="E52" s="2"/>
      <c r="F52" s="369">
        <v>18700000</v>
      </c>
      <c r="G52" s="377">
        <v>0</v>
      </c>
      <c r="H52" s="369">
        <v>0</v>
      </c>
      <c r="I52" s="369">
        <v>0</v>
      </c>
      <c r="J52" s="377">
        <v>0</v>
      </c>
      <c r="K52" s="369"/>
      <c r="L52" s="370">
        <f>SUM(F52:J52)</f>
        <v>18700000</v>
      </c>
      <c r="M52" s="368"/>
      <c r="N52" s="369">
        <v>8750000</v>
      </c>
      <c r="O52" s="377">
        <v>0</v>
      </c>
      <c r="P52" s="377">
        <f>(SUMIF('FY26-FY28_PREPA Consolidated'!I:I,C52,'FY26-FY28_PREPA Consolidated'!DL:DL)*1000)-H52</f>
        <v>0</v>
      </c>
      <c r="Q52" s="377">
        <f>((SUMIF('FY26-FY28_PREPA Consolidated'!I:I,C52,'FY26-FY28_PREPA Consolidated'!BT:BT)+SUMIF('FY26-FY28_PREPA Consolidated'!I:I,C52,'FY26-FY28_PREPA Consolidated'!CD:CD))*1000)-I52</f>
        <v>0</v>
      </c>
      <c r="R52" s="377">
        <v>0</v>
      </c>
      <c r="S52" s="369"/>
      <c r="T52" s="369">
        <f t="shared" si="28"/>
        <v>8750000</v>
      </c>
      <c r="U52" s="369">
        <f t="shared" si="29"/>
        <v>27450000</v>
      </c>
      <c r="V52" s="369"/>
      <c r="W52" s="369">
        <v>11150000</v>
      </c>
      <c r="X52" s="377">
        <v>0</v>
      </c>
      <c r="Y52" s="369">
        <v>0</v>
      </c>
      <c r="Z52" s="369"/>
      <c r="AA52" s="377">
        <v>0</v>
      </c>
      <c r="AB52" s="369"/>
      <c r="AC52" s="369">
        <f t="shared" si="34"/>
        <v>11150000</v>
      </c>
      <c r="AD52" s="369"/>
      <c r="AE52" s="369">
        <v>6562500</v>
      </c>
      <c r="AF52" s="377">
        <v>0</v>
      </c>
      <c r="AG52" s="377">
        <f>(SUMIF('FY26-FY28_PREPA Consolidated'!I:I,C52,'FY26-FY28_PREPA Consolidated'!DY:DY)*1000)-Y52</f>
        <v>0</v>
      </c>
      <c r="AH52" s="377">
        <f>((SUMIF('FY26-FY28_PREPA Consolidated'!I:I,C52,'FY26-FY28_PREPA Consolidated'!DU:DU)+SUMIF('FY26-FY28_PREPA Consolidated'!I:I,C52,'FY26-FY28_PREPA Consolidated'!DW:DW))*1000)-Z52</f>
        <v>0</v>
      </c>
      <c r="AI52" s="377">
        <v>0</v>
      </c>
      <c r="AJ52" s="369"/>
      <c r="AK52" s="369">
        <f t="shared" si="30"/>
        <v>6562500</v>
      </c>
      <c r="AL52" s="369">
        <f t="shared" si="31"/>
        <v>17712500</v>
      </c>
      <c r="AM52" s="369"/>
      <c r="AN52" s="369">
        <v>7050000</v>
      </c>
      <c r="AO52" s="377">
        <v>0</v>
      </c>
      <c r="AP52" s="369">
        <v>0</v>
      </c>
      <c r="AQ52" s="369"/>
      <c r="AR52" s="377">
        <v>0</v>
      </c>
      <c r="AS52" s="369"/>
      <c r="AT52" s="369">
        <f t="shared" si="35"/>
        <v>7050000</v>
      </c>
      <c r="AU52" s="369"/>
      <c r="AV52" s="369">
        <v>4375000</v>
      </c>
      <c r="AW52" s="377">
        <v>0</v>
      </c>
      <c r="AX52" s="1066">
        <f>(SUMIF('FY26-FY28_PREPA Consolidated'!I:I,C52,'FY26-FY28_PREPA Consolidated'!EI:EI)*1000)-AP52</f>
        <v>0</v>
      </c>
      <c r="AY52" s="1066">
        <f>((SUMIF('FY26-FY28_PREPA Consolidated'!I:I,C52,'FY26-FY28_PREPA Consolidated'!EE:EE)+SUMIF('FY26-FY28_PREPA Consolidated'!I:I,C52,'FY26-FY28_PREPA Consolidated'!EG:EG))*1000)-AQ52</f>
        <v>0</v>
      </c>
      <c r="AZ52" s="377">
        <v>0</v>
      </c>
      <c r="BA52" s="369"/>
      <c r="BB52" s="369">
        <f t="shared" si="32"/>
        <v>4375000</v>
      </c>
      <c r="BC52" s="369"/>
      <c r="BD52" s="369">
        <f t="shared" si="33"/>
        <v>11425000</v>
      </c>
    </row>
    <row r="53" spans="1:56">
      <c r="A53" s="91">
        <f>IF(C53&lt;&gt;"",MAX(A49:A52)+1,"")</f>
        <v>42</v>
      </c>
      <c r="C53" s="80" t="s">
        <v>321</v>
      </c>
      <c r="D53" s="80"/>
      <c r="F53" s="369">
        <v>32964202.225740001</v>
      </c>
      <c r="G53" s="377">
        <v>0</v>
      </c>
      <c r="H53" s="369">
        <v>0</v>
      </c>
      <c r="I53" s="369">
        <v>0</v>
      </c>
      <c r="J53" s="377">
        <v>0</v>
      </c>
      <c r="K53" s="369"/>
      <c r="L53" s="370">
        <f>SUM(F53:J53)</f>
        <v>32964202.225740001</v>
      </c>
      <c r="M53" s="368"/>
      <c r="N53" s="369">
        <v>18324981.774259999</v>
      </c>
      <c r="O53" s="377">
        <v>0</v>
      </c>
      <c r="P53" s="377">
        <f>(SUMIF('FY26-FY28_PREPA Consolidated'!I:I,C53,'FY26-FY28_PREPA Consolidated'!DL:DL)*1000)-H53</f>
        <v>0</v>
      </c>
      <c r="Q53" s="377">
        <f>((SUMIF('FY26-FY28_PREPA Consolidated'!I:I,C53,'FY26-FY28_PREPA Consolidated'!BT:BT)+SUMIF('FY26-FY28_PREPA Consolidated'!I:I,C53,'FY26-FY28_PREPA Consolidated'!CD:CD))*1000)-I53</f>
        <v>0</v>
      </c>
      <c r="R53" s="377">
        <v>0</v>
      </c>
      <c r="S53" s="369"/>
      <c r="T53" s="369">
        <f t="shared" si="28"/>
        <v>18324981.774259999</v>
      </c>
      <c r="U53" s="369">
        <f t="shared" si="29"/>
        <v>51289184</v>
      </c>
      <c r="V53" s="369"/>
      <c r="W53" s="369">
        <v>19778521.335444</v>
      </c>
      <c r="X53" s="377">
        <v>0</v>
      </c>
      <c r="Y53" s="369">
        <v>0</v>
      </c>
      <c r="Z53" s="369"/>
      <c r="AA53" s="377">
        <v>0</v>
      </c>
      <c r="AB53" s="369"/>
      <c r="AC53" s="369">
        <f t="shared" si="34"/>
        <v>19778521.335444</v>
      </c>
      <c r="AD53" s="369"/>
      <c r="AE53" s="369">
        <v>5866071</v>
      </c>
      <c r="AF53" s="377">
        <v>0</v>
      </c>
      <c r="AG53" s="377">
        <f>(SUMIF('FY26-FY28_PREPA Consolidated'!I:I,C53,'FY26-FY28_PREPA Consolidated'!DY:DY)*1000)-Y53</f>
        <v>0</v>
      </c>
      <c r="AH53" s="377">
        <f>((SUMIF('FY26-FY28_PREPA Consolidated'!I:I,C53,'FY26-FY28_PREPA Consolidated'!DU:DU)+SUMIF('FY26-FY28_PREPA Consolidated'!I:I,C53,'FY26-FY28_PREPA Consolidated'!DW:DW))*1000)-Z53</f>
        <v>0</v>
      </c>
      <c r="AI53" s="377">
        <v>0</v>
      </c>
      <c r="AJ53" s="369"/>
      <c r="AK53" s="369">
        <f t="shared" si="30"/>
        <v>5866071</v>
      </c>
      <c r="AL53" s="369">
        <f t="shared" si="31"/>
        <v>25644592.335444</v>
      </c>
      <c r="AM53" s="369"/>
      <c r="AN53" s="369">
        <v>8241050.5564350002</v>
      </c>
      <c r="AO53" s="377">
        <v>0</v>
      </c>
      <c r="AP53" s="369">
        <v>0</v>
      </c>
      <c r="AQ53" s="369"/>
      <c r="AR53" s="377">
        <v>0</v>
      </c>
      <c r="AS53" s="369"/>
      <c r="AT53" s="369">
        <f t="shared" si="35"/>
        <v>8241050.5564350002</v>
      </c>
      <c r="AU53" s="369"/>
      <c r="AV53" s="369">
        <v>9197272.4435649998</v>
      </c>
      <c r="AW53" s="377">
        <v>0</v>
      </c>
      <c r="AX53" s="1066">
        <f>(SUMIF('FY26-FY28_PREPA Consolidated'!I:I,C53,'FY26-FY28_PREPA Consolidated'!EI:EI)*1000)-AP53</f>
        <v>0</v>
      </c>
      <c r="AY53" s="1066">
        <f>((SUMIF('FY26-FY28_PREPA Consolidated'!I:I,C53,'FY26-FY28_PREPA Consolidated'!EE:EE)+SUMIF('FY26-FY28_PREPA Consolidated'!I:I,C53,'FY26-FY28_PREPA Consolidated'!EG:EG))*1000)-AQ53</f>
        <v>0</v>
      </c>
      <c r="AZ53" s="377">
        <v>0</v>
      </c>
      <c r="BA53" s="369"/>
      <c r="BB53" s="369">
        <f t="shared" si="32"/>
        <v>9197272.4435649998</v>
      </c>
      <c r="BC53" s="369"/>
      <c r="BD53" s="369">
        <f t="shared" si="33"/>
        <v>17438323</v>
      </c>
    </row>
    <row r="54" spans="1:56">
      <c r="A54" s="91">
        <f t="shared" si="0"/>
        <v>43</v>
      </c>
      <c r="C54" s="80" t="s">
        <v>322</v>
      </c>
      <c r="D54" s="80"/>
      <c r="E54" s="2"/>
      <c r="F54" s="369">
        <v>0</v>
      </c>
      <c r="G54" s="377">
        <v>0</v>
      </c>
      <c r="H54" s="369">
        <v>0</v>
      </c>
      <c r="I54" s="369">
        <v>0</v>
      </c>
      <c r="J54" s="377">
        <v>0</v>
      </c>
      <c r="K54" s="369"/>
      <c r="L54" s="370">
        <f t="shared" si="36"/>
        <v>0</v>
      </c>
      <c r="M54" s="368"/>
      <c r="N54" s="369">
        <v>0</v>
      </c>
      <c r="O54" s="377">
        <v>0</v>
      </c>
      <c r="P54" s="377">
        <f>(SUMIF('FY26-FY28_PREPA Consolidated'!I:I,C54,'FY26-FY28_PREPA Consolidated'!DL:DL)*1000)-H54</f>
        <v>0</v>
      </c>
      <c r="Q54" s="377">
        <f>((SUMIF('FY26-FY28_PREPA Consolidated'!I:I,C54,'FY26-FY28_PREPA Consolidated'!BT:BT)+SUMIF('FY26-FY28_PREPA Consolidated'!I:I,C54,'FY26-FY28_PREPA Consolidated'!CD:CD))*1000)-I54</f>
        <v>0</v>
      </c>
      <c r="R54" s="377">
        <v>0</v>
      </c>
      <c r="S54" s="369"/>
      <c r="T54" s="369">
        <f t="shared" si="28"/>
        <v>0</v>
      </c>
      <c r="U54" s="369">
        <f t="shared" si="29"/>
        <v>0</v>
      </c>
      <c r="V54" s="369"/>
      <c r="W54" s="369">
        <v>0</v>
      </c>
      <c r="X54" s="377">
        <v>0</v>
      </c>
      <c r="Y54" s="369">
        <v>0</v>
      </c>
      <c r="Z54" s="369">
        <v>0</v>
      </c>
      <c r="AA54" s="377">
        <v>0</v>
      </c>
      <c r="AB54" s="369"/>
      <c r="AC54" s="369">
        <f t="shared" si="34"/>
        <v>0</v>
      </c>
      <c r="AD54" s="369"/>
      <c r="AE54" s="369">
        <v>0</v>
      </c>
      <c r="AF54" s="377">
        <v>0</v>
      </c>
      <c r="AG54" s="377">
        <f>(SUMIF('FY26-FY28_PREPA Consolidated'!I:I,C54,'FY26-FY28_PREPA Consolidated'!DY:DY)*1000)-Y54</f>
        <v>0</v>
      </c>
      <c r="AH54" s="377">
        <f>((SUMIF('FY26-FY28_PREPA Consolidated'!I:I,C54,'FY26-FY28_PREPA Consolidated'!DU:DU)+SUMIF('FY26-FY28_PREPA Consolidated'!I:I,C54,'FY26-FY28_PREPA Consolidated'!DW:DW))*1000)-Z54</f>
        <v>0</v>
      </c>
      <c r="AI54" s="377">
        <v>0</v>
      </c>
      <c r="AJ54" s="369"/>
      <c r="AK54" s="369">
        <f t="shared" si="30"/>
        <v>0</v>
      </c>
      <c r="AL54" s="369">
        <f t="shared" si="31"/>
        <v>0</v>
      </c>
      <c r="AM54" s="369"/>
      <c r="AN54" s="369">
        <v>0</v>
      </c>
      <c r="AO54" s="377">
        <v>0</v>
      </c>
      <c r="AP54" s="369">
        <v>0</v>
      </c>
      <c r="AQ54" s="369">
        <v>0</v>
      </c>
      <c r="AR54" s="377">
        <v>0</v>
      </c>
      <c r="AS54" s="369"/>
      <c r="AT54" s="369">
        <f t="shared" si="35"/>
        <v>0</v>
      </c>
      <c r="AU54" s="369"/>
      <c r="AV54" s="369">
        <v>0</v>
      </c>
      <c r="AW54" s="377">
        <v>0</v>
      </c>
      <c r="AX54" s="1066">
        <f>(SUMIF('FY26-FY28_PREPA Consolidated'!I:I,C54,'FY26-FY28_PREPA Consolidated'!EI:EI)*1000)-AP54</f>
        <v>0</v>
      </c>
      <c r="AY54" s="1066">
        <f>((SUMIF('FY26-FY28_PREPA Consolidated'!I:I,C54,'FY26-FY28_PREPA Consolidated'!EE:EE)+SUMIF('FY26-FY28_PREPA Consolidated'!I:I,C54,'FY26-FY28_PREPA Consolidated'!EG:EG))*1000)-AQ54</f>
        <v>0</v>
      </c>
      <c r="AZ54" s="377">
        <v>0</v>
      </c>
      <c r="BA54" s="369"/>
      <c r="BB54" s="369">
        <f t="shared" si="32"/>
        <v>0</v>
      </c>
      <c r="BC54" s="369"/>
      <c r="BD54" s="369">
        <f t="shared" si="33"/>
        <v>0</v>
      </c>
    </row>
    <row r="55" spans="1:56">
      <c r="A55" s="91">
        <f t="shared" si="0"/>
        <v>44</v>
      </c>
      <c r="C55" s="80" t="s">
        <v>456</v>
      </c>
      <c r="D55" s="80"/>
      <c r="F55" s="369">
        <v>0</v>
      </c>
      <c r="G55" s="377">
        <v>6932693.2000000002</v>
      </c>
      <c r="H55" s="369">
        <f>5470000*1.05</f>
        <v>5743500</v>
      </c>
      <c r="I55" s="369">
        <f>21878000*1.05</f>
        <v>22971900</v>
      </c>
      <c r="J55" s="883">
        <v>10833982</v>
      </c>
      <c r="K55" s="369"/>
      <c r="L55" s="370">
        <f t="shared" si="36"/>
        <v>46482075.200000003</v>
      </c>
      <c r="M55" s="368"/>
      <c r="N55" s="369">
        <v>0</v>
      </c>
      <c r="O55" s="369">
        <v>0</v>
      </c>
      <c r="P55" s="377">
        <f>(SUMIF('FY26-FY28_PREPA Consolidated'!I:I,C55,'FY26-FY28_PREPA Consolidated'!DL:DL)*1000)-H55</f>
        <v>-5743500</v>
      </c>
      <c r="Q55" s="377">
        <f>((SUMIF('FY26-FY28_PREPA Consolidated'!I:I,C55,'FY26-FY28_PREPA Consolidated'!BT:BT)+SUMIF('FY26-FY28_PREPA Consolidated'!I:I,C55,'FY26-FY28_PREPA Consolidated'!CD:CD))*1000)-I55</f>
        <v>-22971900</v>
      </c>
      <c r="R55" s="369">
        <v>0</v>
      </c>
      <c r="S55" s="369"/>
      <c r="T55" s="369">
        <f t="shared" si="28"/>
        <v>-28715400</v>
      </c>
      <c r="U55" s="369">
        <f t="shared" si="29"/>
        <v>17766675.200000003</v>
      </c>
      <c r="V55" s="369"/>
      <c r="W55" s="369">
        <v>0</v>
      </c>
      <c r="X55" s="377">
        <v>6305516.1399999997</v>
      </c>
      <c r="Y55" s="369">
        <f>H55*1.05</f>
        <v>6030675</v>
      </c>
      <c r="Z55" s="369">
        <f>I55*1.05</f>
        <v>24120495</v>
      </c>
      <c r="AA55" s="883">
        <v>11139448</v>
      </c>
      <c r="AB55" s="369"/>
      <c r="AC55" s="369">
        <f t="shared" si="34"/>
        <v>47596134.140000001</v>
      </c>
      <c r="AD55" s="369"/>
      <c r="AE55" s="369">
        <v>0</v>
      </c>
      <c r="AF55" s="369">
        <v>0</v>
      </c>
      <c r="AG55" s="377">
        <f>(SUMIF('FY26-FY28_PREPA Consolidated'!I:I,C55,'FY26-FY28_PREPA Consolidated'!DY:DY)*1000)-Y55</f>
        <v>-6030675</v>
      </c>
      <c r="AH55" s="377">
        <f>((SUMIF('FY26-FY28_PREPA Consolidated'!I:I,C55,'FY26-FY28_PREPA Consolidated'!DU:DU)+SUMIF('FY26-FY28_PREPA Consolidated'!I:I,C55,'FY26-FY28_PREPA Consolidated'!DW:DW))*1000)-Z55</f>
        <v>-24120495</v>
      </c>
      <c r="AI55" s="369">
        <v>0</v>
      </c>
      <c r="AJ55" s="369"/>
      <c r="AK55" s="369">
        <f t="shared" si="30"/>
        <v>-30151170</v>
      </c>
      <c r="AL55" s="369">
        <f t="shared" si="31"/>
        <v>17444964.140000001</v>
      </c>
      <c r="AM55" s="369"/>
      <c r="AN55" s="369">
        <v>0</v>
      </c>
      <c r="AO55" s="377">
        <v>6646195.5576999998</v>
      </c>
      <c r="AP55" s="369">
        <f>Y55*1.05</f>
        <v>6332208.75</v>
      </c>
      <c r="AQ55" s="369">
        <f>Z55*1.05</f>
        <v>25326519.75</v>
      </c>
      <c r="AR55" s="883">
        <v>11567343</v>
      </c>
      <c r="AS55" s="369"/>
      <c r="AT55" s="369">
        <f t="shared" si="35"/>
        <v>49872267.057700001</v>
      </c>
      <c r="AU55" s="369"/>
      <c r="AV55" s="369">
        <v>0</v>
      </c>
      <c r="AW55" s="369">
        <v>0</v>
      </c>
      <c r="AX55" s="1066">
        <f>(SUMIF('FY26-FY28_PREPA Consolidated'!I:I,C55,'FY26-FY28_PREPA Consolidated'!EI:EI)*1000)-AP55</f>
        <v>-6332208.75</v>
      </c>
      <c r="AY55" s="1066">
        <f>((SUMIF('FY26-FY28_PREPA Consolidated'!I:I,C55,'FY26-FY28_PREPA Consolidated'!EE:EE)+SUMIF('FY26-FY28_PREPA Consolidated'!I:I,C55,'FY26-FY28_PREPA Consolidated'!EG:EG))*1000)-AQ55</f>
        <v>-25326519.75</v>
      </c>
      <c r="AZ55" s="369">
        <v>0</v>
      </c>
      <c r="BA55" s="369"/>
      <c r="BB55" s="369">
        <f t="shared" si="32"/>
        <v>-31658728.5</v>
      </c>
      <c r="BC55" s="369"/>
      <c r="BD55" s="369">
        <f t="shared" si="33"/>
        <v>18213538.557700001</v>
      </c>
    </row>
    <row r="56" spans="1:56">
      <c r="A56" s="91">
        <f t="shared" si="0"/>
        <v>45</v>
      </c>
      <c r="C56" s="792" t="s">
        <v>324</v>
      </c>
      <c r="D56" s="874"/>
      <c r="E56" s="2"/>
      <c r="F56" s="779">
        <f>SUM(F36:F55)</f>
        <v>51664202.225740001</v>
      </c>
      <c r="G56" s="779">
        <f t="shared" ref="G56:BD56" si="37">SUM(G36:G55)</f>
        <v>191972217.94</v>
      </c>
      <c r="H56" s="779">
        <f t="shared" si="37"/>
        <v>5743500</v>
      </c>
      <c r="I56" s="779">
        <f t="shared" si="37"/>
        <v>22971900</v>
      </c>
      <c r="J56" s="779">
        <f t="shared" si="37"/>
        <v>619324776</v>
      </c>
      <c r="K56" s="653"/>
      <c r="L56" s="779">
        <f t="shared" si="37"/>
        <v>891676596.16574013</v>
      </c>
      <c r="M56" s="779">
        <f t="shared" si="37"/>
        <v>0</v>
      </c>
      <c r="N56" s="779">
        <f t="shared" si="37"/>
        <v>27074981.774259999</v>
      </c>
      <c r="O56" s="779">
        <f t="shared" si="37"/>
        <v>1000000</v>
      </c>
      <c r="P56" s="779">
        <f t="shared" si="37"/>
        <v>847118.95000000019</v>
      </c>
      <c r="Q56" s="779">
        <f t="shared" si="37"/>
        <v>16289145.829999998</v>
      </c>
      <c r="R56" s="779">
        <f t="shared" si="37"/>
        <v>-3150000</v>
      </c>
      <c r="S56" s="653"/>
      <c r="T56" s="779">
        <f t="shared" si="37"/>
        <v>42061246.554260001</v>
      </c>
      <c r="U56" s="779">
        <f t="shared" si="37"/>
        <v>933737842.72000015</v>
      </c>
      <c r="V56" s="653"/>
      <c r="W56" s="779">
        <f t="shared" si="37"/>
        <v>30928521.335444</v>
      </c>
      <c r="X56" s="779">
        <f t="shared" si="37"/>
        <v>187112395.49049997</v>
      </c>
      <c r="Y56" s="779">
        <f t="shared" si="37"/>
        <v>6030675</v>
      </c>
      <c r="Z56" s="779">
        <f t="shared" si="37"/>
        <v>24120495</v>
      </c>
      <c r="AA56" s="779">
        <f t="shared" si="37"/>
        <v>706631259</v>
      </c>
      <c r="AB56" s="653"/>
      <c r="AC56" s="779">
        <f t="shared" si="37"/>
        <v>954823345.82594395</v>
      </c>
      <c r="AD56" s="653"/>
      <c r="AE56" s="779">
        <f t="shared" si="37"/>
        <v>12428571</v>
      </c>
      <c r="AF56" s="779">
        <f t="shared" si="37"/>
        <v>1000000</v>
      </c>
      <c r="AG56" s="779">
        <f t="shared" si="37"/>
        <v>543548.68860580213</v>
      </c>
      <c r="AH56" s="779">
        <f t="shared" si="37"/>
        <v>19807866.213598721</v>
      </c>
      <c r="AI56" s="779">
        <f t="shared" si="37"/>
        <v>-3000000</v>
      </c>
      <c r="AJ56" s="653"/>
      <c r="AK56" s="779">
        <f t="shared" si="37"/>
        <v>30779985.902204521</v>
      </c>
      <c r="AL56" s="779">
        <f t="shared" si="37"/>
        <v>985603331.72814846</v>
      </c>
      <c r="AM56" s="653"/>
      <c r="AN56" s="779">
        <f t="shared" si="37"/>
        <v>15291050.556435</v>
      </c>
      <c r="AO56" s="779">
        <f t="shared" si="37"/>
        <v>190922948.09062502</v>
      </c>
      <c r="AP56" s="779">
        <f t="shared" si="37"/>
        <v>6332208.75</v>
      </c>
      <c r="AQ56" s="779">
        <f t="shared" si="37"/>
        <v>25326519.75</v>
      </c>
      <c r="AR56" s="779">
        <f t="shared" si="37"/>
        <v>765875008</v>
      </c>
      <c r="AS56" s="653"/>
      <c r="AT56" s="779">
        <f t="shared" si="37"/>
        <v>1003747735.14706</v>
      </c>
      <c r="AU56" s="653"/>
      <c r="AV56" s="779">
        <f t="shared" si="37"/>
        <v>13572272.443565</v>
      </c>
      <c r="AW56" s="779">
        <f t="shared" si="37"/>
        <v>1000000</v>
      </c>
      <c r="AX56" s="779">
        <f t="shared" si="37"/>
        <v>357663.15924220532</v>
      </c>
      <c r="AY56" s="779">
        <f t="shared" si="37"/>
        <v>16432084.59696164</v>
      </c>
      <c r="AZ56" s="779">
        <f t="shared" si="37"/>
        <v>-3000000</v>
      </c>
      <c r="BA56" s="653"/>
      <c r="BB56" s="779">
        <f t="shared" si="37"/>
        <v>28362020.199768841</v>
      </c>
      <c r="BC56" s="653"/>
      <c r="BD56" s="779">
        <f t="shared" si="37"/>
        <v>1032109755.3468289</v>
      </c>
    </row>
    <row r="57" spans="1:56">
      <c r="A57" s="91"/>
      <c r="C57" s="757"/>
      <c r="D57" s="757"/>
      <c r="F57" s="652"/>
      <c r="G57" s="652"/>
      <c r="H57" s="652"/>
      <c r="I57" s="652"/>
      <c r="J57" s="652"/>
      <c r="K57" s="653"/>
      <c r="L57" s="881"/>
      <c r="M57" s="368"/>
      <c r="N57" s="652"/>
      <c r="O57" s="652"/>
      <c r="P57" s="652"/>
      <c r="Q57" s="652"/>
      <c r="R57" s="652"/>
      <c r="S57" s="653"/>
      <c r="T57" s="652">
        <f t="shared" si="28"/>
        <v>0</v>
      </c>
      <c r="U57" s="652">
        <f t="shared" si="29"/>
        <v>0</v>
      </c>
      <c r="V57" s="653"/>
      <c r="W57" s="652"/>
      <c r="X57" s="652"/>
      <c r="Y57" s="652"/>
      <c r="Z57" s="652"/>
      <c r="AA57" s="652"/>
      <c r="AB57" s="653"/>
      <c r="AC57" s="652"/>
      <c r="AD57" s="653"/>
      <c r="AE57" s="652"/>
      <c r="AF57" s="652"/>
      <c r="AG57" s="652"/>
      <c r="AH57" s="652"/>
      <c r="AI57" s="652"/>
      <c r="AJ57" s="653"/>
      <c r="AK57" s="652">
        <f t="shared" si="30"/>
        <v>0</v>
      </c>
      <c r="AL57" s="652">
        <f t="shared" si="31"/>
        <v>0</v>
      </c>
      <c r="AM57" s="653"/>
      <c r="AN57" s="652"/>
      <c r="AO57" s="652"/>
      <c r="AP57" s="652"/>
      <c r="AQ57" s="652"/>
      <c r="AR57" s="652"/>
      <c r="AS57" s="653"/>
      <c r="AT57" s="652"/>
      <c r="AU57" s="653"/>
      <c r="AV57" s="652"/>
      <c r="AW57" s="652"/>
      <c r="AX57" s="652"/>
      <c r="AY57" s="652"/>
      <c r="AZ57" s="652"/>
      <c r="BA57" s="653"/>
      <c r="BB57" s="652">
        <f t="shared" si="32"/>
        <v>0</v>
      </c>
      <c r="BC57" s="653"/>
      <c r="BD57" s="652">
        <f t="shared" si="33"/>
        <v>0</v>
      </c>
    </row>
    <row r="58" spans="1:56">
      <c r="A58" s="91">
        <f>IF(C58&lt;&gt;"",MAX(A54:A56)+1,"")</f>
        <v>46</v>
      </c>
      <c r="C58" s="792" t="s">
        <v>325</v>
      </c>
      <c r="D58" s="874"/>
      <c r="E58" s="2"/>
      <c r="F58" s="779">
        <f>F24+F33+F56</f>
        <v>2488377502.0664296</v>
      </c>
      <c r="G58" s="779">
        <f t="shared" ref="G58:BD58" si="38">G24+G33+G56</f>
        <v>305593370.07010585</v>
      </c>
      <c r="H58" s="779">
        <f t="shared" si="38"/>
        <v>10361400</v>
      </c>
      <c r="I58" s="779">
        <f t="shared" si="38"/>
        <v>31258500</v>
      </c>
      <c r="J58" s="779">
        <f t="shared" si="38"/>
        <v>1012675138.3162749</v>
      </c>
      <c r="K58" s="653"/>
      <c r="L58" s="779">
        <f t="shared" si="38"/>
        <v>3848265910.4528103</v>
      </c>
      <c r="M58" s="779">
        <f t="shared" si="38"/>
        <v>0</v>
      </c>
      <c r="N58" s="779">
        <f t="shared" si="38"/>
        <v>27074981.774259999</v>
      </c>
      <c r="O58" s="779">
        <f t="shared" si="38"/>
        <v>1000000</v>
      </c>
      <c r="P58" s="779">
        <f t="shared" si="38"/>
        <v>3446017.5811856068</v>
      </c>
      <c r="Q58" s="779">
        <f t="shared" si="38"/>
        <v>18844051.466509998</v>
      </c>
      <c r="R58" s="779">
        <f t="shared" si="38"/>
        <v>-3150000</v>
      </c>
      <c r="S58" s="653"/>
      <c r="T58" s="779">
        <f t="shared" si="38"/>
        <v>47215050.821955606</v>
      </c>
      <c r="U58" s="779">
        <f t="shared" si="38"/>
        <v>3895480961.2747664</v>
      </c>
      <c r="V58" s="653"/>
      <c r="W58" s="779">
        <f t="shared" si="38"/>
        <v>2394738539.408072</v>
      </c>
      <c r="X58" s="779">
        <f t="shared" si="38"/>
        <v>303750435.93733656</v>
      </c>
      <c r="Y58" s="779">
        <f t="shared" si="38"/>
        <v>10879470</v>
      </c>
      <c r="Z58" s="779">
        <f t="shared" si="38"/>
        <v>32821425</v>
      </c>
      <c r="AA58" s="779">
        <f t="shared" si="38"/>
        <v>1146574384</v>
      </c>
      <c r="AB58" s="653"/>
      <c r="AC58" s="779">
        <f t="shared" si="38"/>
        <v>3888764254.3454084</v>
      </c>
      <c r="AD58" s="653"/>
      <c r="AE58" s="779">
        <f t="shared" si="38"/>
        <v>12428571</v>
      </c>
      <c r="AF58" s="779">
        <f t="shared" si="38"/>
        <v>1000000</v>
      </c>
      <c r="AG58" s="779">
        <f t="shared" si="38"/>
        <v>3029347.9898189409</v>
      </c>
      <c r="AH58" s="779">
        <f t="shared" si="38"/>
        <v>22125401.536227912</v>
      </c>
      <c r="AI58" s="779">
        <f t="shared" si="38"/>
        <v>-3000000</v>
      </c>
      <c r="AJ58" s="653"/>
      <c r="AK58" s="779">
        <f t="shared" si="38"/>
        <v>35583320.52604685</v>
      </c>
      <c r="AL58" s="779">
        <f t="shared" si="38"/>
        <v>3924347574.8714552</v>
      </c>
      <c r="AM58" s="653"/>
      <c r="AN58" s="779">
        <f t="shared" si="38"/>
        <v>2327923047.8996034</v>
      </c>
      <c r="AO58" s="779">
        <f t="shared" si="38"/>
        <v>310819227.91953087</v>
      </c>
      <c r="AP58" s="779">
        <f t="shared" si="38"/>
        <v>11423443.5</v>
      </c>
      <c r="AQ58" s="779">
        <f t="shared" si="38"/>
        <v>34462496.25</v>
      </c>
      <c r="AR58" s="779">
        <f t="shared" si="38"/>
        <v>1241732620</v>
      </c>
      <c r="AS58" s="653"/>
      <c r="AT58" s="779">
        <f t="shared" si="38"/>
        <v>3926360835.5691342</v>
      </c>
      <c r="AU58" s="653"/>
      <c r="AV58" s="779">
        <f t="shared" si="38"/>
        <v>13572272.443565</v>
      </c>
      <c r="AW58" s="779">
        <f t="shared" si="38"/>
        <v>1000000</v>
      </c>
      <c r="AX58" s="779">
        <f t="shared" si="38"/>
        <v>2725043.9238391323</v>
      </c>
      <c r="AY58" s="779">
        <f t="shared" si="38"/>
        <v>18500885.488509711</v>
      </c>
      <c r="AZ58" s="779">
        <f t="shared" si="38"/>
        <v>-3000000</v>
      </c>
      <c r="BA58" s="653"/>
      <c r="BB58" s="779">
        <f t="shared" si="38"/>
        <v>32798201.85591384</v>
      </c>
      <c r="BC58" s="653"/>
      <c r="BD58" s="779">
        <f t="shared" si="38"/>
        <v>3959159037.4250479</v>
      </c>
    </row>
    <row r="59" spans="1:56">
      <c r="A59" s="91"/>
      <c r="C59" s="757"/>
      <c r="D59" s="757"/>
      <c r="F59" s="653"/>
      <c r="G59" s="653"/>
      <c r="H59" s="653"/>
      <c r="I59" s="653"/>
      <c r="J59" s="653"/>
      <c r="K59" s="653"/>
      <c r="L59" s="877"/>
      <c r="M59" s="368"/>
      <c r="N59" s="653"/>
      <c r="O59" s="653"/>
      <c r="P59" s="653"/>
      <c r="Q59" s="653"/>
      <c r="R59" s="653"/>
      <c r="S59" s="653"/>
      <c r="T59" s="653">
        <f t="shared" si="28"/>
        <v>0</v>
      </c>
      <c r="U59" s="653">
        <f t="shared" si="29"/>
        <v>0</v>
      </c>
      <c r="V59" s="653"/>
      <c r="W59" s="653"/>
      <c r="X59" s="653"/>
      <c r="Y59" s="653"/>
      <c r="Z59" s="653"/>
      <c r="AA59" s="653"/>
      <c r="AB59" s="653"/>
      <c r="AC59" s="653"/>
      <c r="AD59" s="653"/>
      <c r="AE59" s="653"/>
      <c r="AF59" s="653"/>
      <c r="AG59" s="653"/>
      <c r="AH59" s="653"/>
      <c r="AI59" s="653"/>
      <c r="AJ59" s="653"/>
      <c r="AK59" s="653">
        <f t="shared" si="30"/>
        <v>0</v>
      </c>
      <c r="AL59" s="653">
        <f t="shared" si="31"/>
        <v>0</v>
      </c>
      <c r="AM59" s="653"/>
      <c r="AN59" s="653"/>
      <c r="AO59" s="653"/>
      <c r="AP59" s="653"/>
      <c r="AQ59" s="653"/>
      <c r="AR59" s="653"/>
      <c r="AS59" s="653"/>
      <c r="AT59" s="653"/>
      <c r="AU59" s="653"/>
      <c r="AV59" s="653"/>
      <c r="AW59" s="653"/>
      <c r="AX59" s="653"/>
      <c r="AY59" s="653"/>
      <c r="AZ59" s="653"/>
      <c r="BA59" s="653"/>
      <c r="BB59" s="653">
        <f t="shared" si="32"/>
        <v>0</v>
      </c>
      <c r="BC59" s="653"/>
      <c r="BD59" s="653">
        <f t="shared" si="33"/>
        <v>0</v>
      </c>
    </row>
    <row r="60" spans="1:56">
      <c r="A60" s="91">
        <f>IF(C60&lt;&gt;"",MAX(A55:A58)+1,"")</f>
        <v>47</v>
      </c>
      <c r="C60" s="80" t="s">
        <v>326</v>
      </c>
      <c r="D60" s="80"/>
      <c r="E60" s="2"/>
      <c r="F60" s="369">
        <v>0</v>
      </c>
      <c r="G60" s="369">
        <v>0</v>
      </c>
      <c r="H60" s="369">
        <v>2537000</v>
      </c>
      <c r="I60" s="369">
        <v>3805000</v>
      </c>
      <c r="J60" s="369">
        <v>0</v>
      </c>
      <c r="K60" s="369"/>
      <c r="L60" s="370">
        <f t="shared" ref="L60" si="39">SUM(F60:J60)</f>
        <v>6342000</v>
      </c>
      <c r="M60" s="368"/>
      <c r="N60" s="369">
        <v>0</v>
      </c>
      <c r="O60" s="369">
        <v>0</v>
      </c>
      <c r="P60" s="377">
        <f>(SUMIF('FY26-FY28_PREPA Consolidated'!I:I,C60,'FY26-FY28_PREPA Consolidated'!DL:DL)*1000)-H60</f>
        <v>268381.60000000056</v>
      </c>
      <c r="Q60" s="377">
        <f>((SUMIF('FY26-FY28_PREPA Consolidated'!I:I,C60,'FY26-FY28_PREPA Consolidated'!BT:BT)+SUMIF('FY26-FY28_PREPA Consolidated'!I:I,C60,'FY26-FY28_PREPA Consolidated'!CD:CD))*1000)-I60</f>
        <v>403072.40000000037</v>
      </c>
      <c r="R60" s="369">
        <v>0</v>
      </c>
      <c r="S60" s="369"/>
      <c r="T60" s="369">
        <f t="shared" si="28"/>
        <v>671454.00000000093</v>
      </c>
      <c r="U60" s="369">
        <f t="shared" si="29"/>
        <v>7013454.0000000009</v>
      </c>
      <c r="V60" s="369"/>
      <c r="W60" s="369">
        <v>0</v>
      </c>
      <c r="X60" s="369">
        <v>0</v>
      </c>
      <c r="Y60" s="369">
        <f>H60*1.05</f>
        <v>2663850</v>
      </c>
      <c r="Z60" s="369">
        <f>I60*1.05</f>
        <v>3995250</v>
      </c>
      <c r="AA60" s="369">
        <v>0</v>
      </c>
      <c r="AB60" s="369"/>
      <c r="AC60" s="369">
        <f t="shared" ref="AC60" si="40">SUM(W60:AA60)</f>
        <v>6659100</v>
      </c>
      <c r="AD60" s="369"/>
      <c r="AE60" s="369">
        <v>0</v>
      </c>
      <c r="AF60" s="369">
        <v>0</v>
      </c>
      <c r="AG60" s="377">
        <f>(SUMIF('FY26-FY28_PREPA Consolidated'!I:I,C60,'FY26-FY28_PREPA Consolidated'!DY:DY)*1000)-Y60</f>
        <v>-358830.73518803995</v>
      </c>
      <c r="AH60" s="377">
        <f>((SUMIF('FY26-FY28_PREPA Consolidated'!I:I,C60,'FY26-FY28_PREPA Consolidated'!DU:DU)+SUMIF('FY26-FY28_PREPA Consolidated'!I:I,C60,'FY26-FY28_PREPA Consolidated'!DW:DW))*1000)-Z60</f>
        <v>-537721.10278206039</v>
      </c>
      <c r="AI60" s="369">
        <v>0</v>
      </c>
      <c r="AJ60" s="369"/>
      <c r="AK60" s="369">
        <f t="shared" si="30"/>
        <v>-896551.83797010034</v>
      </c>
      <c r="AL60" s="369">
        <f t="shared" si="31"/>
        <v>5762548.1620298997</v>
      </c>
      <c r="AM60" s="369"/>
      <c r="AN60" s="369">
        <v>0</v>
      </c>
      <c r="AO60" s="369">
        <v>0</v>
      </c>
      <c r="AP60" s="369">
        <f>Y60*1.05</f>
        <v>2797042.5</v>
      </c>
      <c r="AQ60" s="369">
        <f>Z60*1.05</f>
        <v>4195012.5</v>
      </c>
      <c r="AR60" s="369">
        <v>0</v>
      </c>
      <c r="AS60" s="369"/>
      <c r="AT60" s="369">
        <f t="shared" ref="AT60" si="41">SUM(AN60:AR60)</f>
        <v>6992055</v>
      </c>
      <c r="AU60" s="369"/>
      <c r="AV60" s="369">
        <v>0</v>
      </c>
      <c r="AW60" s="369">
        <v>0</v>
      </c>
      <c r="AX60" s="1066">
        <f>(SUMIF('FY26-FY28_PREPA Consolidated'!I:I,C60,'FY26-FY28_PREPA Consolidated'!EI:EI)*1000)-AP60</f>
        <v>-453047.48897018796</v>
      </c>
      <c r="AY60" s="1066">
        <f>((SUMIF('FY26-FY28_PREPA Consolidated'!I:I,C60,'FY26-FY28_PREPA Consolidated'!EE:EE)+SUMIF('FY26-FY28_PREPA Consolidated'!I:I,C60,'FY26-FY28_PREPA Consolidated'!EG:EG))*1000)-AQ60</f>
        <v>-679019.98345528217</v>
      </c>
      <c r="AZ60" s="369">
        <v>0</v>
      </c>
      <c r="BA60" s="369"/>
      <c r="BB60" s="369">
        <f t="shared" si="32"/>
        <v>-1132067.4724254701</v>
      </c>
      <c r="BC60" s="369"/>
      <c r="BD60" s="369">
        <f t="shared" si="33"/>
        <v>5859987.5275745299</v>
      </c>
    </row>
    <row r="61" spans="1:56">
      <c r="A61" s="91">
        <f>IF(C61&lt;&gt;"",MAX(A58:A60)+1,"")</f>
        <v>48</v>
      </c>
      <c r="C61" s="792" t="s">
        <v>327</v>
      </c>
      <c r="D61" s="874"/>
      <c r="F61" s="779">
        <f>F58+SUM(F60:F60)</f>
        <v>2488377502.0664296</v>
      </c>
      <c r="G61" s="779">
        <f t="shared" ref="G61:BD61" si="42">G58+SUM(G60:G60)</f>
        <v>305593370.07010585</v>
      </c>
      <c r="H61" s="779">
        <f t="shared" si="42"/>
        <v>12898400</v>
      </c>
      <c r="I61" s="779">
        <f t="shared" si="42"/>
        <v>35063500</v>
      </c>
      <c r="J61" s="779">
        <f t="shared" si="42"/>
        <v>1012675138.3162749</v>
      </c>
      <c r="K61" s="653"/>
      <c r="L61" s="779">
        <f t="shared" si="42"/>
        <v>3854607910.4528103</v>
      </c>
      <c r="M61" s="779">
        <f t="shared" si="42"/>
        <v>0</v>
      </c>
      <c r="N61" s="779">
        <f t="shared" si="42"/>
        <v>27074981.774259999</v>
      </c>
      <c r="O61" s="779">
        <f t="shared" si="42"/>
        <v>1000000</v>
      </c>
      <c r="P61" s="779">
        <f t="shared" si="42"/>
        <v>3714399.1811856073</v>
      </c>
      <c r="Q61" s="779">
        <f t="shared" si="42"/>
        <v>19247123.866509996</v>
      </c>
      <c r="R61" s="779">
        <f t="shared" si="42"/>
        <v>-3150000</v>
      </c>
      <c r="S61" s="653"/>
      <c r="T61" s="779">
        <f t="shared" si="42"/>
        <v>47886504.821955606</v>
      </c>
      <c r="U61" s="779">
        <f t="shared" si="42"/>
        <v>3902494415.2747664</v>
      </c>
      <c r="V61" s="653"/>
      <c r="W61" s="779">
        <f t="shared" si="42"/>
        <v>2394738539.408072</v>
      </c>
      <c r="X61" s="779">
        <f t="shared" si="42"/>
        <v>303750435.93733656</v>
      </c>
      <c r="Y61" s="779">
        <f t="shared" si="42"/>
        <v>13543320</v>
      </c>
      <c r="Z61" s="779">
        <f t="shared" si="42"/>
        <v>36816675</v>
      </c>
      <c r="AA61" s="779">
        <f t="shared" si="42"/>
        <v>1146574384</v>
      </c>
      <c r="AB61" s="653"/>
      <c r="AC61" s="779">
        <f t="shared" si="42"/>
        <v>3895423354.3454084</v>
      </c>
      <c r="AD61" s="653"/>
      <c r="AE61" s="779">
        <f t="shared" si="42"/>
        <v>12428571</v>
      </c>
      <c r="AF61" s="779">
        <f t="shared" si="42"/>
        <v>1000000</v>
      </c>
      <c r="AG61" s="779">
        <f t="shared" si="42"/>
        <v>2670517.2546309009</v>
      </c>
      <c r="AH61" s="779">
        <f t="shared" si="42"/>
        <v>21587680.433445852</v>
      </c>
      <c r="AI61" s="779">
        <f t="shared" si="42"/>
        <v>-3000000</v>
      </c>
      <c r="AJ61" s="653"/>
      <c r="AK61" s="779">
        <f t="shared" si="42"/>
        <v>34686768.688076749</v>
      </c>
      <c r="AL61" s="779">
        <f t="shared" si="42"/>
        <v>3930110123.0334849</v>
      </c>
      <c r="AM61" s="653"/>
      <c r="AN61" s="779">
        <f t="shared" si="42"/>
        <v>2327923047.8996034</v>
      </c>
      <c r="AO61" s="779">
        <f t="shared" si="42"/>
        <v>310819227.91953087</v>
      </c>
      <c r="AP61" s="779">
        <f t="shared" si="42"/>
        <v>14220486</v>
      </c>
      <c r="AQ61" s="779">
        <f t="shared" si="42"/>
        <v>38657508.75</v>
      </c>
      <c r="AR61" s="779">
        <f t="shared" si="42"/>
        <v>1241732620</v>
      </c>
      <c r="AS61" s="653"/>
      <c r="AT61" s="779">
        <f t="shared" si="42"/>
        <v>3933352890.5691342</v>
      </c>
      <c r="AU61" s="653"/>
      <c r="AV61" s="779">
        <f t="shared" si="42"/>
        <v>13572272.443565</v>
      </c>
      <c r="AW61" s="779">
        <f t="shared" si="42"/>
        <v>1000000</v>
      </c>
      <c r="AX61" s="779">
        <f t="shared" si="42"/>
        <v>2271996.4348689443</v>
      </c>
      <c r="AY61" s="779">
        <f t="shared" si="42"/>
        <v>17821865.505054429</v>
      </c>
      <c r="AZ61" s="779">
        <f t="shared" si="42"/>
        <v>-3000000</v>
      </c>
      <c r="BA61" s="653"/>
      <c r="BB61" s="779">
        <f t="shared" si="42"/>
        <v>31666134.383488372</v>
      </c>
      <c r="BC61" s="653"/>
      <c r="BD61" s="779">
        <f t="shared" si="42"/>
        <v>3965019024.9526224</v>
      </c>
    </row>
    <row r="62" spans="1:56">
      <c r="A62" s="91"/>
      <c r="C62" s="757"/>
      <c r="D62" s="757"/>
      <c r="E62" s="2"/>
      <c r="F62" s="653"/>
      <c r="G62" s="653"/>
      <c r="H62" s="653"/>
      <c r="I62" s="653"/>
      <c r="J62" s="653"/>
      <c r="K62" s="653"/>
      <c r="L62" s="877"/>
      <c r="M62" s="368"/>
      <c r="N62" s="653"/>
      <c r="O62" s="653"/>
      <c r="P62" s="653"/>
      <c r="Q62" s="653"/>
      <c r="R62" s="653"/>
      <c r="S62" s="653"/>
      <c r="T62" s="653">
        <f t="shared" si="28"/>
        <v>0</v>
      </c>
      <c r="U62" s="653">
        <f t="shared" si="29"/>
        <v>0</v>
      </c>
      <c r="V62" s="653"/>
      <c r="W62" s="653"/>
      <c r="X62" s="653"/>
      <c r="Y62" s="653"/>
      <c r="Z62" s="653"/>
      <c r="AA62" s="653"/>
      <c r="AB62" s="653"/>
      <c r="AC62" s="653"/>
      <c r="AD62" s="653"/>
      <c r="AE62" s="653"/>
      <c r="AF62" s="653"/>
      <c r="AG62" s="653"/>
      <c r="AH62" s="653"/>
      <c r="AI62" s="653"/>
      <c r="AJ62" s="653"/>
      <c r="AK62" s="653">
        <f t="shared" si="30"/>
        <v>0</v>
      </c>
      <c r="AL62" s="653">
        <f t="shared" si="31"/>
        <v>0</v>
      </c>
      <c r="AM62" s="653"/>
      <c r="AN62" s="653"/>
      <c r="AO62" s="653"/>
      <c r="AP62" s="653"/>
      <c r="AQ62" s="653"/>
      <c r="AR62" s="653"/>
      <c r="AS62" s="653"/>
      <c r="AT62" s="653"/>
      <c r="AU62" s="653"/>
      <c r="AV62" s="653"/>
      <c r="AW62" s="653"/>
      <c r="AX62" s="653"/>
      <c r="AY62" s="653"/>
      <c r="AZ62" s="653"/>
      <c r="BA62" s="653"/>
      <c r="BB62" s="653">
        <f t="shared" si="32"/>
        <v>0</v>
      </c>
      <c r="BC62" s="653"/>
      <c r="BD62" s="653">
        <f t="shared" si="33"/>
        <v>0</v>
      </c>
    </row>
    <row r="63" spans="1:56">
      <c r="A63" s="91">
        <f t="shared" si="0"/>
        <v>49</v>
      </c>
      <c r="C63" s="80" t="s">
        <v>328</v>
      </c>
      <c r="D63" s="80"/>
      <c r="F63" s="369">
        <v>0</v>
      </c>
      <c r="G63" s="369">
        <v>0</v>
      </c>
      <c r="H63" s="369">
        <v>0</v>
      </c>
      <c r="I63" s="369">
        <v>0</v>
      </c>
      <c r="J63" s="369">
        <v>139367260.62835845</v>
      </c>
      <c r="K63" s="369"/>
      <c r="L63" s="370">
        <f t="shared" ref="L63:L72" si="43">SUM(F63:J63)</f>
        <v>139367260.62835845</v>
      </c>
      <c r="M63" s="368"/>
      <c r="N63" s="369">
        <v>0</v>
      </c>
      <c r="O63" s="369">
        <v>0</v>
      </c>
      <c r="P63" s="377">
        <f>(SUMIF('FY26-FY28_PREPA Consolidated'!I:I,C63,'FY26-FY28_PREPA Consolidated'!DL:DL)*1000)-H63</f>
        <v>0</v>
      </c>
      <c r="Q63" s="377">
        <f>((SUMIF('FY26-FY28_PREPA Consolidated'!I:I,C63,'FY26-FY28_PREPA Consolidated'!BT:BT)+SUMIF('FY26-FY28_PREPA Consolidated'!I:I,C63,'FY26-FY28_PREPA Consolidated'!CD:CD))*1000)-I63</f>
        <v>0</v>
      </c>
      <c r="R63" s="369">
        <v>0</v>
      </c>
      <c r="S63" s="369"/>
      <c r="T63" s="369">
        <f t="shared" si="28"/>
        <v>0</v>
      </c>
      <c r="U63" s="369">
        <f t="shared" si="29"/>
        <v>139367260.62835845</v>
      </c>
      <c r="V63" s="369"/>
      <c r="W63" s="369">
        <v>0</v>
      </c>
      <c r="X63" s="369">
        <v>0</v>
      </c>
      <c r="Y63" s="369">
        <v>0</v>
      </c>
      <c r="Z63" s="369">
        <v>0</v>
      </c>
      <c r="AA63" s="369">
        <v>103711031.67572564</v>
      </c>
      <c r="AB63" s="369"/>
      <c r="AC63" s="369">
        <f t="shared" ref="AC63:AC72" si="44">SUM(W63:AA63)</f>
        <v>103711031.67572564</v>
      </c>
      <c r="AD63" s="369"/>
      <c r="AE63" s="369">
        <v>0</v>
      </c>
      <c r="AF63" s="369">
        <v>0</v>
      </c>
      <c r="AG63" s="377">
        <f>(SUMIF('FY26-FY28_PREPA Consolidated'!I:I,C63,'FY26-FY28_PREPA Consolidated'!DY:DY)*1000)-Y63</f>
        <v>0</v>
      </c>
      <c r="AH63" s="377">
        <f>((SUMIF('FY26-FY28_PREPA Consolidated'!I:I,C63,'FY26-FY28_PREPA Consolidated'!DU:DU)+SUMIF('FY26-FY28_PREPA Consolidated'!I:I,C63,'FY26-FY28_PREPA Consolidated'!DW:DW))*1000)-Z63</f>
        <v>0</v>
      </c>
      <c r="AI63" s="369">
        <v>0</v>
      </c>
      <c r="AJ63" s="369"/>
      <c r="AK63" s="369">
        <f t="shared" si="30"/>
        <v>0</v>
      </c>
      <c r="AL63" s="369">
        <f t="shared" si="31"/>
        <v>103711031.67572564</v>
      </c>
      <c r="AM63" s="369"/>
      <c r="AN63" s="369">
        <v>0</v>
      </c>
      <c r="AO63" s="369">
        <v>0</v>
      </c>
      <c r="AP63" s="369">
        <v>0</v>
      </c>
      <c r="AQ63" s="369">
        <v>0</v>
      </c>
      <c r="AR63" s="369">
        <v>137717441.62652031</v>
      </c>
      <c r="AS63" s="369"/>
      <c r="AT63" s="369">
        <f t="shared" ref="AT63:AT72" si="45">SUM(AN63:AR63)</f>
        <v>137717441.62652031</v>
      </c>
      <c r="AU63" s="369"/>
      <c r="AV63" s="369">
        <v>0</v>
      </c>
      <c r="AW63" s="369">
        <v>0</v>
      </c>
      <c r="AX63" s="1066">
        <f>(SUMIF('FY26-FY28_PREPA Consolidated'!I:I,C63,'FY26-FY28_PREPA Consolidated'!EI:EI)*1000)-AP63</f>
        <v>0</v>
      </c>
      <c r="AY63" s="1066">
        <f>((SUMIF('FY26-FY28_PREPA Consolidated'!I:I,C63,'FY26-FY28_PREPA Consolidated'!EE:EE)+SUMIF('FY26-FY28_PREPA Consolidated'!I:I,C63,'FY26-FY28_PREPA Consolidated'!EG:EG))*1000)-AQ63</f>
        <v>0</v>
      </c>
      <c r="AZ63" s="369">
        <v>0</v>
      </c>
      <c r="BA63" s="369"/>
      <c r="BB63" s="369">
        <f t="shared" si="32"/>
        <v>0</v>
      </c>
      <c r="BC63" s="369"/>
      <c r="BD63" s="369">
        <f t="shared" si="33"/>
        <v>137717441.62652031</v>
      </c>
    </row>
    <row r="64" spans="1:56">
      <c r="A64" s="91">
        <f t="shared" si="0"/>
        <v>50</v>
      </c>
      <c r="C64" s="80" t="s">
        <v>288</v>
      </c>
      <c r="D64" s="80"/>
      <c r="E64" s="2"/>
      <c r="F64" s="369">
        <v>158980998.42899999</v>
      </c>
      <c r="G64" s="369">
        <v>0</v>
      </c>
      <c r="H64" s="369">
        <v>0</v>
      </c>
      <c r="I64" s="369">
        <v>0</v>
      </c>
      <c r="J64" s="369">
        <v>0</v>
      </c>
      <c r="K64" s="369"/>
      <c r="L64" s="370">
        <f>SUM(F64:J64)</f>
        <v>158980998.42899999</v>
      </c>
      <c r="M64" s="368"/>
      <c r="N64" s="369">
        <v>0</v>
      </c>
      <c r="O64" s="369">
        <v>0</v>
      </c>
      <c r="P64" s="377">
        <f>(SUMIF('FY26-FY28_PREPA Consolidated'!I:I,C64,'FY26-FY28_PREPA Consolidated'!DL:DL)*1000)-H64</f>
        <v>0</v>
      </c>
      <c r="Q64" s="377">
        <f>((SUMIF('FY26-FY28_PREPA Consolidated'!I:I,C64,'FY26-FY28_PREPA Consolidated'!BT:BT)+SUMIF('FY26-FY28_PREPA Consolidated'!I:I,C64,'FY26-FY28_PREPA Consolidated'!CD:CD))*1000)-I64</f>
        <v>0</v>
      </c>
      <c r="R64" s="369">
        <v>0</v>
      </c>
      <c r="S64" s="369"/>
      <c r="T64" s="369">
        <f t="shared" si="28"/>
        <v>0</v>
      </c>
      <c r="U64" s="369">
        <f t="shared" si="29"/>
        <v>158980998.42899999</v>
      </c>
      <c r="V64" s="369"/>
      <c r="W64" s="369">
        <v>166713168.24360001</v>
      </c>
      <c r="X64" s="369">
        <v>0</v>
      </c>
      <c r="Y64" s="369">
        <v>0</v>
      </c>
      <c r="Z64" s="369">
        <v>0</v>
      </c>
      <c r="AA64" s="369">
        <v>0</v>
      </c>
      <c r="AB64" s="369"/>
      <c r="AC64" s="369">
        <f>SUM(W64:AA64)</f>
        <v>166713168.24360001</v>
      </c>
      <c r="AD64" s="369"/>
      <c r="AE64" s="369">
        <v>0</v>
      </c>
      <c r="AF64" s="369">
        <v>0</v>
      </c>
      <c r="AG64" s="377">
        <f>(SUMIF('FY26-FY28_PREPA Consolidated'!I:I,C64,'FY26-FY28_PREPA Consolidated'!DY:DY)*1000)-Y64</f>
        <v>0</v>
      </c>
      <c r="AH64" s="377">
        <f>((SUMIF('FY26-FY28_PREPA Consolidated'!I:I,C64,'FY26-FY28_PREPA Consolidated'!DU:DU)+SUMIF('FY26-FY28_PREPA Consolidated'!I:I,C64,'FY26-FY28_PREPA Consolidated'!DW:DW))*1000)-Z64</f>
        <v>0</v>
      </c>
      <c r="AI64" s="369">
        <v>0</v>
      </c>
      <c r="AJ64" s="369"/>
      <c r="AK64" s="369">
        <f t="shared" si="30"/>
        <v>0</v>
      </c>
      <c r="AL64" s="369">
        <f t="shared" si="31"/>
        <v>166713168.24360001</v>
      </c>
      <c r="AM64" s="369"/>
      <c r="AN64" s="369">
        <v>167782434.44490001</v>
      </c>
      <c r="AO64" s="369">
        <v>0</v>
      </c>
      <c r="AP64" s="369">
        <v>0</v>
      </c>
      <c r="AQ64" s="369">
        <v>0</v>
      </c>
      <c r="AR64" s="369">
        <v>0</v>
      </c>
      <c r="AS64" s="369"/>
      <c r="AT64" s="369">
        <f>SUM(AN64:AR64)</f>
        <v>167782434.44490001</v>
      </c>
      <c r="AU64" s="369"/>
      <c r="AV64" s="369">
        <v>0</v>
      </c>
      <c r="AW64" s="369">
        <v>0</v>
      </c>
      <c r="AX64" s="1066">
        <f>(SUMIF('FY26-FY28_PREPA Consolidated'!I:I,C64,'FY26-FY28_PREPA Consolidated'!EI:EI)*1000)-AP64</f>
        <v>0</v>
      </c>
      <c r="AY64" s="1066">
        <f>((SUMIF('FY26-FY28_PREPA Consolidated'!I:I,C64,'FY26-FY28_PREPA Consolidated'!EE:EE)+SUMIF('FY26-FY28_PREPA Consolidated'!I:I,C64,'FY26-FY28_PREPA Consolidated'!EG:EG))*1000)-AQ64</f>
        <v>0</v>
      </c>
      <c r="AZ64" s="369">
        <v>0</v>
      </c>
      <c r="BA64" s="369"/>
      <c r="BB64" s="369">
        <f t="shared" si="32"/>
        <v>0</v>
      </c>
      <c r="BC64" s="369"/>
      <c r="BD64" s="369">
        <f t="shared" si="33"/>
        <v>167782434.44490001</v>
      </c>
    </row>
    <row r="65" spans="1:56">
      <c r="A65" s="91">
        <f t="shared" si="0"/>
        <v>51</v>
      </c>
      <c r="C65" s="80" t="s">
        <v>329</v>
      </c>
      <c r="D65" s="80"/>
      <c r="F65" s="369">
        <v>0</v>
      </c>
      <c r="G65" s="369">
        <v>0</v>
      </c>
      <c r="H65" s="369">
        <v>0</v>
      </c>
      <c r="I65" s="369">
        <v>0</v>
      </c>
      <c r="J65" s="369">
        <f>(J58+J76)*0.02</f>
        <v>32304887.432432756</v>
      </c>
      <c r="K65" s="369"/>
      <c r="L65" s="370">
        <f t="shared" si="43"/>
        <v>32304887.432432756</v>
      </c>
      <c r="M65" s="368"/>
      <c r="N65" s="369">
        <v>0</v>
      </c>
      <c r="O65" s="369">
        <v>0</v>
      </c>
      <c r="P65" s="377">
        <f>(SUMIF('FY26-FY28_PREPA Consolidated'!I:I,C65,'FY26-FY28_PREPA Consolidated'!DL:DL)*1000)-H65</f>
        <v>0</v>
      </c>
      <c r="Q65" s="377">
        <f>((SUMIF('FY26-FY28_PREPA Consolidated'!I:I,C65,'FY26-FY28_PREPA Consolidated'!BT:BT)+SUMIF('FY26-FY28_PREPA Consolidated'!I:I,C65,'FY26-FY28_PREPA Consolidated'!CD:CD))*1000)-I65</f>
        <v>0</v>
      </c>
      <c r="R65" s="369">
        <v>0</v>
      </c>
      <c r="S65" s="369"/>
      <c r="T65" s="369">
        <f t="shared" si="28"/>
        <v>0</v>
      </c>
      <c r="U65" s="369">
        <f t="shared" si="29"/>
        <v>32304887.432432756</v>
      </c>
      <c r="V65" s="369"/>
      <c r="W65" s="369">
        <v>0</v>
      </c>
      <c r="X65" s="369">
        <v>0</v>
      </c>
      <c r="Y65" s="369">
        <v>0</v>
      </c>
      <c r="Z65" s="369">
        <v>0</v>
      </c>
      <c r="AA65" s="369">
        <f>(AA58+AA76)*0.02</f>
        <v>38178621.943051539</v>
      </c>
      <c r="AB65" s="369"/>
      <c r="AC65" s="369">
        <f t="shared" si="44"/>
        <v>38178621.943051539</v>
      </c>
      <c r="AD65" s="369"/>
      <c r="AE65" s="369">
        <v>0</v>
      </c>
      <c r="AF65" s="369">
        <v>0</v>
      </c>
      <c r="AG65" s="377">
        <f>(SUMIF('FY26-FY28_PREPA Consolidated'!I:I,C65,'FY26-FY28_PREPA Consolidated'!DY:DY)*1000)-Y65</f>
        <v>0</v>
      </c>
      <c r="AH65" s="377">
        <f>((SUMIF('FY26-FY28_PREPA Consolidated'!I:I,C65,'FY26-FY28_PREPA Consolidated'!DU:DU)+SUMIF('FY26-FY28_PREPA Consolidated'!I:I,C65,'FY26-FY28_PREPA Consolidated'!DW:DW))*1000)-Z65</f>
        <v>0</v>
      </c>
      <c r="AI65" s="369">
        <v>0</v>
      </c>
      <c r="AJ65" s="369"/>
      <c r="AK65" s="369">
        <f t="shared" si="30"/>
        <v>0</v>
      </c>
      <c r="AL65" s="369">
        <f t="shared" si="31"/>
        <v>38178621.943051539</v>
      </c>
      <c r="AM65" s="369"/>
      <c r="AN65" s="369">
        <v>0</v>
      </c>
      <c r="AO65" s="369">
        <v>0</v>
      </c>
      <c r="AP65" s="369">
        <v>0</v>
      </c>
      <c r="AQ65" s="369">
        <v>0</v>
      </c>
      <c r="AR65" s="369">
        <f>(AR58+AR76)*0.02</f>
        <v>43401219.731889181</v>
      </c>
      <c r="AS65" s="369"/>
      <c r="AT65" s="369">
        <f t="shared" si="45"/>
        <v>43401219.731889181</v>
      </c>
      <c r="AU65" s="369"/>
      <c r="AV65" s="369">
        <v>0</v>
      </c>
      <c r="AW65" s="369">
        <v>0</v>
      </c>
      <c r="AX65" s="1066">
        <f>(SUMIF('FY26-FY28_PREPA Consolidated'!I:I,C65,'FY26-FY28_PREPA Consolidated'!EI:EI)*1000)-AP65</f>
        <v>0</v>
      </c>
      <c r="AY65" s="1066">
        <f>((SUMIF('FY26-FY28_PREPA Consolidated'!I:I,C65,'FY26-FY28_PREPA Consolidated'!EE:EE)+SUMIF('FY26-FY28_PREPA Consolidated'!I:I,C65,'FY26-FY28_PREPA Consolidated'!EG:EG))*1000)-AQ65</f>
        <v>0</v>
      </c>
      <c r="AZ65" s="369">
        <v>0</v>
      </c>
      <c r="BA65" s="369"/>
      <c r="BB65" s="369">
        <f t="shared" si="32"/>
        <v>0</v>
      </c>
      <c r="BC65" s="369"/>
      <c r="BD65" s="369">
        <f t="shared" si="33"/>
        <v>43401219.731889181</v>
      </c>
    </row>
    <row r="66" spans="1:56">
      <c r="A66" s="91">
        <f>IF(C66&lt;&gt;"",MAX(A63:A65)+1,"")</f>
        <v>52</v>
      </c>
      <c r="C66" s="906" t="s">
        <v>607</v>
      </c>
      <c r="D66" s="80"/>
      <c r="F66" s="369"/>
      <c r="G66" s="369"/>
      <c r="H66" s="369"/>
      <c r="I66" s="369"/>
      <c r="J66" s="369"/>
      <c r="K66" s="369"/>
      <c r="L66" s="370">
        <f t="shared" si="43"/>
        <v>0</v>
      </c>
      <c r="M66" s="368"/>
      <c r="N66" s="369">
        <v>0</v>
      </c>
      <c r="O66" s="369">
        <v>0</v>
      </c>
      <c r="P66" s="377">
        <f>(SUMIF('FY26-FY28_PREPA Consolidated'!I:I,C66,'FY26-FY28_PREPA Consolidated'!DL:DL)*1000)-H66</f>
        <v>0</v>
      </c>
      <c r="Q66" s="377">
        <f>((SUMIF('FY26-FY28_PREPA Consolidated'!I:I,C66,'FY26-FY28_PREPA Consolidated'!BT:BT)+SUMIF('FY26-FY28_PREPA Consolidated'!I:I,C66,'FY26-FY28_PREPA Consolidated'!CD:CD))*1000)-I66</f>
        <v>4000000</v>
      </c>
      <c r="R66" s="369">
        <v>0</v>
      </c>
      <c r="S66" s="369"/>
      <c r="T66" s="369">
        <f t="shared" si="28"/>
        <v>4000000</v>
      </c>
      <c r="U66" s="369">
        <f t="shared" si="29"/>
        <v>4000000</v>
      </c>
      <c r="V66" s="369"/>
      <c r="W66" s="369"/>
      <c r="X66" s="369"/>
      <c r="Y66" s="369"/>
      <c r="AA66" s="369"/>
      <c r="AB66" s="369"/>
      <c r="AC66" s="369">
        <f>SUM(W66:AA66)</f>
        <v>0</v>
      </c>
      <c r="AD66" s="369"/>
      <c r="AE66" s="369"/>
      <c r="AF66" s="369"/>
      <c r="AG66" s="377">
        <f>(SUMIF('FY26-FY28_PREPA Consolidated'!I:I,C66,'FY26-FY28_PREPA Consolidated'!DY:DY)*1000)-Y66</f>
        <v>0</v>
      </c>
      <c r="AH66" s="377">
        <f>((SUMIF('FY26-FY28_PREPA Consolidated'!I:I,C66,'FY26-FY28_PREPA Consolidated'!DU:DU)+SUMIF('FY26-FY28_PREPA Consolidated'!I:I,C66,'FY26-FY28_PREPA Consolidated'!DW:DW))*1000)-Z66</f>
        <v>0</v>
      </c>
      <c r="AI66" s="369"/>
      <c r="AJ66" s="369"/>
      <c r="AK66" s="369"/>
      <c r="AL66" s="369">
        <f t="shared" si="31"/>
        <v>0</v>
      </c>
      <c r="AM66" s="369"/>
      <c r="AN66" s="369"/>
      <c r="AO66" s="369"/>
      <c r="AP66" s="369"/>
      <c r="AQ66" s="369"/>
      <c r="AR66" s="369"/>
      <c r="AS66" s="369"/>
      <c r="AT66" s="369">
        <f t="shared" si="45"/>
        <v>0</v>
      </c>
      <c r="AU66" s="369"/>
      <c r="AV66" s="369"/>
      <c r="AW66" s="369"/>
      <c r="AX66" s="1066">
        <f>(SUMIF('FY26-FY28_PREPA Consolidated'!I:I,C66,'FY26-FY28_PREPA Consolidated'!EI:EI)*1000)-AP66</f>
        <v>0</v>
      </c>
      <c r="AY66" s="1066">
        <f>((SUMIF('FY26-FY28_PREPA Consolidated'!I:I,C66,'FY26-FY28_PREPA Consolidated'!EE:EE)+SUMIF('FY26-FY28_PREPA Consolidated'!I:I,C66,'FY26-FY28_PREPA Consolidated'!EG:EG))*1000)-AQ66</f>
        <v>0</v>
      </c>
      <c r="AZ66" s="369">
        <v>0</v>
      </c>
      <c r="BA66" s="369"/>
      <c r="BB66" s="369">
        <f t="shared" si="32"/>
        <v>0</v>
      </c>
      <c r="BC66" s="369"/>
      <c r="BD66" s="369">
        <f t="shared" si="33"/>
        <v>0</v>
      </c>
    </row>
    <row r="67" spans="1:56">
      <c r="A67" s="91">
        <f>IF(C67&lt;&gt;"",MAX(A64:A66)+1,"")</f>
        <v>53</v>
      </c>
      <c r="C67" s="906" t="s">
        <v>608</v>
      </c>
      <c r="D67" s="80"/>
      <c r="F67" s="369"/>
      <c r="G67" s="369"/>
      <c r="H67" s="369"/>
      <c r="I67" s="369"/>
      <c r="J67" s="369"/>
      <c r="K67" s="369"/>
      <c r="L67" s="370">
        <f t="shared" si="43"/>
        <v>0</v>
      </c>
      <c r="M67" s="368"/>
      <c r="N67" s="369">
        <v>0</v>
      </c>
      <c r="O67" s="369">
        <v>0</v>
      </c>
      <c r="P67" s="377">
        <f>(SUMIF('FY26-FY28_PREPA Consolidated'!I:I,C67,'FY26-FY28_PREPA Consolidated'!DL:DL)*1000)-H67</f>
        <v>0</v>
      </c>
      <c r="Q67" s="377">
        <f>((SUMIF('FY26-FY28_PREPA Consolidated'!I:I,C67,'FY26-FY28_PREPA Consolidated'!BT:BT)+SUMIF('FY26-FY28_PREPA Consolidated'!I:I,C67,'FY26-FY28_PREPA Consolidated'!CD:CD))*1000)-I67</f>
        <v>6500000</v>
      </c>
      <c r="R67" s="369">
        <v>0</v>
      </c>
      <c r="S67" s="369"/>
      <c r="T67" s="369">
        <f t="shared" si="28"/>
        <v>6500000</v>
      </c>
      <c r="U67" s="369">
        <f t="shared" si="29"/>
        <v>6500000</v>
      </c>
      <c r="V67" s="369"/>
      <c r="W67" s="369"/>
      <c r="X67" s="369"/>
      <c r="Y67" s="369"/>
      <c r="AA67" s="369"/>
      <c r="AB67" s="369"/>
      <c r="AC67" s="369">
        <f>SUM(W67:AA67)</f>
        <v>0</v>
      </c>
      <c r="AD67" s="369"/>
      <c r="AE67" s="369"/>
      <c r="AF67" s="369"/>
      <c r="AG67" s="377">
        <f>(SUMIF('FY26-FY28_PREPA Consolidated'!I:I,C67,'FY26-FY28_PREPA Consolidated'!DY:DY)*1000)-Y67</f>
        <v>0</v>
      </c>
      <c r="AH67" s="377">
        <f>((SUMIF('FY26-FY28_PREPA Consolidated'!I:I,C67,'FY26-FY28_PREPA Consolidated'!DU:DU)+SUMIF('FY26-FY28_PREPA Consolidated'!I:I,C67,'FY26-FY28_PREPA Consolidated'!DW:DW))*1000)-Z67</f>
        <v>0</v>
      </c>
      <c r="AI67" s="369"/>
      <c r="AJ67" s="369"/>
      <c r="AK67" s="369"/>
      <c r="AL67" s="369">
        <f t="shared" si="31"/>
        <v>0</v>
      </c>
      <c r="AM67" s="369"/>
      <c r="AN67" s="369"/>
      <c r="AO67" s="369"/>
      <c r="AP67" s="369"/>
      <c r="AQ67" s="369"/>
      <c r="AR67" s="369"/>
      <c r="AS67" s="369"/>
      <c r="AT67" s="369">
        <f t="shared" si="45"/>
        <v>0</v>
      </c>
      <c r="AU67" s="369"/>
      <c r="AV67" s="369"/>
      <c r="AW67" s="369"/>
      <c r="AX67" s="1066">
        <f>(SUMIF('FY26-FY28_PREPA Consolidated'!I:I,C67,'FY26-FY28_PREPA Consolidated'!EI:EI)*1000)-AP67</f>
        <v>0</v>
      </c>
      <c r="AY67" s="1066">
        <f>((SUMIF('FY26-FY28_PREPA Consolidated'!I:I,C67,'FY26-FY28_PREPA Consolidated'!EE:EE)+SUMIF('FY26-FY28_PREPA Consolidated'!I:I,C67,'FY26-FY28_PREPA Consolidated'!EG:EG))*1000)-AQ67</f>
        <v>0</v>
      </c>
      <c r="AZ67" s="369">
        <v>0</v>
      </c>
      <c r="BA67" s="369"/>
      <c r="BB67" s="369">
        <f t="shared" si="32"/>
        <v>0</v>
      </c>
      <c r="BC67" s="369"/>
      <c r="BD67" s="369">
        <f t="shared" si="33"/>
        <v>0</v>
      </c>
    </row>
    <row r="68" spans="1:56">
      <c r="A68" s="91">
        <v>54</v>
      </c>
      <c r="C68" s="906" t="s">
        <v>609</v>
      </c>
      <c r="D68" s="80"/>
      <c r="F68" s="369"/>
      <c r="G68" s="369"/>
      <c r="H68" s="369"/>
      <c r="I68" s="369"/>
      <c r="J68" s="369"/>
      <c r="K68" s="369"/>
      <c r="L68" s="370"/>
      <c r="M68" s="368"/>
      <c r="N68" s="369">
        <v>0</v>
      </c>
      <c r="O68" s="369">
        <v>0</v>
      </c>
      <c r="P68" s="377">
        <f>(SUMIF('FY26-FY28_PREPA Consolidated'!I:I,C68,'FY26-FY28_PREPA Consolidated'!DL:DL)*1000)-H68</f>
        <v>0</v>
      </c>
      <c r="Q68" s="377">
        <f>((SUMIF('FY26-FY28_PREPA Consolidated'!I:I,C68,'FY26-FY28_PREPA Consolidated'!BT:BT)+SUMIF('FY26-FY28_PREPA Consolidated'!I:I,C68,'FY26-FY28_PREPA Consolidated'!CD:CD))*1000)-I68</f>
        <v>307475422</v>
      </c>
      <c r="R68" s="369">
        <v>0</v>
      </c>
      <c r="S68" s="369"/>
      <c r="T68" s="369">
        <f t="shared" si="28"/>
        <v>307475422</v>
      </c>
      <c r="U68" s="369">
        <f t="shared" si="29"/>
        <v>307475422</v>
      </c>
      <c r="V68" s="369"/>
      <c r="W68" s="369"/>
      <c r="X68" s="369"/>
      <c r="Y68" s="369"/>
      <c r="AA68" s="369"/>
      <c r="AB68" s="369"/>
      <c r="AC68" s="369">
        <f>SUM(W68:AA68)</f>
        <v>0</v>
      </c>
      <c r="AD68" s="369"/>
      <c r="AE68" s="369">
        <v>0</v>
      </c>
      <c r="AF68" s="369">
        <v>0</v>
      </c>
      <c r="AG68" s="377">
        <f>(SUMIF('FY26-FY28_PREPA Consolidated'!Z:Z,T68,'FY26-FY28_PREPA Consolidated'!EC:EC)*1000)-Y68</f>
        <v>0</v>
      </c>
      <c r="AH68" s="377">
        <f>((SUMIF('FY26-FY28_PREPA Consolidated'!$I:$I,$C68,'FY26-FY28_PREPA Consolidated'!$EA:$EA)*1000)-Z68)</f>
        <v>298658580.63999999</v>
      </c>
      <c r="AI68" s="369">
        <v>0</v>
      </c>
      <c r="AJ68" s="369"/>
      <c r="AK68" s="369">
        <f t="shared" si="30"/>
        <v>298658580.63999999</v>
      </c>
      <c r="AL68" s="369">
        <f t="shared" si="31"/>
        <v>298658580.63999999</v>
      </c>
      <c r="AM68" s="369"/>
      <c r="AN68" s="369"/>
      <c r="AO68" s="369"/>
      <c r="AP68" s="369"/>
      <c r="AQ68" s="369"/>
      <c r="AR68" s="369"/>
      <c r="AS68" s="369"/>
      <c r="AT68" s="369"/>
      <c r="AU68" s="369"/>
      <c r="AV68" s="369"/>
      <c r="AW68" s="369"/>
      <c r="AX68" s="1066"/>
      <c r="AY68" s="377">
        <f>((SUMIF('FY26-FY28_PREPA Consolidated'!$I:$I,$C68,'FY26-FY28_PREPA Consolidated'!$EK:$EK)*1000)-AQ68)</f>
        <v>298438608</v>
      </c>
      <c r="AZ68" s="369"/>
      <c r="BA68" s="369"/>
      <c r="BB68" s="369">
        <f t="shared" si="32"/>
        <v>298438608</v>
      </c>
      <c r="BC68" s="369"/>
      <c r="BD68" s="369">
        <f t="shared" si="33"/>
        <v>298438608</v>
      </c>
    </row>
    <row r="69" spans="1:56">
      <c r="A69" s="91">
        <f t="shared" ref="A69:A73" si="46">IF(C69&lt;&gt;"",MAX(A66:A68)+1,"")</f>
        <v>55</v>
      </c>
      <c r="C69" s="80" t="s">
        <v>565</v>
      </c>
      <c r="D69" s="80"/>
      <c r="F69" s="369"/>
      <c r="G69" s="369"/>
      <c r="H69" s="369"/>
      <c r="I69" s="369"/>
      <c r="J69" s="369">
        <v>120000000</v>
      </c>
      <c r="K69" s="369"/>
      <c r="L69" s="370">
        <f>SUM(F69:J69)</f>
        <v>120000000</v>
      </c>
      <c r="M69" s="368"/>
      <c r="N69" s="369">
        <v>0</v>
      </c>
      <c r="O69" s="369">
        <v>0</v>
      </c>
      <c r="P69" s="377">
        <f>(SUMIF('FY26-FY28_PREPA Consolidated'!I:I,C69,'FY26-FY28_PREPA Consolidated'!DL:DL)*1000)-H69</f>
        <v>0</v>
      </c>
      <c r="Q69" s="377">
        <f>((SUMIF('FY26-FY28_PREPA Consolidated'!I:I,C69,'FY26-FY28_PREPA Consolidated'!BT:BT)+SUMIF('FY26-FY28_PREPA Consolidated'!I:I,C69,'FY26-FY28_PREPA Consolidated'!CD:CD))*1000)-I69</f>
        <v>0</v>
      </c>
      <c r="R69" s="369">
        <v>0</v>
      </c>
      <c r="S69" s="369"/>
      <c r="T69" s="369">
        <f t="shared" si="28"/>
        <v>0</v>
      </c>
      <c r="U69" s="369">
        <f t="shared" si="29"/>
        <v>120000000</v>
      </c>
      <c r="V69" s="369"/>
      <c r="W69" s="369"/>
      <c r="X69" s="369"/>
      <c r="Y69" s="369"/>
      <c r="Z69" s="369"/>
      <c r="AA69" s="369">
        <v>120000000</v>
      </c>
      <c r="AB69" s="369"/>
      <c r="AC69" s="369">
        <f>SUM(W69:AA69)</f>
        <v>120000000</v>
      </c>
      <c r="AD69" s="369"/>
      <c r="AE69" s="369">
        <v>0</v>
      </c>
      <c r="AF69" s="369">
        <v>0</v>
      </c>
      <c r="AG69" s="377">
        <f>(SUMIF('FY26-FY28_PREPA Consolidated'!I:I,C69,'FY26-FY28_PREPA Consolidated'!DY:DY)*1000)-Y69</f>
        <v>0</v>
      </c>
      <c r="AH69" s="377">
        <f>((SUMIF('FY26-FY28_PREPA Consolidated'!I:I,C69,'FY26-FY28_PREPA Consolidated'!DU:DU)+SUMIF('FY26-FY28_PREPA Consolidated'!I:I,C69,'FY26-FY28_PREPA Consolidated'!DW:DW))*1000)-Z69</f>
        <v>0</v>
      </c>
      <c r="AI69" s="369">
        <v>0</v>
      </c>
      <c r="AJ69" s="369"/>
      <c r="AK69" s="369">
        <f t="shared" si="30"/>
        <v>0</v>
      </c>
      <c r="AL69" s="369">
        <f t="shared" si="31"/>
        <v>120000000</v>
      </c>
      <c r="AM69" s="369"/>
      <c r="AN69" s="369">
        <v>0</v>
      </c>
      <c r="AO69" s="369">
        <v>0</v>
      </c>
      <c r="AP69" s="369">
        <v>0</v>
      </c>
      <c r="AQ69" s="369">
        <v>0</v>
      </c>
      <c r="AR69" s="369">
        <v>0</v>
      </c>
      <c r="AS69" s="369"/>
      <c r="AT69" s="369">
        <f t="shared" si="45"/>
        <v>0</v>
      </c>
      <c r="AU69" s="369"/>
      <c r="AV69" s="369">
        <v>0</v>
      </c>
      <c r="AW69" s="369">
        <v>0</v>
      </c>
      <c r="AX69" s="1066">
        <f>(SUMIF('FY26-FY28_PREPA Consolidated'!I:I,C69,'FY26-FY28_PREPA Consolidated'!EI:EI)*1000)-AP69</f>
        <v>0</v>
      </c>
      <c r="AY69" s="1066">
        <f>((SUMIF('FY26-FY28_PREPA Consolidated'!I:I,C69,'FY26-FY28_PREPA Consolidated'!EE:EE)+SUMIF('FY26-FY28_PREPA Consolidated'!I:I,C69,'FY26-FY28_PREPA Consolidated'!EG:EG))*1000)-AQ69</f>
        <v>0</v>
      </c>
      <c r="AZ69" s="369">
        <v>0</v>
      </c>
      <c r="BA69" s="369"/>
      <c r="BB69" s="369">
        <f t="shared" si="32"/>
        <v>0</v>
      </c>
      <c r="BC69" s="369"/>
      <c r="BD69" s="369">
        <f t="shared" si="33"/>
        <v>0</v>
      </c>
    </row>
    <row r="70" spans="1:56">
      <c r="A70" s="91">
        <f t="shared" si="46"/>
        <v>56</v>
      </c>
      <c r="C70" s="80" t="s">
        <v>566</v>
      </c>
      <c r="D70" s="80"/>
      <c r="F70" s="369"/>
      <c r="G70" s="377">
        <v>30000000</v>
      </c>
      <c r="H70" s="369"/>
      <c r="I70" s="369"/>
      <c r="J70" s="369"/>
      <c r="K70" s="369"/>
      <c r="L70" s="370">
        <f t="shared" si="43"/>
        <v>30000000</v>
      </c>
      <c r="M70" s="368"/>
      <c r="N70" s="369">
        <v>0</v>
      </c>
      <c r="O70" s="369">
        <v>0</v>
      </c>
      <c r="P70" s="377">
        <f>(SUMIF('FY26-FY28_PREPA Consolidated'!I:I,C70,'FY26-FY28_PREPA Consolidated'!DL:DL)*1000)-H70</f>
        <v>0</v>
      </c>
      <c r="Q70" s="377">
        <f>((SUMIF('FY26-FY28_PREPA Consolidated'!I:I,C70,'FY26-FY28_PREPA Consolidated'!BT:BT)+SUMIF('FY26-FY28_PREPA Consolidated'!I:I,C70,'FY26-FY28_PREPA Consolidated'!CD:CD))*1000)-I70</f>
        <v>0</v>
      </c>
      <c r="R70" s="369">
        <v>0</v>
      </c>
      <c r="S70" s="369"/>
      <c r="T70" s="369">
        <f t="shared" si="28"/>
        <v>0</v>
      </c>
      <c r="U70" s="369">
        <f t="shared" si="29"/>
        <v>30000000</v>
      </c>
      <c r="V70" s="369"/>
      <c r="W70" s="369"/>
      <c r="X70" s="377">
        <v>30000000</v>
      </c>
      <c r="Y70" s="369"/>
      <c r="Z70" s="369"/>
      <c r="AA70" s="369"/>
      <c r="AB70" s="369"/>
      <c r="AC70" s="369">
        <f>SUM(W70:AA70)</f>
        <v>30000000</v>
      </c>
      <c r="AD70" s="369"/>
      <c r="AE70" s="369">
        <v>0</v>
      </c>
      <c r="AF70" s="369">
        <v>0</v>
      </c>
      <c r="AG70" s="377">
        <f>(SUMIF('FY26-FY28_PREPA Consolidated'!I:I,C70,'FY26-FY28_PREPA Consolidated'!DY:DY)*1000)-Y70</f>
        <v>0</v>
      </c>
      <c r="AH70" s="377">
        <f>((SUMIF('FY26-FY28_PREPA Consolidated'!I:I,C70,'FY26-FY28_PREPA Consolidated'!DU:DU)+SUMIF('FY26-FY28_PREPA Consolidated'!I:I,C70,'FY26-FY28_PREPA Consolidated'!DW:DW))*1000)-Z70</f>
        <v>0</v>
      </c>
      <c r="AI70" s="369">
        <v>0</v>
      </c>
      <c r="AJ70" s="369"/>
      <c r="AK70" s="369">
        <f t="shared" si="30"/>
        <v>0</v>
      </c>
      <c r="AL70" s="369">
        <f t="shared" si="31"/>
        <v>30000000</v>
      </c>
      <c r="AM70" s="369"/>
      <c r="AN70" s="369"/>
      <c r="AO70" s="377">
        <v>30000000</v>
      </c>
      <c r="AP70" s="369"/>
      <c r="AQ70" s="369"/>
      <c r="AR70" s="369"/>
      <c r="AS70" s="369"/>
      <c r="AT70" s="369">
        <f t="shared" si="45"/>
        <v>30000000</v>
      </c>
      <c r="AU70" s="369"/>
      <c r="AV70" s="369">
        <v>0</v>
      </c>
      <c r="AW70" s="369">
        <v>0</v>
      </c>
      <c r="AX70" s="1066">
        <f>(SUMIF('FY26-FY28_PREPA Consolidated'!I:I,C70,'FY26-FY28_PREPA Consolidated'!EI:EI)*1000)-AP70</f>
        <v>0</v>
      </c>
      <c r="AY70" s="1066">
        <f>((SUMIF('FY26-FY28_PREPA Consolidated'!I:I,C70,'FY26-FY28_PREPA Consolidated'!EE:EE)+SUMIF('FY26-FY28_PREPA Consolidated'!I:I,C70,'FY26-FY28_PREPA Consolidated'!EG:EG))*1000)-AQ70</f>
        <v>0</v>
      </c>
      <c r="AZ70" s="369">
        <v>0</v>
      </c>
      <c r="BA70" s="369"/>
      <c r="BB70" s="369">
        <f t="shared" si="32"/>
        <v>0</v>
      </c>
      <c r="BC70" s="369"/>
      <c r="BD70" s="369">
        <f t="shared" si="33"/>
        <v>30000000</v>
      </c>
    </row>
    <row r="71" spans="1:56">
      <c r="A71" s="91">
        <f t="shared" si="46"/>
        <v>57</v>
      </c>
      <c r="C71" s="80" t="s">
        <v>330</v>
      </c>
      <c r="D71" s="80"/>
      <c r="E71" s="2"/>
      <c r="F71" s="369">
        <v>0</v>
      </c>
      <c r="G71" s="377">
        <v>26585154.466419831</v>
      </c>
      <c r="H71" s="369">
        <v>0</v>
      </c>
      <c r="I71" s="369">
        <v>0</v>
      </c>
      <c r="J71" s="369">
        <v>0</v>
      </c>
      <c r="K71" s="369"/>
      <c r="L71" s="370">
        <f t="shared" si="43"/>
        <v>26585154.466419831</v>
      </c>
      <c r="M71" s="368"/>
      <c r="N71" s="369">
        <v>0</v>
      </c>
      <c r="O71" s="369">
        <v>0</v>
      </c>
      <c r="P71" s="377">
        <f>(SUMIF('FY26-FY28_PREPA Consolidated'!I:I,C71,'FY26-FY28_PREPA Consolidated'!DL:DL)*1000)-H71</f>
        <v>0</v>
      </c>
      <c r="Q71" s="377">
        <f>((SUMIF('FY26-FY28_PREPA Consolidated'!I:I,C71,'FY26-FY28_PREPA Consolidated'!BT:BT)+SUMIF('FY26-FY28_PREPA Consolidated'!I:I,C71,'FY26-FY28_PREPA Consolidated'!CD:CD))*1000)-I71</f>
        <v>0</v>
      </c>
      <c r="R71" s="369">
        <v>0</v>
      </c>
      <c r="S71" s="369"/>
      <c r="T71" s="369">
        <f t="shared" si="28"/>
        <v>0</v>
      </c>
      <c r="U71" s="369">
        <f t="shared" si="29"/>
        <v>26585154.466419831</v>
      </c>
      <c r="V71" s="369"/>
      <c r="W71" s="369">
        <v>0</v>
      </c>
      <c r="X71" s="377">
        <v>27621329.57647486</v>
      </c>
      <c r="Y71" s="369">
        <v>0</v>
      </c>
      <c r="Z71" s="369">
        <v>0</v>
      </c>
      <c r="AA71" s="369">
        <v>0</v>
      </c>
      <c r="AB71" s="369"/>
      <c r="AC71" s="369">
        <f t="shared" si="44"/>
        <v>27621329.57647486</v>
      </c>
      <c r="AD71" s="369"/>
      <c r="AE71" s="369">
        <v>0</v>
      </c>
      <c r="AF71" s="369">
        <v>0</v>
      </c>
      <c r="AG71" s="377">
        <f>(SUMIF('FY26-FY28_PREPA Consolidated'!I:I,C71,'FY26-FY28_PREPA Consolidated'!DY:DY)*1000)-Y71</f>
        <v>0</v>
      </c>
      <c r="AH71" s="377">
        <f>((SUMIF('FY26-FY28_PREPA Consolidated'!I:I,C71,'FY26-FY28_PREPA Consolidated'!DU:DU)+SUMIF('FY26-FY28_PREPA Consolidated'!I:I,C71,'FY26-FY28_PREPA Consolidated'!DW:DW))*1000)-Z71</f>
        <v>0</v>
      </c>
      <c r="AI71" s="369">
        <v>0</v>
      </c>
      <c r="AJ71" s="369"/>
      <c r="AK71" s="369">
        <f t="shared" si="30"/>
        <v>0</v>
      </c>
      <c r="AL71" s="369">
        <f t="shared" si="31"/>
        <v>27621329.57647486</v>
      </c>
      <c r="AM71" s="369"/>
      <c r="AN71" s="369">
        <v>0</v>
      </c>
      <c r="AO71" s="377">
        <v>28697890.340863917</v>
      </c>
      <c r="AP71" s="369">
        <v>0</v>
      </c>
      <c r="AQ71" s="369">
        <v>0</v>
      </c>
      <c r="AR71" s="369">
        <v>0</v>
      </c>
      <c r="AS71" s="369"/>
      <c r="AT71" s="369">
        <f t="shared" si="45"/>
        <v>28697890.340863917</v>
      </c>
      <c r="AU71" s="369"/>
      <c r="AV71" s="369">
        <v>0</v>
      </c>
      <c r="AW71" s="369">
        <v>0</v>
      </c>
      <c r="AX71" s="1066">
        <f>(SUMIF('FY26-FY28_PREPA Consolidated'!I:I,C71,'FY26-FY28_PREPA Consolidated'!EI:EI)*1000)-AP71</f>
        <v>0</v>
      </c>
      <c r="AY71" s="1066">
        <f>((SUMIF('FY26-FY28_PREPA Consolidated'!I:I,C71,'FY26-FY28_PREPA Consolidated'!EE:EE)+SUMIF('FY26-FY28_PREPA Consolidated'!I:I,C71,'FY26-FY28_PREPA Consolidated'!EG:EG))*1000)-AQ71</f>
        <v>0</v>
      </c>
      <c r="AZ71" s="369">
        <v>0</v>
      </c>
      <c r="BA71" s="369"/>
      <c r="BB71" s="369">
        <f t="shared" si="32"/>
        <v>0</v>
      </c>
      <c r="BC71" s="369"/>
      <c r="BD71" s="369">
        <f t="shared" si="33"/>
        <v>28697890.340863917</v>
      </c>
    </row>
    <row r="72" spans="1:56">
      <c r="A72" s="91">
        <f t="shared" si="46"/>
        <v>58</v>
      </c>
      <c r="C72" s="80" t="s">
        <v>331</v>
      </c>
      <c r="D72" s="80"/>
      <c r="F72" s="369">
        <v>0</v>
      </c>
      <c r="G72" s="369">
        <v>0</v>
      </c>
      <c r="H72" s="369">
        <v>0</v>
      </c>
      <c r="I72" s="369">
        <v>0</v>
      </c>
      <c r="J72" s="369">
        <v>0</v>
      </c>
      <c r="K72" s="369"/>
      <c r="L72" s="370">
        <f t="shared" si="43"/>
        <v>0</v>
      </c>
      <c r="M72" s="368"/>
      <c r="N72" s="369">
        <v>0</v>
      </c>
      <c r="O72" s="369">
        <v>0</v>
      </c>
      <c r="P72" s="377">
        <f>(SUMIF('FY26-FY28_PREPA Consolidated'!I:I,C72,'FY26-FY28_PREPA Consolidated'!DL:DL)*1000)-H72</f>
        <v>0</v>
      </c>
      <c r="Q72" s="377">
        <f>((SUMIF('FY26-FY28_PREPA Consolidated'!I:I,C72,'FY26-FY28_PREPA Consolidated'!BT:BT)+SUMIF('FY26-FY28_PREPA Consolidated'!I:I,C72,'FY26-FY28_PREPA Consolidated'!CD:CD))*1000)-I72</f>
        <v>0</v>
      </c>
      <c r="R72" s="369">
        <v>0</v>
      </c>
      <c r="S72" s="369"/>
      <c r="T72" s="369">
        <f t="shared" si="28"/>
        <v>0</v>
      </c>
      <c r="U72" s="369">
        <f t="shared" si="29"/>
        <v>0</v>
      </c>
      <c r="V72" s="369"/>
      <c r="W72" s="369">
        <v>0</v>
      </c>
      <c r="X72" s="369">
        <v>0</v>
      </c>
      <c r="Y72" s="369">
        <v>0</v>
      </c>
      <c r="Z72" s="369">
        <v>0</v>
      </c>
      <c r="AA72" s="369">
        <v>0</v>
      </c>
      <c r="AB72" s="369"/>
      <c r="AC72" s="369">
        <f t="shared" si="44"/>
        <v>0</v>
      </c>
      <c r="AD72" s="369"/>
      <c r="AE72" s="369">
        <v>0</v>
      </c>
      <c r="AF72" s="369">
        <v>0</v>
      </c>
      <c r="AG72" s="377">
        <f>(SUMIF('FY26-FY28_PREPA Consolidated'!I:I,C72,'FY26-FY28_PREPA Consolidated'!DY:DY)*1000)-Y72</f>
        <v>0</v>
      </c>
      <c r="AH72" s="377">
        <f>((SUMIF('FY26-FY28_PREPA Consolidated'!I:I,C72,'FY26-FY28_PREPA Consolidated'!DU:DU)+SUMIF('FY26-FY28_PREPA Consolidated'!I:I,C72,'FY26-FY28_PREPA Consolidated'!DW:DW))*1000)-Z72</f>
        <v>0</v>
      </c>
      <c r="AI72" s="369">
        <v>0</v>
      </c>
      <c r="AJ72" s="369"/>
      <c r="AK72" s="369">
        <f t="shared" si="30"/>
        <v>0</v>
      </c>
      <c r="AL72" s="369">
        <f t="shared" si="31"/>
        <v>0</v>
      </c>
      <c r="AM72" s="369"/>
      <c r="AN72" s="369">
        <v>0</v>
      </c>
      <c r="AO72" s="369">
        <v>0</v>
      </c>
      <c r="AP72" s="369">
        <v>0</v>
      </c>
      <c r="AQ72" s="369">
        <v>0</v>
      </c>
      <c r="AR72" s="369">
        <v>0</v>
      </c>
      <c r="AS72" s="369"/>
      <c r="AT72" s="369">
        <f t="shared" si="45"/>
        <v>0</v>
      </c>
      <c r="AU72" s="369"/>
      <c r="AV72" s="369">
        <v>0</v>
      </c>
      <c r="AW72" s="369">
        <v>0</v>
      </c>
      <c r="AX72" s="1066">
        <f>(SUMIF('FY26-FY28_PREPA Consolidated'!I:I,C72,'FY26-FY28_PREPA Consolidated'!EI:EI)*1000)-AP72</f>
        <v>0</v>
      </c>
      <c r="AY72" s="1066">
        <f>((SUMIF('FY26-FY28_PREPA Consolidated'!I:I,C72,'FY26-FY28_PREPA Consolidated'!EE:EE)+SUMIF('FY26-FY28_PREPA Consolidated'!I:I,C72,'FY26-FY28_PREPA Consolidated'!EG:EG))*1000)-AQ72</f>
        <v>0</v>
      </c>
      <c r="AZ72" s="369">
        <v>0</v>
      </c>
      <c r="BA72" s="369"/>
      <c r="BB72" s="369">
        <f t="shared" si="32"/>
        <v>0</v>
      </c>
      <c r="BC72" s="369"/>
      <c r="BD72" s="369">
        <f t="shared" si="33"/>
        <v>0</v>
      </c>
    </row>
    <row r="73" spans="1:56">
      <c r="A73" s="91">
        <f t="shared" si="46"/>
        <v>59</v>
      </c>
      <c r="C73" s="792" t="s">
        <v>332</v>
      </c>
      <c r="D73" s="874"/>
      <c r="E73" s="2"/>
      <c r="F73" s="779">
        <f>SUM(F63:F72)</f>
        <v>158980998.42899999</v>
      </c>
      <c r="G73" s="779">
        <f t="shared" ref="G73:L73" si="47">SUM(G63:G72)</f>
        <v>56585154.466419831</v>
      </c>
      <c r="H73" s="779">
        <f t="shared" si="47"/>
        <v>0</v>
      </c>
      <c r="I73" s="779">
        <f t="shared" si="47"/>
        <v>0</v>
      </c>
      <c r="J73" s="779">
        <f t="shared" si="47"/>
        <v>291672148.06079119</v>
      </c>
      <c r="K73" s="653"/>
      <c r="L73" s="875">
        <f t="shared" si="47"/>
        <v>507238300.95621103</v>
      </c>
      <c r="M73" s="764"/>
      <c r="N73" s="779">
        <f>SUM(N63:N72)</f>
        <v>0</v>
      </c>
      <c r="O73" s="779">
        <f t="shared" ref="O73:R73" si="48">SUM(O63:O72)</f>
        <v>0</v>
      </c>
      <c r="P73" s="779">
        <f t="shared" si="48"/>
        <v>0</v>
      </c>
      <c r="Q73" s="779">
        <f t="shared" si="48"/>
        <v>317975422</v>
      </c>
      <c r="R73" s="779">
        <f t="shared" si="48"/>
        <v>0</v>
      </c>
      <c r="S73" s="653"/>
      <c r="T73" s="779">
        <f t="shared" si="28"/>
        <v>317975422</v>
      </c>
      <c r="U73" s="779">
        <f>+T73+L73</f>
        <v>825213722.95621109</v>
      </c>
      <c r="V73" s="653"/>
      <c r="W73" s="779">
        <f>SUM(W63:W72)</f>
        <v>166713168.24360001</v>
      </c>
      <c r="X73" s="779">
        <f t="shared" ref="X73:AA73" si="49">SUM(X63:X72)</f>
        <v>57621329.57647486</v>
      </c>
      <c r="Y73" s="779">
        <f t="shared" si="49"/>
        <v>0</v>
      </c>
      <c r="Z73" s="779">
        <f t="shared" si="49"/>
        <v>0</v>
      </c>
      <c r="AA73" s="779">
        <f t="shared" si="49"/>
        <v>261889653.61877719</v>
      </c>
      <c r="AB73" s="653"/>
      <c r="AC73" s="779">
        <f t="shared" ref="AC73" si="50">SUM(AC63:AC72)</f>
        <v>486224151.43885201</v>
      </c>
      <c r="AD73" s="653"/>
      <c r="AE73" s="779">
        <f>SUM(AE63:AE72)</f>
        <v>0</v>
      </c>
      <c r="AF73" s="779">
        <f t="shared" ref="AF73:AI73" si="51">SUM(AF63:AF72)</f>
        <v>0</v>
      </c>
      <c r="AG73" s="779">
        <f t="shared" si="51"/>
        <v>0</v>
      </c>
      <c r="AH73" s="779">
        <f t="shared" si="51"/>
        <v>298658580.63999999</v>
      </c>
      <c r="AI73" s="779">
        <f t="shared" si="51"/>
        <v>0</v>
      </c>
      <c r="AJ73" s="653"/>
      <c r="AK73" s="779">
        <f t="shared" si="30"/>
        <v>298658580.63999999</v>
      </c>
      <c r="AL73" s="779">
        <f t="shared" si="31"/>
        <v>784882732.07885194</v>
      </c>
      <c r="AM73" s="653"/>
      <c r="AN73" s="779">
        <f>SUM(AN63:AN72)</f>
        <v>167782434.44490001</v>
      </c>
      <c r="AO73" s="779">
        <f t="shared" ref="AO73:AR73" si="52">SUM(AO63:AO72)</f>
        <v>58697890.340863913</v>
      </c>
      <c r="AP73" s="779">
        <f t="shared" si="52"/>
        <v>0</v>
      </c>
      <c r="AQ73" s="779">
        <f t="shared" si="52"/>
        <v>0</v>
      </c>
      <c r="AR73" s="779">
        <f t="shared" si="52"/>
        <v>181118661.35840949</v>
      </c>
      <c r="AS73" s="653"/>
      <c r="AT73" s="779">
        <f t="shared" ref="AT73" si="53">SUM(AT63:AT72)</f>
        <v>407598986.14417344</v>
      </c>
      <c r="AU73" s="653"/>
      <c r="AV73" s="779">
        <f>SUM(AV63:AV72)</f>
        <v>0</v>
      </c>
      <c r="AW73" s="779">
        <f t="shared" ref="AW73:AZ73" si="54">SUM(AW63:AW72)</f>
        <v>0</v>
      </c>
      <c r="AX73" s="779">
        <f t="shared" si="54"/>
        <v>0</v>
      </c>
      <c r="AY73" s="779">
        <f t="shared" si="54"/>
        <v>298438608</v>
      </c>
      <c r="AZ73" s="779">
        <f t="shared" si="54"/>
        <v>0</v>
      </c>
      <c r="BA73" s="653"/>
      <c r="BB73" s="779">
        <f t="shared" si="32"/>
        <v>298438608</v>
      </c>
      <c r="BC73" s="653"/>
      <c r="BD73" s="779">
        <f t="shared" si="33"/>
        <v>706037594.14417338</v>
      </c>
    </row>
    <row r="74" spans="1:56">
      <c r="A74" s="91"/>
      <c r="C74" s="361"/>
      <c r="D74" s="361"/>
      <c r="F74" s="653"/>
      <c r="G74" s="653"/>
      <c r="H74" s="653"/>
      <c r="I74" s="653"/>
      <c r="J74" s="653"/>
      <c r="K74" s="653"/>
      <c r="L74" s="877"/>
      <c r="M74" s="368"/>
      <c r="N74" s="653"/>
      <c r="O74" s="653"/>
      <c r="P74" s="653"/>
      <c r="Q74" s="653"/>
      <c r="R74" s="653"/>
      <c r="S74" s="653"/>
      <c r="T74" s="653"/>
      <c r="U74" s="653"/>
      <c r="V74" s="653"/>
      <c r="W74" s="653"/>
      <c r="X74" s="653"/>
      <c r="Y74" s="653"/>
      <c r="Z74" s="653"/>
      <c r="AA74" s="653"/>
      <c r="AB74" s="653"/>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3"/>
      <c r="AZ74" s="653"/>
      <c r="BA74" s="653"/>
      <c r="BB74" s="653"/>
      <c r="BC74" s="653"/>
      <c r="BD74" s="653"/>
    </row>
    <row r="75" spans="1:56">
      <c r="A75" s="91">
        <f t="shared" ref="A75:A88" si="55">IF(C75&lt;&gt;"",MAX(A72:A74)+1,"")</f>
        <v>60</v>
      </c>
      <c r="C75" s="361" t="s">
        <v>333</v>
      </c>
      <c r="D75" s="361"/>
      <c r="E75" s="2"/>
      <c r="F75" s="653"/>
      <c r="G75" s="653"/>
      <c r="H75" s="653"/>
      <c r="I75" s="653"/>
      <c r="J75" s="653"/>
      <c r="K75" s="653"/>
      <c r="L75" s="877"/>
      <c r="M75" s="653"/>
      <c r="N75" s="653"/>
      <c r="O75" s="653"/>
      <c r="P75" s="653"/>
      <c r="Q75" s="653"/>
      <c r="R75" s="653"/>
      <c r="S75" s="653"/>
      <c r="T75" s="653">
        <f t="shared" ref="T75:T83" si="56">+SUM(N75:R75)</f>
        <v>0</v>
      </c>
      <c r="U75" s="653">
        <f t="shared" ref="U75:U82" si="57">+T75+L75</f>
        <v>0</v>
      </c>
      <c r="V75" s="653"/>
      <c r="W75" s="653"/>
      <c r="X75" s="653"/>
      <c r="Y75" s="653"/>
      <c r="Z75" s="653"/>
      <c r="AA75" s="653"/>
      <c r="AB75" s="653"/>
      <c r="AC75" s="653"/>
      <c r="AD75" s="653"/>
      <c r="AE75" s="653"/>
      <c r="AF75" s="653"/>
      <c r="AG75" s="653"/>
      <c r="AH75" s="653"/>
      <c r="AI75" s="653"/>
      <c r="AJ75" s="653"/>
      <c r="AK75" s="653">
        <f t="shared" ref="AK75:AK83" si="58">+SUM(AE75:AI75)</f>
        <v>0</v>
      </c>
      <c r="AL75" s="653">
        <f t="shared" ref="AL75:AL83" si="59">+AK75+AC75</f>
        <v>0</v>
      </c>
      <c r="AM75" s="653"/>
      <c r="AN75" s="653"/>
      <c r="AO75" s="653"/>
      <c r="AP75" s="653"/>
      <c r="AQ75" s="653"/>
      <c r="AR75" s="653"/>
      <c r="AS75" s="653"/>
      <c r="AT75" s="653"/>
      <c r="AU75" s="653"/>
      <c r="AV75" s="653"/>
      <c r="AW75" s="653"/>
      <c r="AX75" s="653"/>
      <c r="AY75" s="653"/>
      <c r="AZ75" s="653"/>
      <c r="BA75" s="653"/>
      <c r="BB75" s="653">
        <f t="shared" ref="BB75:BB83" si="60">+SUM(AV75:AZ75)</f>
        <v>0</v>
      </c>
      <c r="BC75" s="653"/>
      <c r="BD75" s="653">
        <f t="shared" ref="BD75:BD83" si="61">+BB75+AT75</f>
        <v>0</v>
      </c>
    </row>
    <row r="76" spans="1:56">
      <c r="A76" s="91">
        <f t="shared" si="55"/>
        <v>61</v>
      </c>
      <c r="C76" s="80" t="s">
        <v>264</v>
      </c>
      <c r="D76" s="80"/>
      <c r="F76" s="369">
        <v>0</v>
      </c>
      <c r="G76" s="369">
        <v>0</v>
      </c>
      <c r="H76" s="369">
        <v>0</v>
      </c>
      <c r="I76" s="369">
        <v>0</v>
      </c>
      <c r="J76" s="369">
        <f>SUM('D-1-Optimal'!I6,'D-1-Optimal'!I39,'D-1-Optimal'!I45,'D-1-Optimal'!I52,'D-1-Optimal'!I57,'D-1-Optimal'!I63,'D-1-Optimal'!I77)</f>
        <v>602569233.30536306</v>
      </c>
      <c r="K76" s="369"/>
      <c r="L76" s="370">
        <f t="shared" ref="L76:L82" si="62">SUM(F76:J76)</f>
        <v>602569233.30536306</v>
      </c>
      <c r="M76" s="368"/>
      <c r="N76" s="369">
        <v>0</v>
      </c>
      <c r="O76" s="369">
        <v>0</v>
      </c>
      <c r="P76" s="369">
        <v>0</v>
      </c>
      <c r="Q76" s="369">
        <v>0</v>
      </c>
      <c r="R76" s="369">
        <v>0</v>
      </c>
      <c r="S76" s="369"/>
      <c r="T76" s="369">
        <f t="shared" si="56"/>
        <v>0</v>
      </c>
      <c r="U76" s="369">
        <f t="shared" si="57"/>
        <v>602569233.30536306</v>
      </c>
      <c r="V76" s="369"/>
      <c r="W76" s="369">
        <v>0</v>
      </c>
      <c r="X76" s="369">
        <v>0</v>
      </c>
      <c r="Y76" s="369">
        <v>0</v>
      </c>
      <c r="Z76" s="369">
        <v>0</v>
      </c>
      <c r="AA76" s="369">
        <f>SUM('D-1-Optimal'!M6,'D-1-Optimal'!M39,'D-1-Optimal'!M45,'D-1-Optimal'!M52,'D-1-Optimal'!M57,'D-1-Optimal'!M63,'D-1-Optimal'!M77)</f>
        <v>762356713.15257704</v>
      </c>
      <c r="AB76" s="369"/>
      <c r="AC76" s="369">
        <f t="shared" ref="AC76:AC82" si="63">SUM(W76:AA76)</f>
        <v>762356713.15257704</v>
      </c>
      <c r="AD76" s="369"/>
      <c r="AE76" s="369">
        <v>0</v>
      </c>
      <c r="AF76" s="369">
        <v>0</v>
      </c>
      <c r="AG76" s="369">
        <v>0</v>
      </c>
      <c r="AH76" s="369">
        <v>0</v>
      </c>
      <c r="AI76" s="369">
        <v>0</v>
      </c>
      <c r="AJ76" s="369"/>
      <c r="AK76" s="369">
        <f t="shared" si="58"/>
        <v>0</v>
      </c>
      <c r="AL76" s="369">
        <f t="shared" si="59"/>
        <v>762356713.15257704</v>
      </c>
      <c r="AM76" s="369"/>
      <c r="AN76" s="369">
        <v>0</v>
      </c>
      <c r="AO76" s="369">
        <v>0</v>
      </c>
      <c r="AP76" s="369">
        <v>0</v>
      </c>
      <c r="AQ76" s="369">
        <v>0</v>
      </c>
      <c r="AR76" s="369">
        <f>SUM('D-1-Optimal'!Q6,'D-1-Optimal'!Q39,'D-1-Optimal'!Q45,'D-1-Optimal'!Q52,'D-1-Optimal'!Q57,'D-1-Optimal'!Q63,'D-1-Optimal'!Q77)</f>
        <v>928328366.59445906</v>
      </c>
      <c r="AS76" s="369"/>
      <c r="AT76" s="369">
        <f t="shared" ref="AT76:AT82" si="64">SUM(AN76:AR76)</f>
        <v>928328366.59445906</v>
      </c>
      <c r="AU76" s="369"/>
      <c r="AV76" s="369">
        <v>0</v>
      </c>
      <c r="AW76" s="369">
        <v>0</v>
      </c>
      <c r="AX76" s="369">
        <v>0</v>
      </c>
      <c r="AY76" s="369">
        <v>0</v>
      </c>
      <c r="AZ76" s="369">
        <v>0</v>
      </c>
      <c r="BA76" s="369"/>
      <c r="BB76" s="369">
        <f t="shared" si="60"/>
        <v>0</v>
      </c>
      <c r="BC76" s="369"/>
      <c r="BD76" s="369">
        <f t="shared" si="61"/>
        <v>928328366.59445906</v>
      </c>
    </row>
    <row r="77" spans="1:56">
      <c r="A77" s="91">
        <f t="shared" si="55"/>
        <v>62</v>
      </c>
      <c r="C77" s="80" t="s">
        <v>248</v>
      </c>
      <c r="D77" s="80"/>
      <c r="E77" s="2"/>
      <c r="F77" s="369">
        <v>0</v>
      </c>
      <c r="G77" s="369">
        <f>'D-1-Optimal'!I18</f>
        <v>290965353</v>
      </c>
      <c r="H77" s="369">
        <v>0</v>
      </c>
      <c r="I77" s="369">
        <v>0</v>
      </c>
      <c r="J77" s="369">
        <v>0</v>
      </c>
      <c r="K77" s="369"/>
      <c r="L77" s="370">
        <f t="shared" si="62"/>
        <v>290965353</v>
      </c>
      <c r="M77" s="368"/>
      <c r="N77" s="369">
        <v>0</v>
      </c>
      <c r="O77" s="1159">
        <f>-SUM('Genera - Updates'!E28:E39)</f>
        <v>-56400000</v>
      </c>
      <c r="P77" s="369">
        <v>0</v>
      </c>
      <c r="Q77" s="369">
        <v>0</v>
      </c>
      <c r="R77" s="369">
        <v>0</v>
      </c>
      <c r="S77" s="369"/>
      <c r="T77" s="369">
        <f t="shared" si="56"/>
        <v>-56400000</v>
      </c>
      <c r="U77" s="369">
        <f t="shared" si="57"/>
        <v>234565353</v>
      </c>
      <c r="V77" s="369"/>
      <c r="W77" s="369">
        <v>0</v>
      </c>
      <c r="X77" s="377">
        <f>'D-1-Optimal'!M18</f>
        <v>292183945.82999998</v>
      </c>
      <c r="Y77" s="369">
        <v>0</v>
      </c>
      <c r="Z77" s="369">
        <v>0</v>
      </c>
      <c r="AA77" s="369">
        <v>0</v>
      </c>
      <c r="AB77" s="369"/>
      <c r="AC77" s="369">
        <f t="shared" si="63"/>
        <v>292183945.82999998</v>
      </c>
      <c r="AD77" s="369"/>
      <c r="AE77" s="369">
        <v>0</v>
      </c>
      <c r="AF77" s="1159">
        <f>-SUM('Genera - Updates'!F28:F39)</f>
        <v>-16600000</v>
      </c>
      <c r="AG77" s="369">
        <v>0</v>
      </c>
      <c r="AH77" s="369">
        <v>0</v>
      </c>
      <c r="AI77" s="369">
        <v>0</v>
      </c>
      <c r="AJ77" s="369"/>
      <c r="AK77" s="369">
        <f t="shared" si="58"/>
        <v>-16600000</v>
      </c>
      <c r="AL77" s="369">
        <f t="shared" si="59"/>
        <v>275583945.82999998</v>
      </c>
      <c r="AM77" s="369"/>
      <c r="AN77" s="369">
        <v>0</v>
      </c>
      <c r="AO77" s="369">
        <f>'D-1-Optimal'!Q18</f>
        <v>277698776</v>
      </c>
      <c r="AP77" s="369">
        <v>0</v>
      </c>
      <c r="AQ77" s="369">
        <v>0</v>
      </c>
      <c r="AR77" s="369">
        <v>0</v>
      </c>
      <c r="AS77" s="369"/>
      <c r="AT77" s="369">
        <f t="shared" si="64"/>
        <v>277698776</v>
      </c>
      <c r="AU77" s="369"/>
      <c r="AV77" s="369">
        <v>0</v>
      </c>
      <c r="AW77" s="1159">
        <f>-SUM('Genera - Updates'!G28:G39)</f>
        <v>-20820400</v>
      </c>
      <c r="AX77" s="369">
        <v>0</v>
      </c>
      <c r="AY77" s="369">
        <v>0</v>
      </c>
      <c r="AZ77" s="369">
        <v>0</v>
      </c>
      <c r="BA77" s="369"/>
      <c r="BB77" s="369">
        <f t="shared" si="60"/>
        <v>-20820400</v>
      </c>
      <c r="BC77" s="369"/>
      <c r="BD77" s="369">
        <f t="shared" si="61"/>
        <v>256878376</v>
      </c>
    </row>
    <row r="78" spans="1:56">
      <c r="A78" s="91">
        <f t="shared" si="55"/>
        <v>63</v>
      </c>
      <c r="C78" s="80" t="s">
        <v>253</v>
      </c>
      <c r="D78" s="80"/>
      <c r="F78" s="369">
        <v>0</v>
      </c>
      <c r="G78" s="369">
        <v>0</v>
      </c>
      <c r="H78" s="369">
        <f>'D-1-Optimal'!I36</f>
        <v>1234000</v>
      </c>
      <c r="I78" s="369">
        <v>0</v>
      </c>
      <c r="J78" s="369">
        <v>0</v>
      </c>
      <c r="K78" s="369"/>
      <c r="L78" s="370">
        <f t="shared" si="62"/>
        <v>1234000</v>
      </c>
      <c r="M78" s="368"/>
      <c r="N78" s="369">
        <v>0</v>
      </c>
      <c r="O78" s="369">
        <v>0</v>
      </c>
      <c r="P78" s="369">
        <f>('FY26-FY28_PREPA Consolidated'!DL33*1000)-H78</f>
        <v>7148150.2600000007</v>
      </c>
      <c r="Q78" s="369">
        <v>0</v>
      </c>
      <c r="R78" s="369">
        <v>0</v>
      </c>
      <c r="S78" s="369"/>
      <c r="T78" s="369">
        <f t="shared" si="56"/>
        <v>7148150.2600000007</v>
      </c>
      <c r="U78" s="369">
        <f t="shared" si="57"/>
        <v>8382150.2600000007</v>
      </c>
      <c r="V78" s="369"/>
      <c r="W78" s="369">
        <v>0</v>
      </c>
      <c r="X78" s="369">
        <v>0</v>
      </c>
      <c r="Y78" s="369">
        <f>'D-1-Optimal'!M36</f>
        <v>1295700</v>
      </c>
      <c r="Z78" s="369">
        <v>0</v>
      </c>
      <c r="AA78" s="369">
        <v>0</v>
      </c>
      <c r="AB78" s="369"/>
      <c r="AC78" s="369">
        <f t="shared" si="63"/>
        <v>1295700</v>
      </c>
      <c r="AD78" s="369"/>
      <c r="AE78" s="369">
        <v>0</v>
      </c>
      <c r="AF78" s="369">
        <v>0</v>
      </c>
      <c r="AG78" s="369">
        <f>('FY26-FY28_PREPA Consolidated'!DY33*1000)-Y78</f>
        <v>4673460</v>
      </c>
      <c r="AH78" s="369">
        <v>0</v>
      </c>
      <c r="AI78" s="369">
        <v>0</v>
      </c>
      <c r="AJ78" s="369"/>
      <c r="AK78" s="369">
        <f t="shared" si="58"/>
        <v>4673460</v>
      </c>
      <c r="AL78" s="369">
        <f t="shared" si="59"/>
        <v>5969160</v>
      </c>
      <c r="AM78" s="369"/>
      <c r="AN78" s="369">
        <v>0</v>
      </c>
      <c r="AO78" s="369">
        <v>0</v>
      </c>
      <c r="AP78" s="369">
        <f>'D-1-Optimal'!Q36</f>
        <v>1360485</v>
      </c>
      <c r="AQ78" s="369">
        <v>0</v>
      </c>
      <c r="AR78" s="369">
        <v>0</v>
      </c>
      <c r="AS78" s="369"/>
      <c r="AT78" s="369">
        <f t="shared" si="64"/>
        <v>1360485</v>
      </c>
      <c r="AU78" s="369"/>
      <c r="AV78" s="369">
        <v>0</v>
      </c>
      <c r="AW78" s="369">
        <v>0</v>
      </c>
      <c r="AX78" s="369">
        <f>('FY26-FY28_PREPA Consolidated'!EI33*1000)-AP78</f>
        <v>4406675</v>
      </c>
      <c r="AY78" s="369">
        <v>0</v>
      </c>
      <c r="AZ78" s="369">
        <v>0</v>
      </c>
      <c r="BA78" s="369"/>
      <c r="BB78" s="369">
        <f t="shared" si="60"/>
        <v>4406675</v>
      </c>
      <c r="BC78" s="369"/>
      <c r="BD78" s="369">
        <f t="shared" si="61"/>
        <v>5767160</v>
      </c>
    </row>
    <row r="79" spans="1:56">
      <c r="A79" s="91">
        <f t="shared" si="55"/>
        <v>64</v>
      </c>
      <c r="C79" s="80" t="s">
        <v>258</v>
      </c>
      <c r="D79" s="80"/>
      <c r="E79" s="2"/>
      <c r="F79" s="369">
        <v>0</v>
      </c>
      <c r="G79" s="369">
        <v>0</v>
      </c>
      <c r="H79" s="369">
        <v>0</v>
      </c>
      <c r="I79" s="369">
        <f>'D-1-Optimal'!I91</f>
        <v>38565069.597069591</v>
      </c>
      <c r="J79" s="369">
        <v>0</v>
      </c>
      <c r="K79" s="369"/>
      <c r="L79" s="370">
        <f t="shared" si="62"/>
        <v>38565069.597069591</v>
      </c>
      <c r="M79" s="368"/>
      <c r="N79" s="369">
        <v>0</v>
      </c>
      <c r="O79" s="369">
        <v>0</v>
      </c>
      <c r="P79" s="369">
        <v>0</v>
      </c>
      <c r="Q79" s="369">
        <f>('FY26-FY28_PREPA Consolidated'!BT33*1000)-I79</f>
        <v>-36500069.597069591</v>
      </c>
      <c r="R79" s="369">
        <v>0</v>
      </c>
      <c r="S79" s="369"/>
      <c r="T79" s="369">
        <f t="shared" si="56"/>
        <v>-36500069.597069591</v>
      </c>
      <c r="U79" s="369">
        <f t="shared" si="57"/>
        <v>2065000</v>
      </c>
      <c r="V79" s="369"/>
      <c r="W79" s="369">
        <v>0</v>
      </c>
      <c r="X79" s="369">
        <v>0</v>
      </c>
      <c r="Y79" s="369">
        <v>0</v>
      </c>
      <c r="Z79" s="369">
        <f>'D-1-Optimal'!M91</f>
        <v>59471982.380952381</v>
      </c>
      <c r="AA79" s="369">
        <v>0</v>
      </c>
      <c r="AB79" s="369"/>
      <c r="AC79" s="369">
        <f t="shared" si="63"/>
        <v>59471982.380952381</v>
      </c>
      <c r="AD79" s="369"/>
      <c r="AE79" s="369">
        <v>0</v>
      </c>
      <c r="AF79" s="369">
        <v>0</v>
      </c>
      <c r="AG79" s="369">
        <v>0</v>
      </c>
      <c r="AH79" s="369">
        <f>('FY26-FY28_PREPA Consolidated'!DU33*1000)-Z79</f>
        <v>-58701982.380952381</v>
      </c>
      <c r="AI79" s="369">
        <v>0</v>
      </c>
      <c r="AJ79" s="369"/>
      <c r="AK79" s="369">
        <f t="shared" si="58"/>
        <v>-58701982.380952381</v>
      </c>
      <c r="AL79" s="369">
        <f t="shared" si="59"/>
        <v>770000</v>
      </c>
      <c r="AM79" s="369"/>
      <c r="AN79" s="369">
        <v>0</v>
      </c>
      <c r="AO79" s="369">
        <v>0</v>
      </c>
      <c r="AP79" s="369">
        <v>0</v>
      </c>
      <c r="AQ79" s="369">
        <f>'D-1-Optimal'!Q91</f>
        <v>63128897.676190473</v>
      </c>
      <c r="AR79" s="369">
        <v>0</v>
      </c>
      <c r="AS79" s="369"/>
      <c r="AT79" s="369">
        <f t="shared" si="64"/>
        <v>63128897.676190473</v>
      </c>
      <c r="AU79" s="369"/>
      <c r="AV79" s="369">
        <v>0</v>
      </c>
      <c r="AW79" s="369">
        <v>0</v>
      </c>
      <c r="AX79" s="369">
        <v>0</v>
      </c>
      <c r="AY79" s="369">
        <f>('FY26-FY28_PREPA Consolidated'!EE33*1000)-AQ79</f>
        <v>-62858897.676190473</v>
      </c>
      <c r="AZ79" s="369">
        <v>0</v>
      </c>
      <c r="BA79" s="369"/>
      <c r="BB79" s="369">
        <f t="shared" si="60"/>
        <v>-62858897.676190473</v>
      </c>
      <c r="BC79" s="369"/>
      <c r="BD79" s="369">
        <f t="shared" si="61"/>
        <v>270000</v>
      </c>
    </row>
    <row r="80" spans="1:56">
      <c r="A80" s="91">
        <f t="shared" si="55"/>
        <v>65</v>
      </c>
      <c r="C80" s="80" t="s">
        <v>335</v>
      </c>
      <c r="D80" s="80"/>
      <c r="F80" s="369">
        <v>0</v>
      </c>
      <c r="G80" s="369">
        <v>0</v>
      </c>
      <c r="H80" s="369">
        <v>0</v>
      </c>
      <c r="I80" s="369">
        <v>0</v>
      </c>
      <c r="J80" s="369">
        <v>0</v>
      </c>
      <c r="K80" s="369"/>
      <c r="L80" s="370">
        <f t="shared" si="62"/>
        <v>0</v>
      </c>
      <c r="M80" s="368"/>
      <c r="N80" s="369">
        <v>0</v>
      </c>
      <c r="O80" s="369">
        <v>0</v>
      </c>
      <c r="P80" s="369">
        <v>0</v>
      </c>
      <c r="Q80" s="369">
        <v>0</v>
      </c>
      <c r="R80" s="369">
        <v>0</v>
      </c>
      <c r="S80" s="369"/>
      <c r="T80" s="369">
        <f t="shared" si="56"/>
        <v>0</v>
      </c>
      <c r="U80" s="369">
        <f t="shared" si="57"/>
        <v>0</v>
      </c>
      <c r="V80" s="369"/>
      <c r="W80" s="369">
        <v>0</v>
      </c>
      <c r="X80" s="369">
        <v>0</v>
      </c>
      <c r="Y80" s="369">
        <v>0</v>
      </c>
      <c r="Z80" s="369">
        <v>0</v>
      </c>
      <c r="AA80" s="369">
        <v>0</v>
      </c>
      <c r="AB80" s="369"/>
      <c r="AC80" s="369">
        <f t="shared" si="63"/>
        <v>0</v>
      </c>
      <c r="AD80" s="369"/>
      <c r="AE80" s="369">
        <v>0</v>
      </c>
      <c r="AF80" s="369">
        <v>0</v>
      </c>
      <c r="AG80" s="369">
        <v>0</v>
      </c>
      <c r="AH80" s="369">
        <v>0</v>
      </c>
      <c r="AI80" s="369">
        <v>0</v>
      </c>
      <c r="AJ80" s="369"/>
      <c r="AK80" s="369">
        <f t="shared" si="58"/>
        <v>0</v>
      </c>
      <c r="AL80" s="369">
        <f t="shared" si="59"/>
        <v>0</v>
      </c>
      <c r="AM80" s="369"/>
      <c r="AN80" s="369">
        <v>0</v>
      </c>
      <c r="AO80" s="369">
        <v>0</v>
      </c>
      <c r="AP80" s="369">
        <v>0</v>
      </c>
      <c r="AQ80" s="369">
        <v>0</v>
      </c>
      <c r="AR80" s="369">
        <v>0</v>
      </c>
      <c r="AS80" s="369"/>
      <c r="AT80" s="369">
        <f t="shared" si="64"/>
        <v>0</v>
      </c>
      <c r="AU80" s="369"/>
      <c r="AV80" s="369">
        <v>0</v>
      </c>
      <c r="AW80" s="369">
        <v>0</v>
      </c>
      <c r="AX80" s="369">
        <v>0</v>
      </c>
      <c r="AY80" s="369">
        <v>0</v>
      </c>
      <c r="AZ80" s="369">
        <v>0</v>
      </c>
      <c r="BA80" s="369"/>
      <c r="BB80" s="369">
        <f t="shared" si="60"/>
        <v>0</v>
      </c>
      <c r="BC80" s="369"/>
      <c r="BD80" s="369">
        <f t="shared" si="61"/>
        <v>0</v>
      </c>
    </row>
    <row r="81" spans="1:56">
      <c r="A81" s="91">
        <f t="shared" si="55"/>
        <v>66</v>
      </c>
      <c r="C81" s="80" t="s">
        <v>336</v>
      </c>
      <c r="D81" s="80"/>
      <c r="E81" s="2"/>
      <c r="F81" s="369">
        <v>0</v>
      </c>
      <c r="G81" s="369">
        <v>0</v>
      </c>
      <c r="H81" s="369">
        <v>0</v>
      </c>
      <c r="I81" s="369">
        <v>0</v>
      </c>
      <c r="J81" s="369">
        <v>0</v>
      </c>
      <c r="K81" s="369"/>
      <c r="L81" s="370">
        <f t="shared" si="62"/>
        <v>0</v>
      </c>
      <c r="M81" s="368"/>
      <c r="N81" s="369">
        <v>0</v>
      </c>
      <c r="O81" s="369">
        <v>0</v>
      </c>
      <c r="P81" s="369">
        <v>0</v>
      </c>
      <c r="Q81" s="369">
        <v>0</v>
      </c>
      <c r="R81" s="369">
        <v>0</v>
      </c>
      <c r="S81" s="369"/>
      <c r="T81" s="369">
        <f t="shared" si="56"/>
        <v>0</v>
      </c>
      <c r="U81" s="369">
        <f t="shared" si="57"/>
        <v>0</v>
      </c>
      <c r="V81" s="369"/>
      <c r="W81" s="369">
        <v>0</v>
      </c>
      <c r="X81" s="369">
        <v>0</v>
      </c>
      <c r="Y81" s="369">
        <v>0</v>
      </c>
      <c r="Z81" s="369">
        <v>0</v>
      </c>
      <c r="AA81" s="369">
        <v>0</v>
      </c>
      <c r="AB81" s="369"/>
      <c r="AC81" s="369">
        <f t="shared" si="63"/>
        <v>0</v>
      </c>
      <c r="AD81" s="369"/>
      <c r="AE81" s="369">
        <v>0</v>
      </c>
      <c r="AF81" s="369">
        <v>0</v>
      </c>
      <c r="AG81" s="369">
        <v>0</v>
      </c>
      <c r="AH81" s="369">
        <v>0</v>
      </c>
      <c r="AI81" s="369">
        <v>0</v>
      </c>
      <c r="AJ81" s="369"/>
      <c r="AK81" s="369">
        <f t="shared" si="58"/>
        <v>0</v>
      </c>
      <c r="AL81" s="369">
        <f t="shared" si="59"/>
        <v>0</v>
      </c>
      <c r="AM81" s="369"/>
      <c r="AN81" s="369">
        <v>0</v>
      </c>
      <c r="AO81" s="369">
        <v>0</v>
      </c>
      <c r="AP81" s="369">
        <v>0</v>
      </c>
      <c r="AQ81" s="369">
        <v>0</v>
      </c>
      <c r="AR81" s="369">
        <v>0</v>
      </c>
      <c r="AS81" s="369"/>
      <c r="AT81" s="369">
        <f t="shared" si="64"/>
        <v>0</v>
      </c>
      <c r="AU81" s="369"/>
      <c r="AV81" s="369">
        <v>0</v>
      </c>
      <c r="AW81" s="369">
        <v>0</v>
      </c>
      <c r="AX81" s="369">
        <v>0</v>
      </c>
      <c r="AY81" s="369">
        <v>0</v>
      </c>
      <c r="AZ81" s="369">
        <v>0</v>
      </c>
      <c r="BA81" s="369"/>
      <c r="BB81" s="369">
        <f t="shared" si="60"/>
        <v>0</v>
      </c>
      <c r="BC81" s="369"/>
      <c r="BD81" s="369">
        <f t="shared" si="61"/>
        <v>0</v>
      </c>
    </row>
    <row r="82" spans="1:56">
      <c r="A82" s="91">
        <f t="shared" si="55"/>
        <v>67</v>
      </c>
      <c r="C82" s="80" t="s">
        <v>337</v>
      </c>
      <c r="D82" s="80"/>
      <c r="F82" s="369">
        <v>0</v>
      </c>
      <c r="G82" s="369">
        <v>0</v>
      </c>
      <c r="H82" s="369">
        <v>0</v>
      </c>
      <c r="I82" s="369">
        <v>0</v>
      </c>
      <c r="J82" s="369">
        <v>0</v>
      </c>
      <c r="K82" s="369"/>
      <c r="L82" s="370">
        <f t="shared" si="62"/>
        <v>0</v>
      </c>
      <c r="M82" s="368"/>
      <c r="N82" s="369">
        <v>0</v>
      </c>
      <c r="O82" s="369">
        <v>0</v>
      </c>
      <c r="P82" s="369">
        <v>0</v>
      </c>
      <c r="Q82" s="369">
        <v>0</v>
      </c>
      <c r="R82" s="369">
        <v>0</v>
      </c>
      <c r="S82" s="369"/>
      <c r="T82" s="369">
        <f t="shared" si="56"/>
        <v>0</v>
      </c>
      <c r="U82" s="369">
        <f t="shared" si="57"/>
        <v>0</v>
      </c>
      <c r="V82" s="369"/>
      <c r="W82" s="369">
        <v>0</v>
      </c>
      <c r="X82" s="369">
        <v>0</v>
      </c>
      <c r="Y82" s="369">
        <v>0</v>
      </c>
      <c r="Z82" s="369">
        <v>0</v>
      </c>
      <c r="AA82" s="369">
        <v>0</v>
      </c>
      <c r="AB82" s="369"/>
      <c r="AC82" s="369">
        <f t="shared" si="63"/>
        <v>0</v>
      </c>
      <c r="AD82" s="369"/>
      <c r="AE82" s="369">
        <v>0</v>
      </c>
      <c r="AF82" s="369">
        <v>0</v>
      </c>
      <c r="AG82" s="369">
        <v>0</v>
      </c>
      <c r="AH82" s="369">
        <v>0</v>
      </c>
      <c r="AI82" s="369">
        <v>0</v>
      </c>
      <c r="AJ82" s="369"/>
      <c r="AK82" s="369">
        <f t="shared" si="58"/>
        <v>0</v>
      </c>
      <c r="AL82" s="369">
        <f t="shared" si="59"/>
        <v>0</v>
      </c>
      <c r="AM82" s="369"/>
      <c r="AN82" s="369">
        <v>0</v>
      </c>
      <c r="AO82" s="369">
        <v>0</v>
      </c>
      <c r="AP82" s="369">
        <v>0</v>
      </c>
      <c r="AQ82" s="369">
        <v>0</v>
      </c>
      <c r="AR82" s="369">
        <v>0</v>
      </c>
      <c r="AS82" s="369"/>
      <c r="AT82" s="369">
        <f t="shared" si="64"/>
        <v>0</v>
      </c>
      <c r="AU82" s="369"/>
      <c r="AV82" s="369">
        <v>0</v>
      </c>
      <c r="AW82" s="369">
        <v>0</v>
      </c>
      <c r="AX82" s="369">
        <v>0</v>
      </c>
      <c r="AY82" s="369">
        <v>0</v>
      </c>
      <c r="AZ82" s="369">
        <v>0</v>
      </c>
      <c r="BA82" s="369"/>
      <c r="BB82" s="369">
        <f t="shared" si="60"/>
        <v>0</v>
      </c>
      <c r="BC82" s="369"/>
      <c r="BD82" s="369">
        <f t="shared" si="61"/>
        <v>0</v>
      </c>
    </row>
    <row r="83" spans="1:56">
      <c r="A83" s="91">
        <f>IF(C83&lt;&gt;"",MAX(A80:A82)+1,"")</f>
        <v>68</v>
      </c>
      <c r="C83" s="792" t="s">
        <v>338</v>
      </c>
      <c r="D83" s="874"/>
      <c r="F83" s="779">
        <f>SUM(F76:F82)</f>
        <v>0</v>
      </c>
      <c r="G83" s="779">
        <f t="shared" ref="G83:I83" si="65">SUM(G76:G82)</f>
        <v>290965353</v>
      </c>
      <c r="H83" s="779">
        <f t="shared" si="65"/>
        <v>1234000</v>
      </c>
      <c r="I83" s="779">
        <f t="shared" si="65"/>
        <v>38565069.597069591</v>
      </c>
      <c r="J83" s="779">
        <f>SUM(J76:J82)</f>
        <v>602569233.30536306</v>
      </c>
      <c r="K83" s="653"/>
      <c r="L83" s="875">
        <f>SUM(L76:L79)</f>
        <v>933333655.90243268</v>
      </c>
      <c r="M83" s="764"/>
      <c r="N83" s="779">
        <f>SUM(N76:N82)</f>
        <v>0</v>
      </c>
      <c r="O83" s="779">
        <f t="shared" ref="O83:Q83" si="66">SUM(O76:O82)</f>
        <v>-56400000</v>
      </c>
      <c r="P83" s="779">
        <f t="shared" si="66"/>
        <v>7148150.2600000007</v>
      </c>
      <c r="Q83" s="779">
        <f t="shared" si="66"/>
        <v>-36500069.597069591</v>
      </c>
      <c r="R83" s="779">
        <f>SUM(R76:R82)</f>
        <v>0</v>
      </c>
      <c r="S83" s="653"/>
      <c r="T83" s="779">
        <f t="shared" si="56"/>
        <v>-85751919.337069601</v>
      </c>
      <c r="U83" s="779">
        <f>+T83+L83</f>
        <v>847581736.56536305</v>
      </c>
      <c r="V83" s="653"/>
      <c r="W83" s="779">
        <f>SUM(W76:W82)</f>
        <v>0</v>
      </c>
      <c r="X83" s="779">
        <f t="shared" ref="X83:AA83" si="67">SUM(X76:X82)</f>
        <v>292183945.82999998</v>
      </c>
      <c r="Y83" s="779">
        <f t="shared" si="67"/>
        <v>1295700</v>
      </c>
      <c r="Z83" s="779">
        <f t="shared" si="67"/>
        <v>59471982.380952381</v>
      </c>
      <c r="AA83" s="779">
        <f t="shared" si="67"/>
        <v>762356713.15257704</v>
      </c>
      <c r="AB83" s="653"/>
      <c r="AC83" s="779">
        <f>SUM(AC76:AC79)</f>
        <v>1115308341.3635294</v>
      </c>
      <c r="AD83" s="653"/>
      <c r="AE83" s="779">
        <f>SUM(AE76:AE82)</f>
        <v>0</v>
      </c>
      <c r="AF83" s="779">
        <f t="shared" ref="AF83:AH83" si="68">SUM(AF76:AF82)</f>
        <v>-16600000</v>
      </c>
      <c r="AG83" s="779">
        <f t="shared" si="68"/>
        <v>4673460</v>
      </c>
      <c r="AH83" s="779">
        <f t="shared" si="68"/>
        <v>-58701982.380952381</v>
      </c>
      <c r="AI83" s="779">
        <f>SUM(AI76:AI82)</f>
        <v>0</v>
      </c>
      <c r="AJ83" s="653"/>
      <c r="AK83" s="779">
        <f t="shared" si="58"/>
        <v>-70628522.380952388</v>
      </c>
      <c r="AL83" s="779">
        <f t="shared" si="59"/>
        <v>1044679818.9825771</v>
      </c>
      <c r="AM83" s="653"/>
      <c r="AN83" s="779">
        <f>SUM(AN76:AN82)</f>
        <v>0</v>
      </c>
      <c r="AO83" s="779">
        <f t="shared" ref="AO83:AR83" si="69">SUM(AO76:AO82)</f>
        <v>277698776</v>
      </c>
      <c r="AP83" s="779">
        <f t="shared" si="69"/>
        <v>1360485</v>
      </c>
      <c r="AQ83" s="779">
        <f t="shared" si="69"/>
        <v>63128897.676190473</v>
      </c>
      <c r="AR83" s="779">
        <f t="shared" si="69"/>
        <v>928328366.59445906</v>
      </c>
      <c r="AS83" s="653"/>
      <c r="AT83" s="779">
        <f>SUM(AT76:AT79)</f>
        <v>1270516525.2706494</v>
      </c>
      <c r="AU83" s="653"/>
      <c r="AV83" s="779">
        <f>SUM(AV76:AV82)</f>
        <v>0</v>
      </c>
      <c r="AW83" s="779">
        <f t="shared" ref="AW83:AY83" si="70">SUM(AW76:AW82)</f>
        <v>-20820400</v>
      </c>
      <c r="AX83" s="779">
        <f t="shared" si="70"/>
        <v>4406675</v>
      </c>
      <c r="AY83" s="779">
        <f t="shared" si="70"/>
        <v>-62858897.676190473</v>
      </c>
      <c r="AZ83" s="779">
        <f>SUM(AZ76:AZ82)</f>
        <v>0</v>
      </c>
      <c r="BA83" s="653"/>
      <c r="BB83" s="779">
        <f t="shared" si="60"/>
        <v>-79272622.676190466</v>
      </c>
      <c r="BC83" s="653"/>
      <c r="BD83" s="779">
        <f t="shared" si="61"/>
        <v>1191243902.5944591</v>
      </c>
    </row>
    <row r="84" spans="1:56">
      <c r="A84" s="91"/>
      <c r="C84" s="80"/>
      <c r="D84" s="80"/>
      <c r="E84" s="2"/>
      <c r="F84" s="369"/>
      <c r="G84" s="369"/>
      <c r="H84" s="369"/>
      <c r="I84" s="369"/>
      <c r="J84" s="369"/>
      <c r="K84" s="369"/>
      <c r="L84" s="370"/>
      <c r="M84" s="368"/>
      <c r="N84" s="369"/>
      <c r="O84" s="369"/>
      <c r="P84" s="369"/>
      <c r="Q84" s="369"/>
      <c r="R84" s="369"/>
      <c r="S84" s="369"/>
      <c r="T84" s="369"/>
      <c r="U84" s="369"/>
      <c r="V84" s="369"/>
      <c r="W84" s="369"/>
      <c r="X84" s="369"/>
      <c r="Y84" s="369"/>
      <c r="Z84" s="369"/>
      <c r="AA84" s="369"/>
      <c r="AB84" s="369"/>
      <c r="AC84" s="369"/>
      <c r="AD84" s="369"/>
      <c r="AE84" s="369"/>
      <c r="AF84" s="369"/>
      <c r="AG84" s="369"/>
      <c r="AH84" s="369"/>
      <c r="AI84" s="369"/>
      <c r="AJ84" s="369"/>
      <c r="AK84" s="369"/>
      <c r="AL84" s="369"/>
      <c r="AM84" s="369"/>
      <c r="AN84" s="369"/>
      <c r="AO84" s="369"/>
      <c r="AP84" s="369"/>
      <c r="AQ84" s="369"/>
      <c r="AR84" s="369"/>
      <c r="AS84" s="369"/>
      <c r="AT84" s="369"/>
      <c r="AU84" s="369"/>
      <c r="AV84" s="369"/>
      <c r="AW84" s="369"/>
      <c r="AX84" s="369"/>
      <c r="AY84" s="369"/>
      <c r="AZ84" s="369"/>
      <c r="BA84" s="369"/>
      <c r="BB84" s="369"/>
      <c r="BC84" s="369"/>
      <c r="BD84" s="369"/>
    </row>
    <row r="85" spans="1:56">
      <c r="A85" s="91">
        <f>IF(C85&lt;&gt;"",MAX(A82:A84)+1,"")</f>
        <v>69</v>
      </c>
      <c r="C85" s="80" t="s">
        <v>339</v>
      </c>
      <c r="D85" s="80"/>
      <c r="E85" s="2"/>
      <c r="F85" s="369">
        <v>0</v>
      </c>
      <c r="G85" s="377">
        <v>67403088.084444642</v>
      </c>
      <c r="H85" s="369">
        <v>0</v>
      </c>
      <c r="I85" s="369">
        <v>0</v>
      </c>
      <c r="J85" s="369">
        <f>SUM('D-1-Optimal'!H6,'D-1-Optimal'!H39,'D-1-Optimal'!H45,'D-1-Optimal'!H52,'D-1-Optimal'!H57,'D-1-Optimal'!H63,'D-1-Optimal'!H77)*0.1</f>
        <v>90138971.987098172</v>
      </c>
      <c r="K85" s="369"/>
      <c r="L85" s="370">
        <f t="shared" ref="L85" si="71">SUM(F85:J85)</f>
        <v>157542060.0715428</v>
      </c>
      <c r="M85" s="368"/>
      <c r="N85" s="369">
        <v>0</v>
      </c>
      <c r="O85" s="1159">
        <f>-'Genera - Updates'!E27</f>
        <v>-67403088.084444597</v>
      </c>
      <c r="P85" s="377">
        <f>(SUMIF('FY26-FY28_PREPA Consolidated'!I:I,C85,'FY26-FY28_PREPA Consolidated'!DL:DL)*1000)-H85</f>
        <v>2382329.6383785713</v>
      </c>
      <c r="Q85" s="377">
        <f>((SUMIF('FY26-FY28_PREPA Consolidated'!I:I,C85,'FY26-FY28_PREPA Consolidated'!BT:BT)+SUMIF('FY26-FY28_PREPA Consolidated'!I:I,C85,'FY26-FY28_PREPA Consolidated'!CD:CD))*1000)-I85</f>
        <v>6727934.8959999969</v>
      </c>
      <c r="R85" s="369">
        <v>0</v>
      </c>
      <c r="S85" s="369"/>
      <c r="T85" s="369">
        <f t="shared" ref="T85:T88" si="72">+SUM(N85:R85)</f>
        <v>-58292823.550066032</v>
      </c>
      <c r="U85" s="369">
        <f>+T85+L85</f>
        <v>99249236.521476775</v>
      </c>
      <c r="V85" s="369"/>
      <c r="W85" s="369">
        <v>0</v>
      </c>
      <c r="X85" s="377">
        <v>34288638.684478566</v>
      </c>
      <c r="Y85" s="369">
        <v>0</v>
      </c>
      <c r="Z85" s="369">
        <v>0</v>
      </c>
      <c r="AA85" s="369">
        <f>SUM('D-1-Optimal'!L6,'D-1-Optimal'!L39,'D-1-Optimal'!L45,'D-1-Optimal'!L52,'D-1-Optimal'!L57,'D-1-Optimal'!L63,'D-1-Optimal'!L77)*0.1</f>
        <v>165894944.55776396</v>
      </c>
      <c r="AB85" s="369"/>
      <c r="AC85" s="369">
        <f t="shared" ref="AC85" si="73">SUM(W85:AA85)</f>
        <v>200183583.24224252</v>
      </c>
      <c r="AD85" s="369"/>
      <c r="AE85" s="369">
        <v>0</v>
      </c>
      <c r="AF85" s="1159">
        <f>-'Genera - Updates'!F27</f>
        <v>-34288638.684478603</v>
      </c>
      <c r="AG85" s="1158">
        <v>812609</v>
      </c>
      <c r="AH85" s="369">
        <v>0</v>
      </c>
      <c r="AI85" s="369">
        <v>0</v>
      </c>
      <c r="AJ85" s="369"/>
      <c r="AK85" s="369">
        <f t="shared" ref="AK85:AK87" si="74">+SUM(AE85:AI85)</f>
        <v>-33476029.684478603</v>
      </c>
      <c r="AL85" s="369">
        <f t="shared" ref="AL85:AL87" si="75">+AK85+AC85</f>
        <v>166707553.5577639</v>
      </c>
      <c r="AM85" s="369"/>
      <c r="AN85" s="369">
        <v>0</v>
      </c>
      <c r="AO85" s="377">
        <v>8502694.1737267859</v>
      </c>
      <c r="AP85" s="369">
        <v>0</v>
      </c>
      <c r="AQ85" s="369">
        <v>0</v>
      </c>
      <c r="AR85" s="369">
        <f>SUM('D-1-Optimal'!P6,'D-1-Optimal'!P39,'D-1-Optimal'!P45,'D-1-Optimal'!P52,'D-1-Optimal'!P57,'D-1-Optimal'!P63,'D-1-Optimal'!P77)*0.1</f>
        <v>188690476.6468811</v>
      </c>
      <c r="AS85" s="369"/>
      <c r="AT85" s="369">
        <f t="shared" ref="AT85" si="76">SUM(AN85:AR85)</f>
        <v>197193170.8206079</v>
      </c>
      <c r="AU85" s="369"/>
      <c r="AV85" s="369">
        <v>0</v>
      </c>
      <c r="AW85" s="1159">
        <f>-'Genera - Updates'!G27</f>
        <v>-8502694.1737267897</v>
      </c>
      <c r="AX85" s="369">
        <v>0</v>
      </c>
      <c r="AY85" s="369">
        <v>0</v>
      </c>
      <c r="AZ85" s="369">
        <v>0</v>
      </c>
      <c r="BA85" s="369"/>
      <c r="BB85" s="369">
        <f t="shared" ref="BB85:BB87" si="77">+SUM(AV85:AZ85)</f>
        <v>-8502694.1737267897</v>
      </c>
      <c r="BC85" s="369"/>
      <c r="BD85" s="369">
        <f t="shared" ref="BD85:BD87" si="78">+BB85+AT85</f>
        <v>188690476.6468811</v>
      </c>
    </row>
    <row r="86" spans="1:56">
      <c r="A86" s="91">
        <f>IF(C86&lt;&gt;"",MAX(A84:A85)+1,"")</f>
        <v>70</v>
      </c>
      <c r="C86" s="80" t="s">
        <v>340</v>
      </c>
      <c r="D86" s="80"/>
      <c r="F86" s="369">
        <v>0</v>
      </c>
      <c r="G86" s="377">
        <f>G83+G61</f>
        <v>596558723.07010579</v>
      </c>
      <c r="H86" s="369">
        <v>0</v>
      </c>
      <c r="I86" s="369">
        <v>0</v>
      </c>
      <c r="J86" s="377">
        <f>J83+J61</f>
        <v>1615244371.6216378</v>
      </c>
      <c r="K86" s="369"/>
      <c r="L86" s="370">
        <f>L33+L56+L83</f>
        <v>2344886266.5145535</v>
      </c>
      <c r="M86" s="368"/>
      <c r="N86" s="369">
        <v>0</v>
      </c>
      <c r="O86" s="369">
        <v>0</v>
      </c>
      <c r="P86" s="377">
        <f>(SUMIF('FY26-FY28_PREPA Consolidated'!I:I,C86,'FY26-FY28_PREPA Consolidated'!DL:DL)*1000)-H86</f>
        <v>0</v>
      </c>
      <c r="Q86" s="377">
        <f>((SUMIF('FY26-FY28_PREPA Consolidated'!I:I,C86,'FY26-FY28_PREPA Consolidated'!BT:BT)+SUMIF('FY26-FY28_PREPA Consolidated'!I:I,C86,'FY26-FY28_PREPA Consolidated'!CD:CD))*1000)-I86</f>
        <v>0</v>
      </c>
      <c r="R86" s="369">
        <v>0</v>
      </c>
      <c r="S86" s="369"/>
      <c r="T86" s="369">
        <f t="shared" si="72"/>
        <v>0</v>
      </c>
      <c r="U86" s="369">
        <f>+T86+L86</f>
        <v>2344886266.5145535</v>
      </c>
      <c r="V86" s="369"/>
      <c r="W86" s="369">
        <v>0</v>
      </c>
      <c r="X86" s="369">
        <v>0</v>
      </c>
      <c r="Y86" s="369">
        <v>0</v>
      </c>
      <c r="Z86" s="369">
        <v>0</v>
      </c>
      <c r="AA86" s="369">
        <v>0</v>
      </c>
      <c r="AB86" s="369"/>
      <c r="AC86" s="369">
        <f>AC33+AC56+AC83</f>
        <v>2640262577.6363101</v>
      </c>
      <c r="AD86" s="369"/>
      <c r="AE86" s="369">
        <v>0</v>
      </c>
      <c r="AF86" s="369">
        <v>0</v>
      </c>
      <c r="AG86" s="369">
        <v>0</v>
      </c>
      <c r="AH86" s="369">
        <v>0</v>
      </c>
      <c r="AI86" s="369">
        <v>0</v>
      </c>
      <c r="AJ86" s="369"/>
      <c r="AK86" s="369">
        <f t="shared" si="74"/>
        <v>0</v>
      </c>
      <c r="AL86" s="369">
        <f t="shared" si="75"/>
        <v>2640262577.6363101</v>
      </c>
      <c r="AM86" s="369"/>
      <c r="AN86" s="369">
        <v>0</v>
      </c>
      <c r="AO86" s="369">
        <v>0</v>
      </c>
      <c r="AP86" s="369">
        <v>0</v>
      </c>
      <c r="AQ86" s="369">
        <v>0</v>
      </c>
      <c r="AR86" s="369">
        <v>0</v>
      </c>
      <c r="AS86" s="369"/>
      <c r="AT86" s="369">
        <f>AT33+AT56+AT83</f>
        <v>2884245363.4966154</v>
      </c>
      <c r="AU86" s="369"/>
      <c r="AV86" s="369">
        <v>0</v>
      </c>
      <c r="AW86" s="369">
        <v>0</v>
      </c>
      <c r="AX86" s="369">
        <v>0</v>
      </c>
      <c r="AY86" s="369">
        <v>0</v>
      </c>
      <c r="AZ86" s="369">
        <v>0</v>
      </c>
      <c r="BA86" s="369"/>
      <c r="BB86" s="369">
        <f t="shared" si="77"/>
        <v>0</v>
      </c>
      <c r="BC86" s="369"/>
      <c r="BD86" s="369">
        <f t="shared" si="78"/>
        <v>2884245363.4966154</v>
      </c>
    </row>
    <row r="87" spans="1:56">
      <c r="A87" s="91">
        <f>IF(C87&lt;&gt;"",MAX(A83:A86)+1,"")</f>
        <v>71</v>
      </c>
      <c r="C87" s="792" t="s">
        <v>341</v>
      </c>
      <c r="D87" s="874"/>
      <c r="E87" s="2"/>
      <c r="F87" s="779">
        <f t="shared" ref="F87:J87" si="79">F61+F73+F83</f>
        <v>2647358500.4954295</v>
      </c>
      <c r="G87" s="779">
        <f t="shared" si="79"/>
        <v>653143877.53652573</v>
      </c>
      <c r="H87" s="779">
        <f t="shared" si="79"/>
        <v>14132400</v>
      </c>
      <c r="I87" s="779">
        <f t="shared" si="79"/>
        <v>73628569.597069591</v>
      </c>
      <c r="J87" s="779">
        <f t="shared" si="79"/>
        <v>1906916519.6824293</v>
      </c>
      <c r="K87" s="653"/>
      <c r="L87" s="779">
        <f>L61+L73+L83</f>
        <v>5295179867.3114538</v>
      </c>
      <c r="M87" s="779"/>
      <c r="N87" s="779">
        <f t="shared" ref="N87:R87" si="80">N61+N73+N83</f>
        <v>27074981.774259999</v>
      </c>
      <c r="O87" s="779">
        <f t="shared" si="80"/>
        <v>-55400000</v>
      </c>
      <c r="P87" s="779">
        <f t="shared" si="80"/>
        <v>10862549.441185609</v>
      </c>
      <c r="Q87" s="779">
        <f t="shared" si="80"/>
        <v>300722476.26944041</v>
      </c>
      <c r="R87" s="779">
        <f t="shared" si="80"/>
        <v>-3150000</v>
      </c>
      <c r="S87" s="653"/>
      <c r="T87" s="779">
        <f t="shared" si="72"/>
        <v>280110007.48488605</v>
      </c>
      <c r="U87" s="779">
        <f>+T87+L87</f>
        <v>5575289874.79634</v>
      </c>
      <c r="V87" s="653"/>
      <c r="W87" s="779">
        <f>W24+W33+W56+W60+W73+W83</f>
        <v>2561451707.6516719</v>
      </c>
      <c r="X87" s="779">
        <f>X24+X33+X56+X60+X73+X83</f>
        <v>653555711.34381139</v>
      </c>
      <c r="Y87" s="779">
        <f>Y24+Y33+Y56+Y60+Y73+Y83</f>
        <v>14839020</v>
      </c>
      <c r="Z87" s="779">
        <f>Z24+Z33+Z56+Z60+Z73+Z83</f>
        <v>96288657.380952388</v>
      </c>
      <c r="AA87" s="779">
        <f>AA24+AA33+AA56+AA60+AA73+AA83</f>
        <v>2170820750.7713542</v>
      </c>
      <c r="AB87" s="653"/>
      <c r="AC87" s="779">
        <f>AC24+AC33+AC56+AC60+AC73+AC83</f>
        <v>5496955847.14779</v>
      </c>
      <c r="AD87" s="653"/>
      <c r="AE87" s="779">
        <f t="shared" ref="AE87:AI87" si="81">AE61+AE73+AE83</f>
        <v>12428571</v>
      </c>
      <c r="AF87" s="779">
        <f t="shared" si="81"/>
        <v>-15600000</v>
      </c>
      <c r="AG87" s="779">
        <f t="shared" si="81"/>
        <v>7343977.2546309009</v>
      </c>
      <c r="AH87" s="779">
        <f t="shared" si="81"/>
        <v>261544278.69249347</v>
      </c>
      <c r="AI87" s="779">
        <f t="shared" si="81"/>
        <v>-3000000</v>
      </c>
      <c r="AJ87" s="653"/>
      <c r="AK87" s="779">
        <f t="shared" si="74"/>
        <v>262716826.94712436</v>
      </c>
      <c r="AL87" s="779">
        <f t="shared" si="75"/>
        <v>5759672674.0949144</v>
      </c>
      <c r="AM87" s="653"/>
      <c r="AN87" s="779">
        <f>AN24+AN33+AN56+AN60+AN73+AN83</f>
        <v>2495705482.3445034</v>
      </c>
      <c r="AO87" s="779">
        <f>AO24+AO33+AO56+AO60+AO73+AO83</f>
        <v>647215894.26039481</v>
      </c>
      <c r="AP87" s="779">
        <f>AP24+AP33+AP56+AP60+AP73+AP83</f>
        <v>15580971</v>
      </c>
      <c r="AQ87" s="779">
        <f>AQ24+AQ33+AQ56+AQ60+AQ73+AQ83</f>
        <v>101786406.42619047</v>
      </c>
      <c r="AR87" s="779">
        <f>AR24+AR33+AR56+AR60+AR73+AR83</f>
        <v>2351179647.9528685</v>
      </c>
      <c r="AS87" s="653"/>
      <c r="AT87" s="779">
        <f>AT24+AT33+AT56+AT60+AT73+AT83</f>
        <v>5611468401.9839573</v>
      </c>
      <c r="AU87" s="653"/>
      <c r="AV87" s="779">
        <f t="shared" ref="AV87:AZ87" si="82">AV61+AV73+AV83</f>
        <v>13572272.443565</v>
      </c>
      <c r="AW87" s="779">
        <f t="shared" si="82"/>
        <v>-19820400</v>
      </c>
      <c r="AX87" s="779">
        <f t="shared" si="82"/>
        <v>6678671.4348689448</v>
      </c>
      <c r="AY87" s="779">
        <f t="shared" si="82"/>
        <v>253401575.82886395</v>
      </c>
      <c r="AZ87" s="779">
        <f t="shared" si="82"/>
        <v>-3000000</v>
      </c>
      <c r="BA87" s="653"/>
      <c r="BB87" s="779">
        <f t="shared" si="77"/>
        <v>250832119.70729789</v>
      </c>
      <c r="BC87" s="653"/>
      <c r="BD87" s="779">
        <f t="shared" si="78"/>
        <v>5862300521.6912556</v>
      </c>
    </row>
    <row r="88" spans="1:56">
      <c r="A88" s="91" t="str">
        <f t="shared" si="55"/>
        <v/>
      </c>
      <c r="C88" s="29"/>
      <c r="D88" s="29"/>
      <c r="F88" s="653"/>
      <c r="G88" s="653"/>
      <c r="H88" s="653"/>
      <c r="I88" s="653"/>
      <c r="J88" s="653"/>
      <c r="K88" s="653"/>
      <c r="L88" s="877"/>
      <c r="M88" s="368"/>
      <c r="N88" s="653"/>
      <c r="O88" s="653"/>
      <c r="P88" s="653"/>
      <c r="Q88" s="653"/>
      <c r="R88" s="653"/>
      <c r="S88" s="653"/>
      <c r="T88" s="653">
        <f t="shared" si="72"/>
        <v>0</v>
      </c>
      <c r="U88" s="653"/>
      <c r="V88" s="653"/>
      <c r="W88" s="653"/>
      <c r="X88" s="653"/>
      <c r="Y88" s="653"/>
      <c r="Z88" s="653"/>
      <c r="AA88" s="653"/>
      <c r="AB88" s="653"/>
      <c r="AC88" s="653"/>
      <c r="AD88" s="653"/>
      <c r="AE88" s="653"/>
      <c r="AF88" s="653"/>
      <c r="AG88" s="653"/>
      <c r="AH88" s="653"/>
      <c r="AI88" s="653"/>
      <c r="AJ88" s="653"/>
      <c r="AK88" s="653"/>
      <c r="AL88" s="653"/>
      <c r="AM88" s="653"/>
      <c r="AN88" s="653"/>
      <c r="AO88" s="653"/>
      <c r="AP88" s="653"/>
      <c r="AQ88" s="653"/>
      <c r="AR88" s="653"/>
      <c r="AS88" s="653"/>
      <c r="AT88" s="653"/>
      <c r="AU88" s="653"/>
      <c r="AV88" s="653"/>
      <c r="AW88" s="653"/>
      <c r="AX88" s="653"/>
      <c r="AY88" s="653"/>
      <c r="AZ88" s="653"/>
      <c r="BA88" s="653"/>
      <c r="BB88" s="653"/>
      <c r="BC88" s="653"/>
      <c r="BD88" s="653"/>
    </row>
    <row r="89" spans="1:56">
      <c r="A89" s="91"/>
      <c r="F89" s="368"/>
      <c r="G89" s="368"/>
      <c r="H89" s="368"/>
      <c r="I89" s="368"/>
      <c r="J89" s="368"/>
      <c r="K89" s="368"/>
      <c r="L89" s="861"/>
      <c r="M89" s="368"/>
      <c r="N89" s="368"/>
      <c r="O89" s="368"/>
      <c r="P89" s="368"/>
      <c r="Q89" s="368"/>
      <c r="R89" s="368"/>
      <c r="S89" s="368"/>
      <c r="T89" s="368"/>
      <c r="U89" s="368"/>
      <c r="V89" s="368"/>
      <c r="W89" s="368"/>
      <c r="X89" s="368"/>
      <c r="Y89" s="368"/>
      <c r="Z89" s="368"/>
      <c r="AA89" s="368"/>
      <c r="AB89" s="368"/>
      <c r="AC89" s="368"/>
      <c r="AD89" s="368"/>
      <c r="AE89" s="368"/>
      <c r="AF89" s="368"/>
      <c r="AG89" s="368"/>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row>
    <row r="90" spans="1:56">
      <c r="A90" s="91"/>
      <c r="C90" s="80"/>
      <c r="D90" s="80"/>
      <c r="E90" s="2"/>
      <c r="F90" s="369"/>
      <c r="G90" s="369"/>
      <c r="H90" s="369"/>
      <c r="I90" s="369"/>
      <c r="J90" s="369"/>
      <c r="K90" s="369"/>
      <c r="L90" s="370"/>
      <c r="M90" s="368"/>
      <c r="N90" s="369"/>
      <c r="O90" s="369"/>
      <c r="P90" s="369"/>
      <c r="Q90" s="369"/>
      <c r="R90" s="369"/>
      <c r="S90" s="369"/>
      <c r="T90" s="369"/>
      <c r="U90" s="369"/>
      <c r="V90" s="369"/>
      <c r="W90" s="369"/>
      <c r="X90" s="369"/>
      <c r="Y90" s="369"/>
      <c r="Z90" s="369"/>
      <c r="AA90" s="369"/>
      <c r="AB90" s="369"/>
      <c r="AC90" s="369"/>
      <c r="AD90" s="369"/>
      <c r="AE90" s="369"/>
      <c r="AF90" s="369"/>
      <c r="AG90" s="369"/>
      <c r="AH90" s="369"/>
      <c r="AI90" s="369"/>
      <c r="AJ90" s="369"/>
      <c r="AK90" s="369"/>
      <c r="AL90" s="369"/>
      <c r="AM90" s="369"/>
      <c r="AN90" s="369"/>
      <c r="AO90" s="369"/>
      <c r="AP90" s="369"/>
      <c r="AQ90" s="369"/>
      <c r="AR90" s="369"/>
      <c r="AS90" s="369"/>
      <c r="AT90" s="369"/>
      <c r="AU90" s="369"/>
      <c r="AV90" s="369"/>
      <c r="AW90" s="369"/>
      <c r="AX90" s="369"/>
      <c r="AY90" s="369"/>
      <c r="AZ90" s="369"/>
      <c r="BA90" s="369"/>
      <c r="BB90" s="369"/>
      <c r="BC90" s="369"/>
      <c r="BD90" s="369"/>
    </row>
    <row r="91" spans="1:56">
      <c r="A91" s="77"/>
    </row>
    <row r="92" spans="1:56">
      <c r="A92" s="77"/>
    </row>
    <row r="93" spans="1:56">
      <c r="A93" s="77"/>
      <c r="J93" s="768"/>
      <c r="L93" s="882"/>
      <c r="R93" s="768"/>
      <c r="AA93" s="768"/>
      <c r="AI93" s="768"/>
      <c r="AR93" s="768"/>
      <c r="AZ93" s="768"/>
    </row>
    <row r="94" spans="1:56">
      <c r="A94" s="77"/>
      <c r="L94" s="882"/>
    </row>
    <row r="95" spans="1:56">
      <c r="A95" s="77"/>
    </row>
    <row r="96" spans="1:56">
      <c r="A96" s="77"/>
      <c r="L96" s="882"/>
    </row>
    <row r="97" spans="1:12">
      <c r="A97" s="77"/>
    </row>
    <row r="98" spans="1:12">
      <c r="A98" s="77"/>
    </row>
    <row r="99" spans="1:12">
      <c r="A99" s="77"/>
    </row>
    <row r="100" spans="1:12">
      <c r="A100" s="77"/>
    </row>
    <row r="101" spans="1:12">
      <c r="A101" s="77"/>
    </row>
    <row r="102" spans="1:12">
      <c r="A102" s="77"/>
    </row>
    <row r="103" spans="1:12">
      <c r="A103" s="77"/>
    </row>
    <row r="104" spans="1:12">
      <c r="L104"/>
    </row>
    <row r="105" spans="1:12">
      <c r="L105"/>
    </row>
    <row r="106" spans="1:12">
      <c r="L106"/>
    </row>
    <row r="107" spans="1:12">
      <c r="L107"/>
    </row>
  </sheetData>
  <mergeCells count="3">
    <mergeCell ref="F1:T1"/>
    <mergeCell ref="W1:AL1"/>
    <mergeCell ref="AN1:BD1"/>
  </mergeCells>
  <phoneticPr fontId="67" type="noConversion"/>
  <pageMargins left="0.7" right="0.7" top="0.75" bottom="0.75" header="0.3" footer="0.3"/>
  <pageSetup scale="40" orientation="landscape" r:id="rId1"/>
  <headerFooter>
    <oddHeader>&amp;LPuerto Rico Electric Power Authority   
Docket NEPR-AP-2023-0003
Rate Year Result of Operations &amp;RSchedule C-2.1 (Optimal)
Page &amp;P of &amp;N</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B2E15-F577-4434-8DBC-AAC64A809109}">
  <sheetPr>
    <tabColor theme="7" tint="0.79998168889431442"/>
    <pageSetUpPr autoPageBreaks="0"/>
  </sheetPr>
  <dimension ref="A1:BQ108"/>
  <sheetViews>
    <sheetView zoomScale="70" zoomScaleNormal="70" workbookViewId="0">
      <pane xSplit="4" ySplit="4" topLeftCell="AM5" activePane="bottomRight" state="frozen"/>
      <selection pane="topRight" activeCell="E1" sqref="E1"/>
      <selection pane="bottomLeft" activeCell="A5" sqref="A5"/>
      <selection pane="bottomRight" activeCell="AZ47" sqref="AZ47"/>
    </sheetView>
    <sheetView topLeftCell="A40" zoomScale="70" zoomScaleNormal="70" workbookViewId="1">
      <selection activeCell="O70" sqref="O70"/>
    </sheetView>
    <sheetView topLeftCell="AI61" workbookViewId="2">
      <selection activeCell="AW77" sqref="AW77"/>
    </sheetView>
  </sheetViews>
  <sheetFormatPr defaultColWidth="8.5703125" defaultRowHeight="15" outlineLevelCol="2"/>
  <cols>
    <col min="1" max="1" width="5.5703125" customWidth="1"/>
    <col min="2" max="2" width="5.42578125" customWidth="1"/>
    <col min="3" max="3" width="74.85546875" customWidth="1"/>
    <col min="4" max="5" width="5.5703125" customWidth="1"/>
    <col min="6" max="10" width="20.5703125" customWidth="1" outlineLevel="2"/>
    <col min="11" max="11" width="5.5703125" customWidth="1" outlineLevel="2"/>
    <col min="12" max="12" width="20.42578125" style="863" customWidth="1"/>
    <col min="13" max="13" width="5.5703125" customWidth="1"/>
    <col min="14" max="18" width="20.5703125" customWidth="1" outlineLevel="1"/>
    <col min="19" max="19" width="5.5703125" customWidth="1" outlineLevel="1"/>
    <col min="20" max="21" width="20.5703125" customWidth="1"/>
    <col min="22" max="22" width="8.5703125" customWidth="1"/>
    <col min="23" max="27" width="20.5703125" hidden="1" customWidth="1" outlineLevel="1"/>
    <col min="28" max="28" width="5.5703125" customWidth="1" collapsed="1"/>
    <col min="29" max="29" width="15" bestFit="1" customWidth="1"/>
    <col min="30" max="30" width="5.5703125" customWidth="1"/>
    <col min="31" max="35" width="20.5703125" customWidth="1" outlineLevel="1"/>
    <col min="36" max="36" width="5.5703125" customWidth="1" outlineLevel="1"/>
    <col min="37" max="38" width="20.5703125" customWidth="1"/>
    <col min="39" max="39" width="8.5703125" customWidth="1"/>
    <col min="40" max="44" width="20.5703125" customWidth="1" outlineLevel="1"/>
    <col min="45" max="45" width="5.5703125" customWidth="1"/>
    <col min="46" max="46" width="20.140625" bestFit="1" customWidth="1"/>
    <col min="47" max="47" width="5.5703125" customWidth="1"/>
    <col min="48" max="52" width="20.5703125" customWidth="1" outlineLevel="1"/>
    <col min="53" max="53" width="5.5703125" customWidth="1" outlineLevel="1"/>
    <col min="54" max="54" width="20.5703125" customWidth="1"/>
    <col min="55" max="55" width="5.5703125" customWidth="1"/>
    <col min="56" max="56" width="20.5703125" customWidth="1"/>
    <col min="57" max="57" width="8.5703125" customWidth="1"/>
  </cols>
  <sheetData>
    <row r="1" spans="1:67" ht="17.25">
      <c r="A1" s="91"/>
      <c r="F1" s="1205" t="s">
        <v>567</v>
      </c>
      <c r="G1" s="1206"/>
      <c r="H1" s="1206"/>
      <c r="I1" s="1206"/>
      <c r="J1" s="1206"/>
      <c r="K1" s="1206"/>
      <c r="L1" s="1206"/>
      <c r="M1" s="1206"/>
      <c r="N1" s="1206"/>
      <c r="O1" s="1206"/>
      <c r="P1" s="1206"/>
      <c r="Q1" s="1206"/>
      <c r="R1" s="1206"/>
      <c r="S1" s="1206"/>
      <c r="T1" s="1206"/>
      <c r="U1" s="2"/>
      <c r="W1" s="1205" t="s">
        <v>568</v>
      </c>
      <c r="X1" s="1205"/>
      <c r="Y1" s="1205"/>
      <c r="Z1" s="1205"/>
      <c r="AA1" s="1205"/>
      <c r="AB1" s="1205"/>
      <c r="AC1" s="1205"/>
      <c r="AD1" s="1205"/>
      <c r="AE1" s="1205"/>
      <c r="AF1" s="1205"/>
      <c r="AG1" s="1205"/>
      <c r="AH1" s="1205"/>
      <c r="AI1" s="1205"/>
      <c r="AJ1" s="1205"/>
      <c r="AK1" s="1205"/>
      <c r="AL1" s="1205"/>
      <c r="AN1" s="1205" t="s">
        <v>569</v>
      </c>
      <c r="AO1" s="1205"/>
      <c r="AP1" s="1205"/>
      <c r="AQ1" s="1205"/>
      <c r="AR1" s="1205"/>
      <c r="AS1" s="1205"/>
      <c r="AT1" s="1205"/>
      <c r="AU1" s="1205"/>
      <c r="AV1" s="1205"/>
      <c r="AW1" s="1205"/>
      <c r="AX1" s="1205"/>
      <c r="AY1" s="1205"/>
      <c r="AZ1" s="1205"/>
      <c r="BA1" s="1205"/>
      <c r="BB1" s="1205"/>
      <c r="BC1" s="1205"/>
      <c r="BD1" s="1205"/>
      <c r="BG1" s="869"/>
      <c r="BH1" s="869"/>
      <c r="BI1" s="869"/>
      <c r="BJ1" s="869"/>
      <c r="BK1" s="869"/>
      <c r="BL1" s="869"/>
      <c r="BM1" s="869"/>
      <c r="BO1" s="863"/>
    </row>
    <row r="2" spans="1:67" ht="45">
      <c r="A2" s="842" t="s">
        <v>242</v>
      </c>
      <c r="B2" s="2"/>
      <c r="C2" s="58" t="s">
        <v>5</v>
      </c>
      <c r="D2" s="58"/>
      <c r="E2" s="2"/>
      <c r="F2" s="58" t="s">
        <v>243</v>
      </c>
      <c r="G2" s="58" t="s">
        <v>248</v>
      </c>
      <c r="H2" s="58" t="s">
        <v>253</v>
      </c>
      <c r="I2" s="58" t="s">
        <v>258</v>
      </c>
      <c r="J2" s="58" t="s">
        <v>264</v>
      </c>
      <c r="K2" s="2"/>
      <c r="L2" s="843" t="s">
        <v>541</v>
      </c>
      <c r="M2" s="2"/>
      <c r="N2" s="58" t="s">
        <v>602</v>
      </c>
      <c r="O2" s="58" t="s">
        <v>603</v>
      </c>
      <c r="P2" s="58" t="s">
        <v>604</v>
      </c>
      <c r="Q2" s="58" t="s">
        <v>605</v>
      </c>
      <c r="R2" s="58" t="s">
        <v>606</v>
      </c>
      <c r="S2" s="2"/>
      <c r="T2" s="58" t="s">
        <v>352</v>
      </c>
      <c r="U2" s="58" t="s">
        <v>542</v>
      </c>
      <c r="V2" s="2"/>
      <c r="W2" s="58" t="s">
        <v>243</v>
      </c>
      <c r="X2" s="58" t="s">
        <v>248</v>
      </c>
      <c r="Y2" s="58" t="s">
        <v>253</v>
      </c>
      <c r="Z2" s="58" t="s">
        <v>258</v>
      </c>
      <c r="AA2" s="58" t="s">
        <v>264</v>
      </c>
      <c r="AB2" s="2"/>
      <c r="AC2" s="58" t="s">
        <v>543</v>
      </c>
      <c r="AD2" s="2"/>
      <c r="AE2" s="58" t="s">
        <v>602</v>
      </c>
      <c r="AF2" s="58" t="s">
        <v>603</v>
      </c>
      <c r="AG2" s="58" t="s">
        <v>604</v>
      </c>
      <c r="AH2" s="58" t="s">
        <v>605</v>
      </c>
      <c r="AI2" s="58" t="s">
        <v>606</v>
      </c>
      <c r="AJ2" s="2"/>
      <c r="AK2" s="58" t="s">
        <v>352</v>
      </c>
      <c r="AL2" s="58" t="s">
        <v>544</v>
      </c>
      <c r="AN2" s="58" t="s">
        <v>243</v>
      </c>
      <c r="AO2" s="58" t="s">
        <v>248</v>
      </c>
      <c r="AP2" s="58" t="s">
        <v>253</v>
      </c>
      <c r="AQ2" s="58" t="s">
        <v>258</v>
      </c>
      <c r="AR2" s="58" t="s">
        <v>264</v>
      </c>
      <c r="AS2" s="2"/>
      <c r="AT2" s="58" t="s">
        <v>545</v>
      </c>
      <c r="AU2" s="2"/>
      <c r="AV2" s="58" t="s">
        <v>602</v>
      </c>
      <c r="AW2" s="58" t="s">
        <v>603</v>
      </c>
      <c r="AX2" s="58" t="s">
        <v>604</v>
      </c>
      <c r="AY2" s="58" t="s">
        <v>605</v>
      </c>
      <c r="AZ2" s="58" t="s">
        <v>606</v>
      </c>
      <c r="BA2" s="2"/>
      <c r="BB2" s="58" t="s">
        <v>352</v>
      </c>
      <c r="BC2" s="2"/>
      <c r="BD2" s="58" t="s">
        <v>546</v>
      </c>
    </row>
    <row r="3" spans="1:67">
      <c r="A3" s="91"/>
      <c r="F3" s="2" t="s">
        <v>547</v>
      </c>
      <c r="G3" s="2" t="s">
        <v>358</v>
      </c>
      <c r="H3" s="2" t="s">
        <v>462</v>
      </c>
      <c r="I3" s="2" t="s">
        <v>463</v>
      </c>
      <c r="J3" s="2" t="s">
        <v>548</v>
      </c>
      <c r="L3" s="844" t="s">
        <v>549</v>
      </c>
      <c r="N3" s="2" t="s">
        <v>547</v>
      </c>
      <c r="O3" s="2" t="s">
        <v>358</v>
      </c>
      <c r="P3" s="2" t="s">
        <v>462</v>
      </c>
      <c r="Q3" s="2" t="s">
        <v>463</v>
      </c>
      <c r="R3" s="2" t="s">
        <v>548</v>
      </c>
      <c r="T3" s="2" t="s">
        <v>550</v>
      </c>
      <c r="U3" s="2" t="s">
        <v>551</v>
      </c>
      <c r="W3" s="2" t="s">
        <v>552</v>
      </c>
      <c r="X3" s="2" t="s">
        <v>553</v>
      </c>
      <c r="Y3" s="2" t="s">
        <v>554</v>
      </c>
      <c r="Z3" s="2" t="s">
        <v>555</v>
      </c>
      <c r="AA3" s="2" t="s">
        <v>556</v>
      </c>
      <c r="AC3" s="2" t="s">
        <v>557</v>
      </c>
      <c r="AE3" s="2" t="s">
        <v>547</v>
      </c>
      <c r="AF3" s="2" t="s">
        <v>358</v>
      </c>
      <c r="AG3" s="2" t="s">
        <v>462</v>
      </c>
      <c r="AH3" s="2" t="s">
        <v>463</v>
      </c>
      <c r="AI3" s="2" t="s">
        <v>548</v>
      </c>
      <c r="AK3" s="2" t="s">
        <v>558</v>
      </c>
      <c r="AL3" s="2" t="s">
        <v>551</v>
      </c>
      <c r="AN3" s="2" t="s">
        <v>559</v>
      </c>
      <c r="AO3" s="2" t="s">
        <v>560</v>
      </c>
      <c r="AP3" s="2" t="s">
        <v>561</v>
      </c>
      <c r="AQ3" s="2" t="s">
        <v>562</v>
      </c>
      <c r="AR3" s="2" t="s">
        <v>563</v>
      </c>
      <c r="AT3" s="2" t="s">
        <v>549</v>
      </c>
      <c r="AV3" s="2" t="s">
        <v>547</v>
      </c>
      <c r="AW3" s="2" t="s">
        <v>358</v>
      </c>
      <c r="AX3" s="2" t="s">
        <v>462</v>
      </c>
      <c r="AY3" s="2" t="s">
        <v>463</v>
      </c>
      <c r="AZ3" s="2" t="s">
        <v>548</v>
      </c>
      <c r="BB3" s="2" t="s">
        <v>550</v>
      </c>
      <c r="BD3" s="2" t="s">
        <v>564</v>
      </c>
    </row>
    <row r="4" spans="1:67" ht="15.75" thickBot="1">
      <c r="A4" s="91">
        <v>1</v>
      </c>
      <c r="C4" s="870" t="s">
        <v>278</v>
      </c>
      <c r="D4" s="870"/>
      <c r="E4" s="2"/>
      <c r="F4" s="871" t="s">
        <v>279</v>
      </c>
      <c r="G4" s="871" t="s">
        <v>279</v>
      </c>
      <c r="H4" s="871" t="s">
        <v>279</v>
      </c>
      <c r="I4" s="871" t="s">
        <v>279</v>
      </c>
      <c r="J4" s="871" t="s">
        <v>279</v>
      </c>
      <c r="K4" s="380"/>
      <c r="L4" s="872" t="s">
        <v>279</v>
      </c>
      <c r="M4" s="380"/>
      <c r="N4" s="871" t="s">
        <v>279</v>
      </c>
      <c r="O4" s="871" t="s">
        <v>279</v>
      </c>
      <c r="P4" s="871" t="s">
        <v>279</v>
      </c>
      <c r="Q4" s="871" t="s">
        <v>279</v>
      </c>
      <c r="R4" s="871" t="s">
        <v>279</v>
      </c>
      <c r="S4" s="380"/>
      <c r="T4" s="871"/>
      <c r="U4" s="871"/>
      <c r="V4" s="791"/>
      <c r="W4" s="871" t="s">
        <v>279</v>
      </c>
      <c r="X4" s="871" t="s">
        <v>279</v>
      </c>
      <c r="Y4" s="871" t="s">
        <v>279</v>
      </c>
      <c r="Z4" s="871" t="s">
        <v>279</v>
      </c>
      <c r="AA4" s="871" t="s">
        <v>279</v>
      </c>
      <c r="AB4" s="380"/>
      <c r="AC4" s="871" t="s">
        <v>279</v>
      </c>
      <c r="AD4" s="380"/>
      <c r="AE4" s="871" t="s">
        <v>279</v>
      </c>
      <c r="AF4" s="871" t="s">
        <v>279</v>
      </c>
      <c r="AG4" s="871" t="s">
        <v>279</v>
      </c>
      <c r="AH4" s="871" t="s">
        <v>279</v>
      </c>
      <c r="AI4" s="871" t="s">
        <v>279</v>
      </c>
      <c r="AJ4" s="380"/>
      <c r="AK4" s="871"/>
      <c r="AL4" s="871"/>
      <c r="AM4" s="368"/>
      <c r="AN4" s="871" t="s">
        <v>279</v>
      </c>
      <c r="AO4" s="871" t="s">
        <v>279</v>
      </c>
      <c r="AP4" s="871" t="s">
        <v>279</v>
      </c>
      <c r="AQ4" s="871" t="s">
        <v>279</v>
      </c>
      <c r="AR4" s="871" t="s">
        <v>279</v>
      </c>
      <c r="AS4" s="380"/>
      <c r="AT4" s="871" t="s">
        <v>279</v>
      </c>
      <c r="AU4" s="380"/>
      <c r="AV4" s="871" t="s">
        <v>279</v>
      </c>
      <c r="AW4" s="871" t="s">
        <v>279</v>
      </c>
      <c r="AX4" s="871" t="s">
        <v>279</v>
      </c>
      <c r="AY4" s="871" t="s">
        <v>279</v>
      </c>
      <c r="AZ4" s="871" t="s">
        <v>279</v>
      </c>
      <c r="BA4" s="380"/>
      <c r="BB4" s="871"/>
      <c r="BC4" s="380"/>
      <c r="BD4" s="871"/>
    </row>
    <row r="5" spans="1:67">
      <c r="A5" s="91"/>
      <c r="C5" s="29"/>
      <c r="D5" s="29"/>
      <c r="F5" s="368"/>
      <c r="G5" s="368"/>
      <c r="H5" s="368"/>
      <c r="I5" s="368"/>
      <c r="J5" s="368"/>
      <c r="K5" s="368"/>
      <c r="L5" s="861"/>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8"/>
      <c r="AV5" s="368"/>
      <c r="AW5" s="368"/>
      <c r="AX5" s="368"/>
      <c r="AY5" s="368"/>
      <c r="AZ5" s="368"/>
      <c r="BA5" s="368"/>
      <c r="BB5" s="368"/>
      <c r="BC5" s="368"/>
      <c r="BD5" s="368"/>
    </row>
    <row r="6" spans="1:67">
      <c r="A6" s="91">
        <f t="shared" ref="A6:A33" si="0">IF(C6&lt;&gt;"",MAX(A3:A5)+1,"")</f>
        <v>2</v>
      </c>
      <c r="C6" s="361" t="s">
        <v>280</v>
      </c>
      <c r="D6" s="361"/>
      <c r="E6" s="2"/>
      <c r="F6" s="368"/>
      <c r="G6" s="368"/>
      <c r="H6" s="368"/>
      <c r="I6" s="368"/>
      <c r="J6" s="368"/>
      <c r="K6" s="368"/>
      <c r="L6" s="861"/>
      <c r="M6" s="368"/>
      <c r="N6" s="368"/>
      <c r="O6" s="368"/>
      <c r="P6" s="368"/>
      <c r="Q6" s="368"/>
      <c r="R6" s="368"/>
      <c r="S6" s="368"/>
      <c r="T6" s="368"/>
      <c r="U6" s="368"/>
      <c r="V6" s="791"/>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c r="AZ6" s="368"/>
      <c r="BA6" s="368"/>
      <c r="BB6" s="368"/>
      <c r="BC6" s="368"/>
      <c r="BD6" s="368"/>
    </row>
    <row r="7" spans="1:67">
      <c r="A7" s="91">
        <f t="shared" si="0"/>
        <v>3</v>
      </c>
      <c r="C7" s="80" t="s">
        <v>281</v>
      </c>
      <c r="D7" s="80"/>
      <c r="F7" s="369">
        <f>F24</f>
        <v>2436713299.8406897</v>
      </c>
      <c r="G7" s="369"/>
      <c r="H7" s="369"/>
      <c r="I7" s="369"/>
      <c r="J7" s="369"/>
      <c r="K7" s="368"/>
      <c r="L7" s="370">
        <f>SUM(F7:J7)</f>
        <v>2436713299.8406897</v>
      </c>
      <c r="M7" s="368"/>
      <c r="N7" s="369">
        <v>0</v>
      </c>
      <c r="O7" s="369">
        <v>0</v>
      </c>
      <c r="P7" s="369">
        <v>0</v>
      </c>
      <c r="Q7" s="369">
        <v>0</v>
      </c>
      <c r="R7" s="369">
        <v>0</v>
      </c>
      <c r="S7" s="368"/>
      <c r="T7" s="369">
        <f>+SUM(N7:R7)</f>
        <v>0</v>
      </c>
      <c r="U7" s="369">
        <f>+T7+L7</f>
        <v>2436713299.8406897</v>
      </c>
      <c r="V7" s="368"/>
      <c r="W7" s="369">
        <f>W24</f>
        <v>2363810018.072628</v>
      </c>
      <c r="X7" s="369"/>
      <c r="Y7" s="369"/>
      <c r="Z7" s="369"/>
      <c r="AA7" s="369"/>
      <c r="AB7" s="368"/>
      <c r="AC7" s="369">
        <f>SUM(W7:AA7)</f>
        <v>2363810018.072628</v>
      </c>
      <c r="AD7" s="368"/>
      <c r="AE7" s="369">
        <v>0</v>
      </c>
      <c r="AF7" s="369">
        <v>0</v>
      </c>
      <c r="AG7" s="369">
        <v>0</v>
      </c>
      <c r="AH7" s="369">
        <v>0</v>
      </c>
      <c r="AI7" s="369">
        <v>0</v>
      </c>
      <c r="AJ7" s="368"/>
      <c r="AK7" s="369">
        <f>+SUM(AE7:AI7)</f>
        <v>0</v>
      </c>
      <c r="AL7" s="369">
        <f>AC7+AK7</f>
        <v>2363810018.072628</v>
      </c>
      <c r="AM7" s="368"/>
      <c r="AN7" s="369">
        <f>AN24</f>
        <v>2312631997.3431683</v>
      </c>
      <c r="AO7" s="369"/>
      <c r="AP7" s="369"/>
      <c r="AQ7" s="369"/>
      <c r="AR7" s="369"/>
      <c r="AS7" s="368"/>
      <c r="AT7" s="369">
        <f>SUM(AN7:AR7)</f>
        <v>2312631997.3431683</v>
      </c>
      <c r="AU7" s="368"/>
      <c r="AV7" s="369">
        <v>0</v>
      </c>
      <c r="AW7" s="369">
        <v>0</v>
      </c>
      <c r="AX7" s="1066">
        <f>(SUMIF('FY26-FY28_PREPA Consolidated'!I:I,C7,'FY26-FY28_PREPA Consolidated'!EI:EI)*1000)-AP7</f>
        <v>0</v>
      </c>
      <c r="AY7" s="1066">
        <f>((SUMIF('FY26-FY28_PREPA Consolidated'!I:I,C7,'FY26-FY28_PREPA Consolidated'!EE:EE)+SUMIF('FY26-FY28_PREPA Consolidated'!I:I,C7,'FY26-FY28_PREPA Consolidated'!EG:EG))*1000)-AQ7</f>
        <v>0</v>
      </c>
      <c r="AZ7" s="369">
        <v>0</v>
      </c>
      <c r="BA7" s="368"/>
      <c r="BB7" s="369">
        <f>+SUM(AV7:AZ7)</f>
        <v>0</v>
      </c>
      <c r="BC7" s="368"/>
      <c r="BD7" s="369">
        <f>+BB7+AT7</f>
        <v>2312631997.3431683</v>
      </c>
    </row>
    <row r="8" spans="1:67">
      <c r="A8" s="91">
        <f t="shared" si="0"/>
        <v>4</v>
      </c>
      <c r="C8" s="80" t="s">
        <v>282</v>
      </c>
      <c r="D8" s="80"/>
      <c r="E8" s="2"/>
      <c r="F8" s="369">
        <f>'E-1'!E33</f>
        <v>1179202426.8818486</v>
      </c>
      <c r="G8" s="369"/>
      <c r="H8" s="369"/>
      <c r="I8" s="369"/>
      <c r="J8" s="369"/>
      <c r="K8" s="368"/>
      <c r="L8" s="370">
        <f>SUM(F8:J8)</f>
        <v>1179202426.8818486</v>
      </c>
      <c r="M8" s="368"/>
      <c r="N8" s="369">
        <v>0</v>
      </c>
      <c r="O8" s="369">
        <v>0</v>
      </c>
      <c r="P8" s="369">
        <v>0</v>
      </c>
      <c r="Q8" s="369">
        <v>0</v>
      </c>
      <c r="R8" s="369">
        <v>0</v>
      </c>
      <c r="S8" s="368"/>
      <c r="T8" s="369">
        <f t="shared" ref="T8:T73" si="1">+SUM(N8:R8)</f>
        <v>0</v>
      </c>
      <c r="U8" s="369">
        <f t="shared" ref="U8:U73" si="2">+T8+L8</f>
        <v>1179202426.8818486</v>
      </c>
      <c r="V8" s="791"/>
      <c r="W8" s="369">
        <f>'E-1'!H33</f>
        <v>1153897329.9670923</v>
      </c>
      <c r="X8" s="369"/>
      <c r="Y8" s="369"/>
      <c r="Z8" s="369"/>
      <c r="AA8" s="369"/>
      <c r="AB8" s="368"/>
      <c r="AC8" s="369">
        <f>SUM(W8:AA8)</f>
        <v>1153897329.9670923</v>
      </c>
      <c r="AD8" s="368"/>
      <c r="AE8" s="369">
        <v>0</v>
      </c>
      <c r="AF8" s="369">
        <v>0</v>
      </c>
      <c r="AG8" s="369">
        <v>0</v>
      </c>
      <c r="AH8" s="369">
        <v>0</v>
      </c>
      <c r="AI8" s="369">
        <v>0</v>
      </c>
      <c r="AJ8" s="368"/>
      <c r="AK8" s="369">
        <f t="shared" ref="AK8:AK10" si="3">+SUM(AE8:AI8)</f>
        <v>0</v>
      </c>
      <c r="AL8" s="369">
        <f>AC8+AK8</f>
        <v>1153897329.9670923</v>
      </c>
      <c r="AM8" s="368"/>
      <c r="AN8" s="369">
        <f>'E-1'!K33</f>
        <v>1138445034.8482292</v>
      </c>
      <c r="AO8" s="369"/>
      <c r="AP8" s="369"/>
      <c r="AQ8" s="369"/>
      <c r="AR8" s="369"/>
      <c r="AS8" s="368"/>
      <c r="AT8" s="369">
        <f>SUM(AN8:AR8)</f>
        <v>1138445034.8482292</v>
      </c>
      <c r="AU8" s="368"/>
      <c r="AV8" s="369">
        <v>0</v>
      </c>
      <c r="AW8" s="369">
        <v>0</v>
      </c>
      <c r="AX8" s="1066">
        <f>(SUMIF('FY26-FY28_PREPA Consolidated'!I:I,C8,'FY26-FY28_PREPA Consolidated'!EI:EI)*1000)-AP8</f>
        <v>0</v>
      </c>
      <c r="AY8" s="1066">
        <f>((SUMIF('FY26-FY28_PREPA Consolidated'!I:I,C8,'FY26-FY28_PREPA Consolidated'!EE:EE)+SUMIF('FY26-FY28_PREPA Consolidated'!I:I,C8,'FY26-FY28_PREPA Consolidated'!EG:EG))*1000)-AQ8</f>
        <v>0</v>
      </c>
      <c r="AZ8" s="369">
        <v>0</v>
      </c>
      <c r="BA8" s="368"/>
      <c r="BB8" s="369">
        <f>+SUM(AV8:AZ8)</f>
        <v>0</v>
      </c>
      <c r="BC8" s="368"/>
      <c r="BD8" s="369">
        <f t="shared" ref="BD8:BD73" si="4">+BB8+AT8</f>
        <v>1138445034.8482292</v>
      </c>
    </row>
    <row r="9" spans="1:67">
      <c r="A9" s="91">
        <f t="shared" si="0"/>
        <v>5</v>
      </c>
      <c r="C9" s="80" t="s">
        <v>370</v>
      </c>
      <c r="D9" s="80"/>
      <c r="F9" s="850">
        <f>'C-2 - OPTIMAL'!F9</f>
        <v>320077800</v>
      </c>
      <c r="G9" s="369"/>
      <c r="H9" s="369"/>
      <c r="I9" s="369"/>
      <c r="J9" s="369"/>
      <c r="K9" s="368"/>
      <c r="L9" s="370">
        <f>SUM(F9:J9)</f>
        <v>320077800</v>
      </c>
      <c r="M9" s="368"/>
      <c r="N9" s="369">
        <v>0</v>
      </c>
      <c r="O9" s="369">
        <v>0</v>
      </c>
      <c r="P9" s="369">
        <v>0</v>
      </c>
      <c r="Q9" s="369">
        <v>0</v>
      </c>
      <c r="R9" s="369">
        <v>0</v>
      </c>
      <c r="S9" s="368"/>
      <c r="T9" s="369">
        <f t="shared" si="1"/>
        <v>0</v>
      </c>
      <c r="U9" s="369">
        <f t="shared" si="2"/>
        <v>320077800</v>
      </c>
      <c r="V9" s="368"/>
      <c r="W9" s="850">
        <f>F9</f>
        <v>320077800</v>
      </c>
      <c r="X9" s="369"/>
      <c r="Y9" s="369"/>
      <c r="Z9" s="369"/>
      <c r="AA9" s="369"/>
      <c r="AB9" s="368"/>
      <c r="AC9" s="369">
        <f>SUM(W9:AA9)</f>
        <v>320077800</v>
      </c>
      <c r="AD9" s="368"/>
      <c r="AE9" s="369">
        <v>0</v>
      </c>
      <c r="AF9" s="369">
        <v>0</v>
      </c>
      <c r="AG9" s="369">
        <v>0</v>
      </c>
      <c r="AH9" s="369">
        <v>0</v>
      </c>
      <c r="AI9" s="369">
        <v>0</v>
      </c>
      <c r="AJ9" s="368"/>
      <c r="AK9" s="369">
        <f t="shared" si="3"/>
        <v>0</v>
      </c>
      <c r="AL9" s="369">
        <f>AC9+AK9</f>
        <v>320077800</v>
      </c>
      <c r="AM9" s="368"/>
      <c r="AN9" s="850">
        <f>W9</f>
        <v>320077800</v>
      </c>
      <c r="AO9" s="369"/>
      <c r="AP9" s="369"/>
      <c r="AQ9" s="369"/>
      <c r="AR9" s="369"/>
      <c r="AS9" s="368"/>
      <c r="AT9" s="369">
        <f>SUM(AN9:AR9)</f>
        <v>320077800</v>
      </c>
      <c r="AU9" s="368"/>
      <c r="AV9" s="369">
        <v>0</v>
      </c>
      <c r="AW9" s="369">
        <v>0</v>
      </c>
      <c r="AX9" s="1066">
        <f>(SUMIF('FY26-FY28_PREPA Consolidated'!I:I,C9,'FY26-FY28_PREPA Consolidated'!EI:EI)*1000)-AP9</f>
        <v>0</v>
      </c>
      <c r="AY9" s="1066">
        <f>((SUMIF('FY26-FY28_PREPA Consolidated'!I:I,C9,'FY26-FY28_PREPA Consolidated'!EE:EE)+SUMIF('FY26-FY28_PREPA Consolidated'!I:I,C9,'FY26-FY28_PREPA Consolidated'!EG:EG))*1000)-AQ9</f>
        <v>0</v>
      </c>
      <c r="AZ9" s="369">
        <v>0</v>
      </c>
      <c r="BA9" s="368"/>
      <c r="BB9" s="369">
        <f>+SUM(AV9:AZ9)</f>
        <v>0</v>
      </c>
      <c r="BC9" s="368"/>
      <c r="BD9" s="369">
        <f t="shared" si="4"/>
        <v>320077800</v>
      </c>
    </row>
    <row r="10" spans="1:67">
      <c r="A10" s="91">
        <f>IF(C10&lt;&gt;"",MAX(A8:A9)+1,"")</f>
        <v>6</v>
      </c>
      <c r="C10" s="792" t="s">
        <v>284</v>
      </c>
      <c r="D10" s="874"/>
      <c r="E10" s="2"/>
      <c r="F10" s="875">
        <f>F7+SUM(F8:F9)</f>
        <v>3935993526.722538</v>
      </c>
      <c r="G10" s="875">
        <f t="shared" ref="G10:L10" si="5">G7+SUM(G8:G9)</f>
        <v>0</v>
      </c>
      <c r="H10" s="875">
        <f t="shared" si="5"/>
        <v>0</v>
      </c>
      <c r="I10" s="875">
        <f t="shared" si="5"/>
        <v>0</v>
      </c>
      <c r="J10" s="875">
        <f t="shared" si="5"/>
        <v>0</v>
      </c>
      <c r="K10" s="875"/>
      <c r="L10" s="875">
        <f t="shared" si="5"/>
        <v>3935993526.722538</v>
      </c>
      <c r="M10" s="764"/>
      <c r="N10" s="779">
        <f>SUM(N7:N9)</f>
        <v>0</v>
      </c>
      <c r="O10" s="779">
        <f>SUM(O7:O9)</f>
        <v>0</v>
      </c>
      <c r="P10" s="779">
        <f>SUM(P7:P9)</f>
        <v>0</v>
      </c>
      <c r="Q10" s="779">
        <f>SUM(Q7:Q9)</f>
        <v>0</v>
      </c>
      <c r="R10" s="779">
        <f>SUM(R7:R9)</f>
        <v>0</v>
      </c>
      <c r="S10" s="764"/>
      <c r="T10" s="779">
        <f t="shared" si="1"/>
        <v>0</v>
      </c>
      <c r="U10" s="779">
        <f t="shared" si="2"/>
        <v>3935993526.722538</v>
      </c>
      <c r="V10" s="791"/>
      <c r="W10" s="875">
        <f>W7+SUM(W8:W9)</f>
        <v>3837785148.0397205</v>
      </c>
      <c r="X10" s="875">
        <f t="shared" ref="X10:AA10" si="6">X7+SUM(X8:X9)</f>
        <v>0</v>
      </c>
      <c r="Y10" s="875">
        <f t="shared" si="6"/>
        <v>0</v>
      </c>
      <c r="Z10" s="875">
        <f t="shared" si="6"/>
        <v>0</v>
      </c>
      <c r="AA10" s="875">
        <f t="shared" si="6"/>
        <v>0</v>
      </c>
      <c r="AB10" s="875"/>
      <c r="AC10" s="875">
        <f t="shared" ref="AC10" si="7">AC7+SUM(AC8:AC9)</f>
        <v>3837785148.0397205</v>
      </c>
      <c r="AD10" s="764"/>
      <c r="AE10" s="779">
        <f>SUM(AE7:AE9)</f>
        <v>0</v>
      </c>
      <c r="AF10" s="779">
        <f>SUM(AF7:AF9)</f>
        <v>0</v>
      </c>
      <c r="AG10" s="779">
        <f>SUM(AG7:AG9)</f>
        <v>0</v>
      </c>
      <c r="AH10" s="779">
        <f>SUM(AH7:AH9)</f>
        <v>0</v>
      </c>
      <c r="AI10" s="779">
        <f>SUM(AI7:AI9)</f>
        <v>0</v>
      </c>
      <c r="AJ10" s="764"/>
      <c r="AK10" s="779">
        <f t="shared" si="3"/>
        <v>0</v>
      </c>
      <c r="AL10" s="779">
        <f>AC10+AK10</f>
        <v>3837785148.0397205</v>
      </c>
      <c r="AM10" s="368"/>
      <c r="AN10" s="875">
        <f>AN7+SUM(AN8:AN9)</f>
        <v>3771154832.1913977</v>
      </c>
      <c r="AO10" s="875">
        <f t="shared" ref="AO10:AR10" si="8">AO7+SUM(AO8:AO9)</f>
        <v>0</v>
      </c>
      <c r="AP10" s="875">
        <f t="shared" si="8"/>
        <v>0</v>
      </c>
      <c r="AQ10" s="875">
        <f t="shared" si="8"/>
        <v>0</v>
      </c>
      <c r="AR10" s="875">
        <f t="shared" si="8"/>
        <v>0</v>
      </c>
      <c r="AS10" s="875"/>
      <c r="AT10" s="875">
        <f t="shared" ref="AT10" si="9">AT7+SUM(AT8:AT9)</f>
        <v>3771154832.1913977</v>
      </c>
      <c r="AU10" s="764"/>
      <c r="AV10" s="779">
        <f>SUM(AV7:AV9)</f>
        <v>0</v>
      </c>
      <c r="AW10" s="779">
        <f>SUM(AW7:AW9)</f>
        <v>0</v>
      </c>
      <c r="AX10" s="779">
        <f>SUM(AX7:AX9)</f>
        <v>0</v>
      </c>
      <c r="AY10" s="779">
        <f>SUM(AY7:AY9)</f>
        <v>0</v>
      </c>
      <c r="AZ10" s="779">
        <f>SUM(AZ7:AZ9)</f>
        <v>0</v>
      </c>
      <c r="BA10" s="764"/>
      <c r="BB10" s="779">
        <f>+SUM(AV10:AZ10)</f>
        <v>0</v>
      </c>
      <c r="BC10" s="764"/>
      <c r="BD10" s="780">
        <f t="shared" si="4"/>
        <v>3771154832.1913977</v>
      </c>
    </row>
    <row r="11" spans="1:67">
      <c r="A11" s="91"/>
      <c r="C11" s="757"/>
      <c r="D11" s="757"/>
      <c r="F11" s="653"/>
      <c r="G11" s="653"/>
      <c r="H11" s="653"/>
      <c r="I11" s="653"/>
      <c r="J11" s="653"/>
      <c r="K11" s="368"/>
      <c r="L11" s="877"/>
      <c r="M11" s="368"/>
      <c r="N11" s="653"/>
      <c r="O11" s="653"/>
      <c r="P11" s="653"/>
      <c r="Q11" s="653"/>
      <c r="R11" s="653"/>
      <c r="S11" s="368"/>
      <c r="T11" s="653"/>
      <c r="U11" s="653"/>
      <c r="V11" s="368"/>
      <c r="W11" s="653"/>
      <c r="X11" s="653"/>
      <c r="Y11" s="653"/>
      <c r="Z11" s="653"/>
      <c r="AA11" s="653"/>
      <c r="AB11" s="368"/>
      <c r="AC11" s="653"/>
      <c r="AD11" s="368"/>
      <c r="AE11" s="653"/>
      <c r="AF11" s="653"/>
      <c r="AG11" s="653"/>
      <c r="AH11" s="653"/>
      <c r="AI11" s="653"/>
      <c r="AJ11" s="368"/>
      <c r="AK11" s="653"/>
      <c r="AL11" s="653"/>
      <c r="AM11" s="368"/>
      <c r="AN11" s="653"/>
      <c r="AO11" s="653"/>
      <c r="AP11" s="653"/>
      <c r="AQ11" s="653"/>
      <c r="AR11" s="653"/>
      <c r="AS11" s="368"/>
      <c r="AT11" s="653"/>
      <c r="AU11" s="368"/>
      <c r="AV11" s="653"/>
      <c r="AW11" s="653"/>
      <c r="AX11" s="653"/>
      <c r="AY11" s="653"/>
      <c r="AZ11" s="653"/>
      <c r="BA11" s="368"/>
      <c r="BB11" s="653"/>
      <c r="BC11" s="368"/>
      <c r="BD11" s="653"/>
    </row>
    <row r="12" spans="1:67">
      <c r="A12" s="91">
        <f>IF(C12&lt;&gt;"",MAX(A10:A11)+1,"")</f>
        <v>7</v>
      </c>
      <c r="C12" s="80" t="s">
        <v>286</v>
      </c>
      <c r="D12" s="80"/>
      <c r="F12" s="369">
        <f>'B-7'!F15</f>
        <v>56501060.585000008</v>
      </c>
      <c r="G12" s="369">
        <v>0</v>
      </c>
      <c r="H12" s="369">
        <v>0</v>
      </c>
      <c r="I12" s="369">
        <v>0</v>
      </c>
      <c r="J12" s="369">
        <v>0</v>
      </c>
      <c r="K12" s="368"/>
      <c r="L12" s="370">
        <f>SUM(F12:J12)</f>
        <v>56501060.585000008</v>
      </c>
      <c r="M12" s="368"/>
      <c r="N12" s="369">
        <v>27903135.49499999</v>
      </c>
      <c r="O12" s="369">
        <v>0</v>
      </c>
      <c r="P12" s="369">
        <v>0</v>
      </c>
      <c r="Q12" s="369">
        <v>0</v>
      </c>
      <c r="R12" s="369">
        <v>0</v>
      </c>
      <c r="S12" s="368"/>
      <c r="T12" s="369">
        <f>+SUM(N12:R12)</f>
        <v>27903135.49499999</v>
      </c>
      <c r="U12" s="369">
        <f>+T12+L12</f>
        <v>84404196.079999998</v>
      </c>
      <c r="V12" s="368"/>
      <c r="W12" s="369">
        <f>'B-7'!H15</f>
        <v>56695460.585000008</v>
      </c>
      <c r="X12" s="369">
        <v>0</v>
      </c>
      <c r="Y12" s="369">
        <v>0</v>
      </c>
      <c r="Z12" s="369">
        <v>0</v>
      </c>
      <c r="AA12" s="369">
        <v>0</v>
      </c>
      <c r="AB12" s="368"/>
      <c r="AC12" s="369">
        <f>SUM(W12:AA12)</f>
        <v>56695460.585000008</v>
      </c>
      <c r="AD12" s="368"/>
      <c r="AE12" s="369">
        <f>+(U12*1.0348)-AC12</f>
        <v>30646001.518583983</v>
      </c>
      <c r="AF12" s="369">
        <v>0</v>
      </c>
      <c r="AG12" s="369">
        <v>0</v>
      </c>
      <c r="AH12" s="369">
        <v>0</v>
      </c>
      <c r="AI12" s="369">
        <v>0</v>
      </c>
      <c r="AJ12" s="368"/>
      <c r="AK12" s="369">
        <f>+SUM(AE12:AI12)</f>
        <v>30646001.518583983</v>
      </c>
      <c r="AL12" s="369">
        <f t="shared" ref="AL12" si="10">+AK12+AC12</f>
        <v>87341462.103583992</v>
      </c>
      <c r="AM12" s="368"/>
      <c r="AN12" s="369">
        <f>'B-7'!J15</f>
        <v>56370898.120000005</v>
      </c>
      <c r="AO12" s="369">
        <v>0</v>
      </c>
      <c r="AP12" s="369">
        <v>0</v>
      </c>
      <c r="AQ12" s="369">
        <v>0</v>
      </c>
      <c r="AR12" s="369">
        <v>0</v>
      </c>
      <c r="AS12" s="368"/>
      <c r="AT12" s="369">
        <f>SUM(AN12:AR12)</f>
        <v>56370898.120000005</v>
      </c>
      <c r="AU12" s="368"/>
      <c r="AV12" s="369">
        <f>(AL12*1.0348)-AT12</f>
        <v>34010046.864788711</v>
      </c>
      <c r="AW12" s="369">
        <v>0</v>
      </c>
      <c r="AX12" s="1066">
        <f>(SUMIF('FY26-FY28_PREPA Consolidated'!I:I,C12,'FY26-FY28_PREPA Consolidated'!EI:EI)*1000)-AP12</f>
        <v>0</v>
      </c>
      <c r="AY12" s="1066">
        <f>((SUMIF('FY26-FY28_PREPA Consolidated'!I:I,C12,'FY26-FY28_PREPA Consolidated'!EE:EE)+SUMIF('FY26-FY28_PREPA Consolidated'!I:I,C12,'FY26-FY28_PREPA Consolidated'!EG:EG))*1000)-AQ12</f>
        <v>0</v>
      </c>
      <c r="AZ12" s="369">
        <v>0</v>
      </c>
      <c r="BA12" s="368"/>
      <c r="BB12" s="369">
        <f t="shared" ref="BB12" si="11">+SUM(AV12:AZ12)</f>
        <v>34010046.864788711</v>
      </c>
      <c r="BC12" s="369"/>
      <c r="BD12" s="369">
        <f t="shared" si="4"/>
        <v>90380944.984788716</v>
      </c>
      <c r="BE12" s="863"/>
      <c r="BF12" s="369">
        <f>+I12+Q12</f>
        <v>0</v>
      </c>
      <c r="BG12" s="369">
        <f>+P12</f>
        <v>0</v>
      </c>
      <c r="BH12" s="369">
        <f t="shared" ref="BH12" si="12">+BG12+BF12</f>
        <v>0</v>
      </c>
      <c r="BI12" s="369"/>
    </row>
    <row r="13" spans="1:67">
      <c r="A13" s="91">
        <f>IF(C13&lt;&gt;"",MAX(A11:A12)+1,"")</f>
        <v>8</v>
      </c>
      <c r="C13" s="705" t="s">
        <v>287</v>
      </c>
      <c r="D13" s="878"/>
      <c r="E13" s="2"/>
      <c r="F13" s="779">
        <f>F10+SUM(F12:F12)</f>
        <v>3992494587.307538</v>
      </c>
      <c r="G13" s="779"/>
      <c r="H13" s="779"/>
      <c r="I13" s="779"/>
      <c r="J13" s="779"/>
      <c r="K13" s="779"/>
      <c r="L13" s="875">
        <f>L10+SUM(L12:L12)</f>
        <v>3992494587.307538</v>
      </c>
      <c r="M13" s="779"/>
      <c r="N13" s="779">
        <f>N10+SUM(N12:N12)</f>
        <v>27903135.49499999</v>
      </c>
      <c r="O13" s="779">
        <f>O10+SUM(O12:O12)</f>
        <v>0</v>
      </c>
      <c r="P13" s="779">
        <f>P10+SUM(P12:P12)</f>
        <v>0</v>
      </c>
      <c r="Q13" s="779">
        <f>Q10+SUM(Q12:Q12)</f>
        <v>0</v>
      </c>
      <c r="R13" s="779">
        <f>R10+SUM(R12:R12)</f>
        <v>0</v>
      </c>
      <c r="S13" s="779"/>
      <c r="T13" s="779">
        <f t="shared" si="1"/>
        <v>27903135.49499999</v>
      </c>
      <c r="U13" s="779">
        <f t="shared" si="2"/>
        <v>4020397722.8025379</v>
      </c>
      <c r="V13" s="791"/>
      <c r="W13" s="779">
        <f>W10+SUM(W12:W12)</f>
        <v>3894480608.6247206</v>
      </c>
      <c r="X13" s="779"/>
      <c r="Y13" s="779"/>
      <c r="Z13" s="779"/>
      <c r="AA13" s="779"/>
      <c r="AB13" s="779"/>
      <c r="AC13" s="875">
        <f>AC10+SUM(AC12:AC12)</f>
        <v>3894480608.6247206</v>
      </c>
      <c r="AD13" s="779"/>
      <c r="AE13" s="779">
        <f>AE10+SUM(AE12:AE12)</f>
        <v>30646001.518583983</v>
      </c>
      <c r="AF13" s="779">
        <f>AF10+SUM(AF12:AF12)</f>
        <v>0</v>
      </c>
      <c r="AG13" s="779">
        <f>AG10+SUM(AG12:AG12)</f>
        <v>0</v>
      </c>
      <c r="AH13" s="779">
        <f>AH10+SUM(AH12:AH12)</f>
        <v>0</v>
      </c>
      <c r="AI13" s="779">
        <f>AI10+SUM(AI12:AI12)</f>
        <v>0</v>
      </c>
      <c r="AJ13" s="779"/>
      <c r="AK13" s="779">
        <f t="shared" ref="AK13:AK14" si="13">+SUM(AE13:AI13)</f>
        <v>30646001.518583983</v>
      </c>
      <c r="AL13" s="779">
        <f>AC13+AK13</f>
        <v>3925126610.1433043</v>
      </c>
      <c r="AM13" s="368"/>
      <c r="AN13" s="779">
        <f>AN10+SUM(AN12:AN12)</f>
        <v>3827525730.3113976</v>
      </c>
      <c r="AO13" s="779"/>
      <c r="AP13" s="779"/>
      <c r="AQ13" s="779"/>
      <c r="AR13" s="779"/>
      <c r="AS13" s="779"/>
      <c r="AT13" s="875">
        <f>AT10+SUM(AT12:AT12)</f>
        <v>3827525730.3113976</v>
      </c>
      <c r="AU13" s="779"/>
      <c r="AV13" s="779">
        <f>AV10+SUM(AV12:AV12)</f>
        <v>34010046.864788711</v>
      </c>
      <c r="AW13" s="779">
        <f>AW10+SUM(AW12:AW12)</f>
        <v>0</v>
      </c>
      <c r="AX13" s="779">
        <f>AX10+SUM(AX12:AX12)</f>
        <v>0</v>
      </c>
      <c r="AY13" s="779">
        <f>AY10+SUM(AY12:AY12)</f>
        <v>0</v>
      </c>
      <c r="AZ13" s="779">
        <f>AZ10+SUM(AZ12:AZ12)</f>
        <v>0</v>
      </c>
      <c r="BA13" s="779"/>
      <c r="BB13" s="779">
        <f>+SUM(AV13:AZ13)</f>
        <v>34010046.864788711</v>
      </c>
      <c r="BC13" s="779"/>
      <c r="BD13" s="779">
        <f t="shared" si="4"/>
        <v>3861535777.1761861</v>
      </c>
    </row>
    <row r="14" spans="1:67">
      <c r="A14" s="91">
        <f>IF(C14&lt;&gt;"",MAX(A12:A13)+1,"")</f>
        <v>9</v>
      </c>
      <c r="C14" s="80" t="s">
        <v>370</v>
      </c>
      <c r="D14" s="80"/>
      <c r="F14" s="850">
        <f>F9</f>
        <v>320077800</v>
      </c>
      <c r="G14" s="369"/>
      <c r="H14" s="369"/>
      <c r="I14" s="369"/>
      <c r="J14" s="369"/>
      <c r="K14" s="368"/>
      <c r="L14" s="370">
        <f>SUM(F14:J14)</f>
        <v>320077800</v>
      </c>
      <c r="M14" s="368"/>
      <c r="N14" s="369">
        <v>0</v>
      </c>
      <c r="O14" s="369">
        <v>0</v>
      </c>
      <c r="P14" s="369">
        <v>0</v>
      </c>
      <c r="Q14" s="369">
        <v>0</v>
      </c>
      <c r="R14" s="369">
        <v>0</v>
      </c>
      <c r="S14" s="368"/>
      <c r="T14" s="369">
        <f t="shared" si="1"/>
        <v>0</v>
      </c>
      <c r="U14" s="369">
        <f t="shared" si="2"/>
        <v>320077800</v>
      </c>
      <c r="V14" s="368"/>
      <c r="W14" s="850">
        <f>F14</f>
        <v>320077800</v>
      </c>
      <c r="X14" s="369"/>
      <c r="Y14" s="369"/>
      <c r="Z14" s="369"/>
      <c r="AA14" s="369"/>
      <c r="AB14" s="368"/>
      <c r="AC14" s="370">
        <f>SUM(W14:AA14)</f>
        <v>320077800</v>
      </c>
      <c r="AD14" s="368"/>
      <c r="AE14" s="369">
        <v>0</v>
      </c>
      <c r="AF14" s="369">
        <v>0</v>
      </c>
      <c r="AG14" s="369">
        <v>0</v>
      </c>
      <c r="AH14" s="369">
        <v>0</v>
      </c>
      <c r="AI14" s="369">
        <v>0</v>
      </c>
      <c r="AJ14" s="368"/>
      <c r="AK14" s="369">
        <f t="shared" si="13"/>
        <v>0</v>
      </c>
      <c r="AL14" s="369">
        <f>AC14+AK14</f>
        <v>320077800</v>
      </c>
      <c r="AM14" s="368"/>
      <c r="AN14" s="850">
        <f>W14</f>
        <v>320077800</v>
      </c>
      <c r="AO14" s="369"/>
      <c r="AP14" s="369"/>
      <c r="AQ14" s="369"/>
      <c r="AR14" s="369"/>
      <c r="AS14" s="368"/>
      <c r="AT14" s="370">
        <f>SUM(AN14:AR14)</f>
        <v>320077800</v>
      </c>
      <c r="AU14" s="368"/>
      <c r="AV14" s="369">
        <v>0</v>
      </c>
      <c r="AW14" s="369">
        <v>0</v>
      </c>
      <c r="AX14" s="369">
        <v>0</v>
      </c>
      <c r="AY14" s="369">
        <v>0</v>
      </c>
      <c r="AZ14" s="369">
        <v>0</v>
      </c>
      <c r="BA14" s="368"/>
      <c r="BB14" s="369">
        <f>+SUM(AV14:AZ14)</f>
        <v>0</v>
      </c>
      <c r="BC14" s="368"/>
      <c r="BD14" s="369">
        <f t="shared" si="4"/>
        <v>320077800</v>
      </c>
    </row>
    <row r="15" spans="1:67">
      <c r="A15" s="77"/>
      <c r="E15" s="2"/>
      <c r="F15" s="368"/>
      <c r="G15" s="368"/>
      <c r="H15" s="368"/>
      <c r="I15" s="368"/>
      <c r="J15" s="368"/>
      <c r="K15" s="368"/>
      <c r="L15" s="861"/>
      <c r="M15" s="368"/>
      <c r="N15" s="368"/>
      <c r="O15" s="368"/>
      <c r="P15" s="368"/>
      <c r="Q15" s="368"/>
      <c r="R15" s="368"/>
      <c r="S15" s="368"/>
      <c r="T15" s="368"/>
      <c r="U15" s="368"/>
      <c r="V15" s="791"/>
      <c r="W15" s="368"/>
      <c r="X15" s="368"/>
      <c r="Y15" s="368"/>
      <c r="Z15" s="368"/>
      <c r="AA15" s="368"/>
      <c r="AB15" s="368"/>
      <c r="AC15" s="368"/>
      <c r="AD15" s="368"/>
      <c r="AE15" s="368"/>
      <c r="AF15" s="368"/>
      <c r="AG15" s="368"/>
      <c r="AH15" s="368"/>
      <c r="AI15" s="368"/>
      <c r="AJ15" s="368"/>
      <c r="AK15" s="368"/>
      <c r="AL15" s="368"/>
      <c r="AM15" s="368"/>
      <c r="AN15" s="368"/>
      <c r="AO15" s="368"/>
      <c r="AP15" s="368"/>
      <c r="AQ15" s="368"/>
      <c r="AR15" s="368"/>
      <c r="AS15" s="368"/>
      <c r="AT15" s="368"/>
      <c r="AU15" s="368"/>
      <c r="AV15" s="368"/>
      <c r="AW15" s="368"/>
      <c r="AX15" s="368"/>
      <c r="AY15" s="368"/>
      <c r="AZ15" s="368"/>
      <c r="BA15" s="368"/>
      <c r="BB15" s="368"/>
      <c r="BC15" s="368"/>
      <c r="BD15" s="368"/>
    </row>
    <row r="16" spans="1:67">
      <c r="A16" s="91">
        <f>IF(C16&lt;&gt;"",MAX(A14:A14)+1,"")</f>
        <v>10</v>
      </c>
      <c r="C16" s="710" t="s">
        <v>290</v>
      </c>
      <c r="D16" s="879"/>
      <c r="F16" s="779">
        <f>F13-SUM(F14:F14)</f>
        <v>3672416787.307538</v>
      </c>
      <c r="G16" s="779">
        <f t="shared" ref="G16:J16" si="14">G13-SUM(G14:G14)</f>
        <v>0</v>
      </c>
      <c r="H16" s="779">
        <f t="shared" si="14"/>
        <v>0</v>
      </c>
      <c r="I16" s="779">
        <f t="shared" si="14"/>
        <v>0</v>
      </c>
      <c r="J16" s="779">
        <f t="shared" si="14"/>
        <v>0</v>
      </c>
      <c r="K16" s="779"/>
      <c r="L16" s="779">
        <f>L13-SUM(L14:L14)</f>
        <v>3672416787.307538</v>
      </c>
      <c r="M16" s="779"/>
      <c r="N16" s="875">
        <f>N13-SUM(N14:N14)</f>
        <v>27903135.49499999</v>
      </c>
      <c r="O16" s="779">
        <f>O13+SUM(O14:O14)</f>
        <v>0</v>
      </c>
      <c r="P16" s="779">
        <f>P13+SUM(P14:P14)</f>
        <v>0</v>
      </c>
      <c r="Q16" s="779">
        <f>Q13+SUM(Q14:Q14)</f>
        <v>0</v>
      </c>
      <c r="R16" s="779">
        <f>R13+SUM(R14:R14)</f>
        <v>0</v>
      </c>
      <c r="S16" s="779"/>
      <c r="T16" s="779">
        <f t="shared" si="1"/>
        <v>27903135.49499999</v>
      </c>
      <c r="U16" s="779">
        <f t="shared" si="2"/>
        <v>3700319922.8025379</v>
      </c>
      <c r="V16" s="368"/>
      <c r="W16" s="779">
        <f>W13-SUM(W14:W14)</f>
        <v>3574402808.6247206</v>
      </c>
      <c r="X16" s="779">
        <f t="shared" ref="X16:AC16" si="15">X13-SUM(X14:X14)</f>
        <v>0</v>
      </c>
      <c r="Y16" s="779">
        <f t="shared" si="15"/>
        <v>0</v>
      </c>
      <c r="Z16" s="779">
        <f t="shared" si="15"/>
        <v>0</v>
      </c>
      <c r="AA16" s="779">
        <f t="shared" si="15"/>
        <v>0</v>
      </c>
      <c r="AB16" s="779"/>
      <c r="AC16" s="779">
        <f t="shared" si="15"/>
        <v>3574402808.6247206</v>
      </c>
      <c r="AD16" s="779"/>
      <c r="AE16" s="875">
        <f>AE13-SUM(AE14:AE14)</f>
        <v>30646001.518583983</v>
      </c>
      <c r="AF16" s="779">
        <f>AF13+SUM(AF14:AF14)</f>
        <v>0</v>
      </c>
      <c r="AG16" s="779">
        <f>AG13+SUM(AG14:AG14)</f>
        <v>0</v>
      </c>
      <c r="AH16" s="779">
        <f>AH13+SUM(AH14:AH14)</f>
        <v>0</v>
      </c>
      <c r="AI16" s="779">
        <f>AI13+SUM(AI14:AI14)</f>
        <v>0</v>
      </c>
      <c r="AJ16" s="779"/>
      <c r="AK16" s="779">
        <f t="shared" ref="AK16" si="16">+SUM(AE16:AI16)</f>
        <v>30646001.518583983</v>
      </c>
      <c r="AL16" s="779">
        <f>AC16+AK16</f>
        <v>3605048810.1433043</v>
      </c>
      <c r="AM16" s="368"/>
      <c r="AN16" s="779">
        <f>AN13-SUM(AN14:AN14)</f>
        <v>3507447930.3113976</v>
      </c>
      <c r="AO16" s="779">
        <f t="shared" ref="AO16:AT16" si="17">AO13-SUM(AO14:AO14)</f>
        <v>0</v>
      </c>
      <c r="AP16" s="779">
        <f t="shared" si="17"/>
        <v>0</v>
      </c>
      <c r="AQ16" s="779">
        <f t="shared" si="17"/>
        <v>0</v>
      </c>
      <c r="AR16" s="779">
        <f t="shared" si="17"/>
        <v>0</v>
      </c>
      <c r="AS16" s="779"/>
      <c r="AT16" s="779">
        <f t="shared" si="17"/>
        <v>3507447930.3113976</v>
      </c>
      <c r="AU16" s="779"/>
      <c r="AV16" s="875">
        <f>AV13-SUM(AV14:AV14)</f>
        <v>34010046.864788711</v>
      </c>
      <c r="AW16" s="779">
        <f>AW13+SUM(AW14:AW14)</f>
        <v>0</v>
      </c>
      <c r="AX16" s="779">
        <f>AX13+SUM(AX14:AX14)</f>
        <v>0</v>
      </c>
      <c r="AY16" s="779">
        <f>AY13+SUM(AY14:AY14)</f>
        <v>0</v>
      </c>
      <c r="AZ16" s="779">
        <f>AZ13+SUM(AZ14:AZ14)</f>
        <v>0</v>
      </c>
      <c r="BA16" s="779"/>
      <c r="BB16" s="779">
        <f>+SUM(AV16:AZ16)</f>
        <v>34010046.864788711</v>
      </c>
      <c r="BC16" s="779"/>
      <c r="BD16" s="780">
        <f t="shared" si="4"/>
        <v>3541457977.1761861</v>
      </c>
    </row>
    <row r="17" spans="1:56">
      <c r="A17" s="91"/>
      <c r="C17" s="29"/>
      <c r="D17" s="29"/>
      <c r="E17" s="2"/>
      <c r="F17" s="653"/>
      <c r="G17" s="653"/>
      <c r="H17" s="653"/>
      <c r="I17" s="653"/>
      <c r="J17" s="653"/>
      <c r="K17" s="368"/>
      <c r="L17" s="877"/>
      <c r="M17" s="368"/>
      <c r="N17" s="653"/>
      <c r="O17" s="653"/>
      <c r="P17" s="653"/>
      <c r="Q17" s="653"/>
      <c r="R17" s="653"/>
      <c r="S17" s="368"/>
      <c r="T17" s="653"/>
      <c r="U17" s="653"/>
      <c r="V17" s="791"/>
      <c r="W17" s="653"/>
      <c r="X17" s="653"/>
      <c r="Y17" s="653"/>
      <c r="Z17" s="653"/>
      <c r="AA17" s="653"/>
      <c r="AB17" s="368"/>
      <c r="AC17" s="653"/>
      <c r="AD17" s="368"/>
      <c r="AE17" s="653"/>
      <c r="AF17" s="653"/>
      <c r="AG17" s="653"/>
      <c r="AH17" s="653"/>
      <c r="AI17" s="653"/>
      <c r="AJ17" s="368"/>
      <c r="AK17" s="653"/>
      <c r="AL17" s="653"/>
      <c r="AM17" s="368"/>
      <c r="AN17" s="653"/>
      <c r="AO17" s="653"/>
      <c r="AP17" s="653"/>
      <c r="AQ17" s="653"/>
      <c r="AR17" s="653"/>
      <c r="AS17" s="368"/>
      <c r="AT17" s="653"/>
      <c r="AU17" s="368"/>
      <c r="AV17" s="653"/>
      <c r="AW17" s="653"/>
      <c r="AX17" s="653"/>
      <c r="AY17" s="653"/>
      <c r="AZ17" s="653"/>
      <c r="BA17" s="368"/>
      <c r="BB17" s="653"/>
      <c r="BC17" s="368"/>
      <c r="BD17" s="653"/>
    </row>
    <row r="18" spans="1:56" ht="15.75" thickBot="1">
      <c r="A18" s="91">
        <f>IF(C18&lt;&gt;"",MAX(A16:A17)+1,"")</f>
        <v>11</v>
      </c>
      <c r="C18" s="870" t="s">
        <v>291</v>
      </c>
      <c r="D18" s="870"/>
      <c r="F18" s="871"/>
      <c r="G18" s="871"/>
      <c r="H18" s="871"/>
      <c r="I18" s="871"/>
      <c r="J18" s="871"/>
      <c r="K18" s="380"/>
      <c r="L18" s="872" t="s">
        <v>279</v>
      </c>
      <c r="M18" s="380"/>
      <c r="N18" s="871" t="s">
        <v>279</v>
      </c>
      <c r="O18" s="871" t="s">
        <v>279</v>
      </c>
      <c r="P18" s="871" t="s">
        <v>279</v>
      </c>
      <c r="Q18" s="871" t="s">
        <v>279</v>
      </c>
      <c r="R18" s="871" t="s">
        <v>279</v>
      </c>
      <c r="S18" s="380"/>
      <c r="T18" s="871"/>
      <c r="U18" s="871"/>
      <c r="V18" s="368"/>
      <c r="W18" s="871"/>
      <c r="X18" s="871"/>
      <c r="Y18" s="871"/>
      <c r="Z18" s="871"/>
      <c r="AA18" s="871"/>
      <c r="AB18" s="380"/>
      <c r="AC18" s="871"/>
      <c r="AD18" s="380"/>
      <c r="AE18" s="871" t="s">
        <v>279</v>
      </c>
      <c r="AF18" s="871" t="s">
        <v>279</v>
      </c>
      <c r="AG18" s="871" t="s">
        <v>279</v>
      </c>
      <c r="AH18" s="871" t="s">
        <v>279</v>
      </c>
      <c r="AI18" s="871" t="s">
        <v>279</v>
      </c>
      <c r="AJ18" s="380"/>
      <c r="AK18" s="871">
        <f t="shared" ref="AK18" si="18">+SUM(AE18:AI18)</f>
        <v>0</v>
      </c>
      <c r="AL18" s="871"/>
      <c r="AM18" s="368"/>
      <c r="AN18" s="871"/>
      <c r="AO18" s="871"/>
      <c r="AP18" s="871"/>
      <c r="AQ18" s="871"/>
      <c r="AR18" s="871"/>
      <c r="AS18" s="380"/>
      <c r="AT18" s="871"/>
      <c r="AU18" s="380"/>
      <c r="AV18" s="871" t="s">
        <v>279</v>
      </c>
      <c r="AW18" s="871" t="s">
        <v>279</v>
      </c>
      <c r="AX18" s="871" t="s">
        <v>279</v>
      </c>
      <c r="AY18" s="871" t="s">
        <v>279</v>
      </c>
      <c r="AZ18" s="871" t="s">
        <v>279</v>
      </c>
      <c r="BA18" s="380"/>
      <c r="BB18" s="871"/>
      <c r="BC18" s="380"/>
      <c r="BD18" s="871"/>
    </row>
    <row r="19" spans="1:56">
      <c r="A19" s="91"/>
      <c r="C19" s="29"/>
      <c r="D19" s="29"/>
      <c r="E19" s="2"/>
      <c r="F19" s="653"/>
      <c r="G19" s="653"/>
      <c r="H19" s="653"/>
      <c r="I19" s="653"/>
      <c r="J19" s="653"/>
      <c r="K19" s="368"/>
      <c r="L19" s="877"/>
      <c r="M19" s="368"/>
      <c r="N19" s="653"/>
      <c r="O19" s="653"/>
      <c r="P19" s="653"/>
      <c r="Q19" s="653"/>
      <c r="R19" s="653"/>
      <c r="S19" s="368"/>
      <c r="T19" s="653"/>
      <c r="U19" s="653">
        <f t="shared" si="2"/>
        <v>0</v>
      </c>
      <c r="V19" s="791"/>
      <c r="W19" s="653"/>
      <c r="X19" s="653"/>
      <c r="Y19" s="653"/>
      <c r="Z19" s="653"/>
      <c r="AA19" s="653"/>
      <c r="AB19" s="368"/>
      <c r="AC19" s="653"/>
      <c r="AD19" s="368"/>
      <c r="AE19" s="653"/>
      <c r="AF19" s="653"/>
      <c r="AG19" s="653"/>
      <c r="AH19" s="653"/>
      <c r="AI19" s="653"/>
      <c r="AJ19" s="368"/>
      <c r="AK19" s="653"/>
      <c r="AL19" s="653"/>
      <c r="AM19" s="368"/>
      <c r="AN19" s="653"/>
      <c r="AO19" s="653"/>
      <c r="AP19" s="653"/>
      <c r="AQ19" s="653"/>
      <c r="AR19" s="653"/>
      <c r="AS19" s="368"/>
      <c r="AT19" s="653"/>
      <c r="AU19" s="368"/>
      <c r="AV19" s="653"/>
      <c r="AW19" s="653"/>
      <c r="AX19" s="653"/>
      <c r="AY19" s="653"/>
      <c r="AZ19" s="653"/>
      <c r="BA19" s="368"/>
      <c r="BB19" s="653"/>
      <c r="BC19" s="368"/>
      <c r="BD19" s="653"/>
    </row>
    <row r="20" spans="1:56">
      <c r="A20" s="91">
        <f>IF(C20&lt;&gt;"",MAX(A17:A18)+1,"")</f>
        <v>12</v>
      </c>
      <c r="C20" s="361" t="s">
        <v>292</v>
      </c>
      <c r="D20" s="361"/>
      <c r="F20" s="368"/>
      <c r="G20" s="368"/>
      <c r="H20" s="368"/>
      <c r="I20" s="368"/>
      <c r="J20" s="368"/>
      <c r="K20" s="368"/>
      <c r="L20" s="861"/>
      <c r="M20" s="368"/>
      <c r="N20" s="368"/>
      <c r="O20" s="368"/>
      <c r="P20" s="368"/>
      <c r="Q20" s="368"/>
      <c r="R20" s="368"/>
      <c r="S20" s="368"/>
      <c r="T20" s="368">
        <f t="shared" si="1"/>
        <v>0</v>
      </c>
      <c r="U20" s="368">
        <f t="shared" si="2"/>
        <v>0</v>
      </c>
      <c r="V20" s="368"/>
      <c r="W20" s="368"/>
      <c r="X20" s="368"/>
      <c r="Y20" s="368"/>
      <c r="Z20" s="368"/>
      <c r="AA20" s="368"/>
      <c r="AB20" s="368"/>
      <c r="AC20" s="368"/>
      <c r="AD20" s="368"/>
      <c r="AE20" s="368"/>
      <c r="AF20" s="368"/>
      <c r="AG20" s="368"/>
      <c r="AH20" s="368"/>
      <c r="AI20" s="368"/>
      <c r="AJ20" s="368"/>
      <c r="AK20" s="368"/>
      <c r="AL20" s="368"/>
      <c r="AM20" s="368"/>
      <c r="AN20" s="368"/>
      <c r="AO20" s="368"/>
      <c r="AP20" s="368"/>
      <c r="AQ20" s="368"/>
      <c r="AR20" s="368"/>
      <c r="AS20" s="368"/>
      <c r="AT20" s="368"/>
      <c r="AU20" s="368"/>
      <c r="AV20" s="368"/>
      <c r="AW20" s="368"/>
      <c r="AX20" s="368"/>
      <c r="AY20" s="368"/>
      <c r="AZ20" s="368"/>
      <c r="BA20" s="368"/>
      <c r="BB20" s="368"/>
      <c r="BC20" s="368"/>
      <c r="BD20" s="368"/>
    </row>
    <row r="21" spans="1:56">
      <c r="A21" s="91">
        <f>IF(C21&lt;&gt;"",MAX(A18:A20)+1,"")</f>
        <v>13</v>
      </c>
      <c r="C21" s="80" t="s">
        <v>293</v>
      </c>
      <c r="D21" s="80"/>
      <c r="E21" s="2"/>
      <c r="F21" s="377">
        <f>'F-6'!F191</f>
        <v>1710960028.6206896</v>
      </c>
      <c r="G21" s="369"/>
      <c r="H21" s="369"/>
      <c r="I21" s="369"/>
      <c r="J21" s="369"/>
      <c r="K21" s="368"/>
      <c r="L21" s="370">
        <f>SUM(F21:J21)</f>
        <v>1710960028.6206896</v>
      </c>
      <c r="M21" s="368"/>
      <c r="N21" s="377">
        <f>'F-6'!N191</f>
        <v>0</v>
      </c>
      <c r="O21" s="369">
        <v>0</v>
      </c>
      <c r="P21" s="369">
        <v>0</v>
      </c>
      <c r="Q21" s="369">
        <v>0</v>
      </c>
      <c r="R21" s="369">
        <v>0</v>
      </c>
      <c r="S21" s="368"/>
      <c r="T21" s="369">
        <f t="shared" si="1"/>
        <v>0</v>
      </c>
      <c r="U21" s="369">
        <f t="shared" si="2"/>
        <v>1710960028.6206896</v>
      </c>
      <c r="V21" s="791"/>
      <c r="W21" s="369">
        <f>'F-6'!Q180</f>
        <v>1659770337.5443616</v>
      </c>
      <c r="X21" s="369">
        <v>0</v>
      </c>
      <c r="Y21" s="369">
        <v>0</v>
      </c>
      <c r="Z21" s="369">
        <v>0</v>
      </c>
      <c r="AA21" s="369">
        <v>0</v>
      </c>
      <c r="AB21" s="368"/>
      <c r="AC21" s="369">
        <f>SUM(W21:AA21)</f>
        <v>1659770337.5443616</v>
      </c>
      <c r="AD21" s="368"/>
      <c r="AE21" s="377">
        <f>'F-6'!AE191</f>
        <v>0</v>
      </c>
      <c r="AF21" s="369">
        <v>0</v>
      </c>
      <c r="AG21" s="369">
        <v>0</v>
      </c>
      <c r="AH21" s="369">
        <v>0</v>
      </c>
      <c r="AI21" s="369">
        <v>0</v>
      </c>
      <c r="AJ21" s="368"/>
      <c r="AK21" s="369">
        <f t="shared" ref="AK21:AK24" si="19">+SUM(AE21:AI21)</f>
        <v>0</v>
      </c>
      <c r="AL21" s="369">
        <f>AC21+AK21</f>
        <v>1659770337.5443616</v>
      </c>
      <c r="AM21" s="368"/>
      <c r="AN21" s="369">
        <f>'F-6'!Q181</f>
        <v>1623835232.7383296</v>
      </c>
      <c r="AO21" s="369"/>
      <c r="AP21" s="369"/>
      <c r="AQ21" s="369"/>
      <c r="AR21" s="369"/>
      <c r="AS21" s="368"/>
      <c r="AT21" s="369">
        <f>SUM(AN21:AR21)</f>
        <v>1623835232.7383296</v>
      </c>
      <c r="AU21" s="368"/>
      <c r="AV21" s="377">
        <f>'F-6'!AV191</f>
        <v>0</v>
      </c>
      <c r="AW21" s="369">
        <v>0</v>
      </c>
      <c r="AX21" s="1066">
        <f>(SUMIF('FY26-FY28_PREPA Consolidated'!I:I,C21,'FY26-FY28_PREPA Consolidated'!EI:EI)*1000)-AP21</f>
        <v>0</v>
      </c>
      <c r="AY21" s="1066">
        <f>((SUMIF('FY26-FY28_PREPA Consolidated'!I:I,C21,'FY26-FY28_PREPA Consolidated'!EE:EE)+SUMIF('FY26-FY28_PREPA Consolidated'!I:I,C21,'FY26-FY28_PREPA Consolidated'!EG:EG))*1000)-AQ21</f>
        <v>0</v>
      </c>
      <c r="AZ21" s="369">
        <v>0</v>
      </c>
      <c r="BA21" s="368"/>
      <c r="BB21" s="369">
        <f>+SUM(AV21:AZ21)</f>
        <v>0</v>
      </c>
      <c r="BC21" s="368"/>
      <c r="BD21" s="369">
        <f t="shared" si="4"/>
        <v>1623835232.7383296</v>
      </c>
    </row>
    <row r="22" spans="1:56">
      <c r="A22" s="91">
        <f>IF(C22&lt;&gt;"",MAX(A20:A21)+1,"")</f>
        <v>14</v>
      </c>
      <c r="C22" s="80" t="s">
        <v>294</v>
      </c>
      <c r="D22" s="80"/>
      <c r="F22" s="377">
        <f>'F-6'!D248</f>
        <v>575691701.22000003</v>
      </c>
      <c r="G22" s="369"/>
      <c r="H22" s="369"/>
      <c r="I22" s="369"/>
      <c r="J22" s="369"/>
      <c r="K22" s="368"/>
      <c r="L22" s="370">
        <f>SUM(F22:J22)</f>
        <v>575691701.22000003</v>
      </c>
      <c r="M22" s="368"/>
      <c r="N22" s="377">
        <v>0</v>
      </c>
      <c r="O22" s="369">
        <v>0</v>
      </c>
      <c r="P22" s="369">
        <v>0</v>
      </c>
      <c r="Q22" s="369">
        <v>0</v>
      </c>
      <c r="R22" s="369">
        <v>0</v>
      </c>
      <c r="S22" s="368"/>
      <c r="T22" s="369">
        <f t="shared" si="1"/>
        <v>0</v>
      </c>
      <c r="U22" s="369">
        <f t="shared" si="2"/>
        <v>575691701.22000003</v>
      </c>
      <c r="V22" s="368"/>
      <c r="W22" s="369">
        <f>'F-6'!K258</f>
        <v>558467756.85677922</v>
      </c>
      <c r="X22" s="369">
        <v>0</v>
      </c>
      <c r="Y22" s="369">
        <v>0</v>
      </c>
      <c r="Z22" s="369">
        <v>0</v>
      </c>
      <c r="AA22" s="369">
        <v>0</v>
      </c>
      <c r="AB22" s="368"/>
      <c r="AC22" s="369">
        <f>SUM(W22:AA22)</f>
        <v>558467756.85677922</v>
      </c>
      <c r="AD22" s="368"/>
      <c r="AE22" s="377">
        <v>0</v>
      </c>
      <c r="AF22" s="369">
        <v>0</v>
      </c>
      <c r="AG22" s="369">
        <v>0</v>
      </c>
      <c r="AH22" s="369">
        <v>0</v>
      </c>
      <c r="AI22" s="369">
        <v>0</v>
      </c>
      <c r="AJ22" s="368"/>
      <c r="AK22" s="369">
        <f t="shared" si="19"/>
        <v>0</v>
      </c>
      <c r="AL22" s="369">
        <f>AC22+AK22</f>
        <v>558467756.85677922</v>
      </c>
      <c r="AM22" s="368"/>
      <c r="AN22" s="369">
        <f>'F-6'!K259</f>
        <v>546376567.54011166</v>
      </c>
      <c r="AO22" s="369"/>
      <c r="AP22" s="369"/>
      <c r="AQ22" s="369"/>
      <c r="AR22" s="369"/>
      <c r="AS22" s="368"/>
      <c r="AT22" s="369">
        <f>SUM(AN22:AR22)</f>
        <v>546376567.54011166</v>
      </c>
      <c r="AU22" s="368"/>
      <c r="AV22" s="377">
        <v>0</v>
      </c>
      <c r="AW22" s="369">
        <v>0</v>
      </c>
      <c r="AX22" s="1066">
        <f>(SUMIF('FY26-FY28_PREPA Consolidated'!I:I,C22,'FY26-FY28_PREPA Consolidated'!EI:EI)*1000)-AP22</f>
        <v>0</v>
      </c>
      <c r="AY22" s="1066">
        <f>((SUMIF('FY26-FY28_PREPA Consolidated'!I:I,C22,'FY26-FY28_PREPA Consolidated'!EE:EE)+SUMIF('FY26-FY28_PREPA Consolidated'!I:I,C22,'FY26-FY28_PREPA Consolidated'!EG:EG))*1000)-AQ22</f>
        <v>0</v>
      </c>
      <c r="AZ22" s="369">
        <v>0</v>
      </c>
      <c r="BA22" s="368"/>
      <c r="BB22" s="369">
        <f>+SUM(AV22:AZ22)</f>
        <v>0</v>
      </c>
      <c r="BC22" s="368"/>
      <c r="BD22" s="369">
        <f t="shared" si="4"/>
        <v>546376567.54011166</v>
      </c>
    </row>
    <row r="23" spans="1:56">
      <c r="A23" s="91">
        <f t="shared" si="0"/>
        <v>15</v>
      </c>
      <c r="C23" s="80" t="s">
        <v>295</v>
      </c>
      <c r="D23" s="80"/>
      <c r="E23" s="2"/>
      <c r="F23" s="377">
        <f>'F-6'!L248</f>
        <v>150061570</v>
      </c>
      <c r="G23" s="369"/>
      <c r="H23" s="369"/>
      <c r="I23" s="369"/>
      <c r="J23" s="369"/>
      <c r="K23" s="368"/>
      <c r="L23" s="370">
        <f>SUM(F23:J23)</f>
        <v>150061570</v>
      </c>
      <c r="M23" s="368"/>
      <c r="N23" s="377">
        <f>'F-6'!T248</f>
        <v>0</v>
      </c>
      <c r="O23" s="369">
        <v>0</v>
      </c>
      <c r="P23" s="369">
        <v>0</v>
      </c>
      <c r="Q23" s="369">
        <v>0</v>
      </c>
      <c r="R23" s="369">
        <v>0</v>
      </c>
      <c r="S23" s="368"/>
      <c r="T23" s="369">
        <f t="shared" si="1"/>
        <v>0</v>
      </c>
      <c r="U23" s="369">
        <f t="shared" si="2"/>
        <v>150061570</v>
      </c>
      <c r="V23" s="791"/>
      <c r="W23" s="369">
        <f>'F-6'!M258</f>
        <v>145571923.67148736</v>
      </c>
      <c r="X23" s="369">
        <v>0</v>
      </c>
      <c r="Y23" s="369">
        <v>0</v>
      </c>
      <c r="Z23" s="369">
        <v>0</v>
      </c>
      <c r="AA23" s="369">
        <v>0</v>
      </c>
      <c r="AB23" s="368"/>
      <c r="AC23" s="369">
        <f>SUM(W23:AA23)</f>
        <v>145571923.67148736</v>
      </c>
      <c r="AD23" s="368"/>
      <c r="AE23" s="377">
        <f>'F-6'!AK248</f>
        <v>0</v>
      </c>
      <c r="AF23" s="369">
        <v>0</v>
      </c>
      <c r="AG23" s="369">
        <v>0</v>
      </c>
      <c r="AH23" s="369">
        <v>0</v>
      </c>
      <c r="AI23" s="369">
        <v>0</v>
      </c>
      <c r="AJ23" s="368"/>
      <c r="AK23" s="369">
        <f t="shared" si="19"/>
        <v>0</v>
      </c>
      <c r="AL23" s="369">
        <f>AC23+AK23</f>
        <v>145571923.67148736</v>
      </c>
      <c r="AM23" s="368"/>
      <c r="AN23" s="369">
        <f>'F-6'!M259</f>
        <v>142420197.06472677</v>
      </c>
      <c r="AO23" s="369"/>
      <c r="AP23" s="369"/>
      <c r="AQ23" s="369"/>
      <c r="AR23" s="369"/>
      <c r="AS23" s="368"/>
      <c r="AT23" s="369">
        <f>SUM(AN23:AR23)</f>
        <v>142420197.06472677</v>
      </c>
      <c r="AU23" s="368"/>
      <c r="AV23" s="377">
        <f>'F-6'!BB248</f>
        <v>0</v>
      </c>
      <c r="AW23" s="369">
        <v>0</v>
      </c>
      <c r="AX23" s="1066">
        <f>(SUMIF('FY26-FY28_PREPA Consolidated'!I:I,C23,'FY26-FY28_PREPA Consolidated'!EI:EI)*1000)-AP23</f>
        <v>0</v>
      </c>
      <c r="AY23" s="1066">
        <f>((SUMIF('FY26-FY28_PREPA Consolidated'!I:I,C23,'FY26-FY28_PREPA Consolidated'!EE:EE)+SUMIF('FY26-FY28_PREPA Consolidated'!I:I,C23,'FY26-FY28_PREPA Consolidated'!EG:EG))*1000)-AQ23</f>
        <v>0</v>
      </c>
      <c r="AZ23" s="369">
        <v>0</v>
      </c>
      <c r="BA23" s="368"/>
      <c r="BB23" s="369">
        <f>+SUM(AV23:AZ23)</f>
        <v>0</v>
      </c>
      <c r="BC23" s="368"/>
      <c r="BD23" s="369">
        <f t="shared" si="4"/>
        <v>142420197.06472677</v>
      </c>
    </row>
    <row r="24" spans="1:56">
      <c r="A24" s="91">
        <f t="shared" si="0"/>
        <v>16</v>
      </c>
      <c r="C24" s="792" t="s">
        <v>296</v>
      </c>
      <c r="D24" s="874"/>
      <c r="F24" s="779">
        <f>SUM(F21:F23)</f>
        <v>2436713299.8406897</v>
      </c>
      <c r="G24" s="779"/>
      <c r="H24" s="779"/>
      <c r="I24" s="779"/>
      <c r="J24" s="779"/>
      <c r="K24" s="764"/>
      <c r="L24" s="875">
        <f>SUM(L21:L23)</f>
        <v>2436713299.8406897</v>
      </c>
      <c r="M24" s="764"/>
      <c r="N24" s="779">
        <f>SUM(N21:N23)</f>
        <v>0</v>
      </c>
      <c r="O24" s="779">
        <f t="shared" ref="O24:R24" si="20">SUM(O21:O23)</f>
        <v>0</v>
      </c>
      <c r="P24" s="779">
        <f t="shared" si="20"/>
        <v>0</v>
      </c>
      <c r="Q24" s="779">
        <f t="shared" si="20"/>
        <v>0</v>
      </c>
      <c r="R24" s="779">
        <f t="shared" si="20"/>
        <v>0</v>
      </c>
      <c r="S24" s="764"/>
      <c r="T24" s="779">
        <f t="shared" si="1"/>
        <v>0</v>
      </c>
      <c r="U24" s="779">
        <f t="shared" si="2"/>
        <v>2436713299.8406897</v>
      </c>
      <c r="V24" s="368"/>
      <c r="W24" s="875">
        <f t="shared" ref="W24" si="21">SUM(W21:W23)</f>
        <v>2363810018.072628</v>
      </c>
      <c r="X24" s="779"/>
      <c r="Y24" s="779"/>
      <c r="Z24" s="779"/>
      <c r="AA24" s="779"/>
      <c r="AB24" s="764"/>
      <c r="AC24" s="875">
        <f t="shared" ref="AC24" si="22">SUM(AC21:AC23)</f>
        <v>2363810018.072628</v>
      </c>
      <c r="AD24" s="764"/>
      <c r="AE24" s="779">
        <f>SUM(AE21:AE23)</f>
        <v>0</v>
      </c>
      <c r="AF24" s="779">
        <f t="shared" ref="AF24:AI24" si="23">SUM(AF21:AF23)</f>
        <v>0</v>
      </c>
      <c r="AG24" s="779">
        <f t="shared" si="23"/>
        <v>0</v>
      </c>
      <c r="AH24" s="779">
        <f t="shared" si="23"/>
        <v>0</v>
      </c>
      <c r="AI24" s="779">
        <f t="shared" si="23"/>
        <v>0</v>
      </c>
      <c r="AJ24" s="764"/>
      <c r="AK24" s="779">
        <f t="shared" si="19"/>
        <v>0</v>
      </c>
      <c r="AL24" s="779">
        <f>AC24+AK24</f>
        <v>2363810018.072628</v>
      </c>
      <c r="AM24" s="368"/>
      <c r="AN24" s="875">
        <f>SUM(AN21:AN23)</f>
        <v>2312631997.3431683</v>
      </c>
      <c r="AO24" s="779"/>
      <c r="AP24" s="779"/>
      <c r="AQ24" s="779"/>
      <c r="AR24" s="779"/>
      <c r="AS24" s="875">
        <f t="shared" ref="AS24:AT24" si="24">SUM(AS21:AS23)</f>
        <v>0</v>
      </c>
      <c r="AT24" s="875">
        <f t="shared" si="24"/>
        <v>2312631997.3431683</v>
      </c>
      <c r="AU24" s="764"/>
      <c r="AV24" s="779">
        <f>SUM(AV21:AV23)</f>
        <v>0</v>
      </c>
      <c r="AW24" s="779">
        <f t="shared" ref="AW24:AZ24" si="25">SUM(AW21:AW23)</f>
        <v>0</v>
      </c>
      <c r="AX24" s="779">
        <f t="shared" si="25"/>
        <v>0</v>
      </c>
      <c r="AY24" s="779">
        <f t="shared" si="25"/>
        <v>0</v>
      </c>
      <c r="AZ24" s="779">
        <f t="shared" si="25"/>
        <v>0</v>
      </c>
      <c r="BA24" s="764"/>
      <c r="BB24" s="779">
        <f>+SUM(AV24:AZ24)</f>
        <v>0</v>
      </c>
      <c r="BC24" s="764"/>
      <c r="BD24" s="780">
        <f t="shared" si="4"/>
        <v>2312631997.3431683</v>
      </c>
    </row>
    <row r="25" spans="1:56">
      <c r="A25" s="91"/>
      <c r="C25" s="29"/>
      <c r="D25" s="29"/>
      <c r="E25" s="2"/>
      <c r="F25" s="653"/>
      <c r="G25" s="653"/>
      <c r="H25" s="653"/>
      <c r="I25" s="653"/>
      <c r="J25" s="653"/>
      <c r="K25" s="368"/>
      <c r="L25" s="877"/>
      <c r="M25" s="368"/>
      <c r="N25" s="653"/>
      <c r="O25" s="653"/>
      <c r="P25" s="653"/>
      <c r="Q25" s="653"/>
      <c r="R25" s="653"/>
      <c r="S25" s="368"/>
      <c r="T25" s="653"/>
      <c r="U25" s="653"/>
      <c r="V25" s="791"/>
      <c r="W25" s="653"/>
      <c r="X25" s="653"/>
      <c r="Y25" s="653"/>
      <c r="Z25" s="653"/>
      <c r="AA25" s="653"/>
      <c r="AB25" s="368"/>
      <c r="AC25" s="653"/>
      <c r="AD25" s="368"/>
      <c r="AE25" s="653"/>
      <c r="AF25" s="653"/>
      <c r="AG25" s="653"/>
      <c r="AH25" s="653"/>
      <c r="AI25" s="653"/>
      <c r="AJ25" s="368"/>
      <c r="AK25" s="653"/>
      <c r="AL25" s="653"/>
      <c r="AM25" s="368"/>
      <c r="AN25" s="653"/>
      <c r="AO25" s="653"/>
      <c r="AP25" s="653"/>
      <c r="AQ25" s="653"/>
      <c r="AR25" s="653"/>
      <c r="AS25" s="368"/>
      <c r="AT25" s="653"/>
      <c r="AU25" s="368"/>
      <c r="AV25" s="653"/>
      <c r="AW25" s="653"/>
      <c r="AX25" s="653"/>
      <c r="AY25" s="653"/>
      <c r="AZ25" s="653"/>
      <c r="BA25" s="368"/>
      <c r="BB25" s="653"/>
      <c r="BC25" s="368"/>
      <c r="BD25" s="653"/>
    </row>
    <row r="26" spans="1:56" ht="15.75" thickBot="1">
      <c r="A26" s="91">
        <f t="shared" si="0"/>
        <v>17</v>
      </c>
      <c r="C26" s="880" t="s">
        <v>297</v>
      </c>
      <c r="D26" s="880"/>
      <c r="F26" s="871"/>
      <c r="G26" s="871"/>
      <c r="H26" s="871"/>
      <c r="I26" s="871"/>
      <c r="J26" s="871"/>
      <c r="K26" s="380"/>
      <c r="L26" s="872"/>
      <c r="M26" s="380"/>
      <c r="N26" s="871"/>
      <c r="O26" s="871"/>
      <c r="P26" s="871"/>
      <c r="Q26" s="871"/>
      <c r="R26" s="871"/>
      <c r="S26" s="380"/>
      <c r="T26" s="871"/>
      <c r="U26" s="871"/>
      <c r="V26" s="368"/>
      <c r="W26" s="871"/>
      <c r="X26" s="871"/>
      <c r="Y26" s="871"/>
      <c r="Z26" s="871"/>
      <c r="AA26" s="871"/>
      <c r="AB26" s="380"/>
      <c r="AC26" s="871"/>
      <c r="AD26" s="380"/>
      <c r="AE26" s="871"/>
      <c r="AF26" s="871"/>
      <c r="AG26" s="871"/>
      <c r="AH26" s="871"/>
      <c r="AI26" s="871"/>
      <c r="AJ26" s="380"/>
      <c r="AK26" s="871">
        <f t="shared" ref="AK26" si="26">+SUM(AE26:AI26)</f>
        <v>0</v>
      </c>
      <c r="AL26" s="871"/>
      <c r="AM26" s="368"/>
      <c r="AN26" s="871"/>
      <c r="AO26" s="871"/>
      <c r="AP26" s="871"/>
      <c r="AQ26" s="871"/>
      <c r="AR26" s="871"/>
      <c r="AS26" s="380"/>
      <c r="AT26" s="871"/>
      <c r="AU26" s="380"/>
      <c r="AV26" s="871"/>
      <c r="AW26" s="871"/>
      <c r="AX26" s="871"/>
      <c r="AY26" s="871"/>
      <c r="AZ26" s="871"/>
      <c r="BA26" s="380"/>
      <c r="BB26" s="871"/>
      <c r="BC26" s="380"/>
      <c r="BD26" s="871"/>
    </row>
    <row r="27" spans="1:56">
      <c r="A27" s="91"/>
      <c r="C27" s="414"/>
      <c r="D27" s="414"/>
      <c r="E27" s="2"/>
      <c r="F27" s="653"/>
      <c r="G27" s="653"/>
      <c r="H27" s="653"/>
      <c r="I27" s="653"/>
      <c r="J27" s="653"/>
      <c r="K27" s="368"/>
      <c r="L27" s="877"/>
      <c r="M27" s="368"/>
      <c r="N27" s="653"/>
      <c r="O27" s="653"/>
      <c r="P27" s="653"/>
      <c r="Q27" s="653"/>
      <c r="R27" s="653"/>
      <c r="S27" s="368"/>
      <c r="T27" s="653"/>
      <c r="U27" s="653"/>
      <c r="V27" s="791"/>
      <c r="W27" s="653"/>
      <c r="X27" s="653"/>
      <c r="Y27" s="653"/>
      <c r="Z27" s="653"/>
      <c r="AA27" s="653"/>
      <c r="AB27" s="368"/>
      <c r="AC27" s="653"/>
      <c r="AD27" s="368"/>
      <c r="AE27" s="653"/>
      <c r="AF27" s="653"/>
      <c r="AG27" s="653"/>
      <c r="AH27" s="653"/>
      <c r="AI27" s="653"/>
      <c r="AJ27" s="368"/>
      <c r="AK27" s="653"/>
      <c r="AL27" s="653"/>
      <c r="AM27" s="368"/>
      <c r="AN27" s="653"/>
      <c r="AO27" s="653"/>
      <c r="AP27" s="653"/>
      <c r="AQ27" s="653"/>
      <c r="AR27" s="653"/>
      <c r="AS27" s="368"/>
      <c r="AT27" s="653"/>
      <c r="AU27" s="368"/>
      <c r="AV27" s="653"/>
      <c r="AW27" s="653"/>
      <c r="AX27" s="653"/>
      <c r="AY27" s="653"/>
      <c r="AZ27" s="653"/>
      <c r="BA27" s="368"/>
      <c r="BB27" s="653"/>
      <c r="BC27" s="368"/>
      <c r="BD27" s="653"/>
    </row>
    <row r="28" spans="1:56">
      <c r="A28" s="91">
        <f>IF(C28&lt;&gt;"",MAX(A24:A26)+1,"")</f>
        <v>18</v>
      </c>
      <c r="C28" s="361" t="s">
        <v>298</v>
      </c>
      <c r="D28" s="361"/>
      <c r="F28" s="368"/>
      <c r="G28" s="368"/>
      <c r="H28" s="368"/>
      <c r="I28" s="368"/>
      <c r="J28" s="368"/>
      <c r="K28" s="368"/>
      <c r="L28" s="861"/>
      <c r="M28" s="368"/>
      <c r="N28" s="368"/>
      <c r="O28" s="368"/>
      <c r="P28" s="368"/>
      <c r="Q28" s="368"/>
      <c r="R28" s="368"/>
      <c r="S28" s="368"/>
      <c r="T28" s="368"/>
      <c r="U28" s="368"/>
      <c r="V28" s="368"/>
      <c r="W28" s="368"/>
      <c r="X28" s="368"/>
      <c r="Y28" s="368"/>
      <c r="Z28" s="368"/>
      <c r="AA28" s="368"/>
      <c r="AB28" s="368"/>
      <c r="AC28" s="368"/>
      <c r="AD28" s="368"/>
      <c r="AE28" s="368"/>
      <c r="AF28" s="368"/>
      <c r="AG28" s="368"/>
      <c r="AH28" s="368"/>
      <c r="AI28" s="368"/>
      <c r="AJ28" s="368"/>
      <c r="AK28" s="368">
        <f t="shared" ref="AK28:AK33" si="27">+SUM(AE28:AI28)</f>
        <v>0</v>
      </c>
      <c r="AL28" s="368"/>
      <c r="AM28" s="368"/>
      <c r="AN28" s="368"/>
      <c r="AO28" s="368"/>
      <c r="AP28" s="368"/>
      <c r="AQ28" s="368"/>
      <c r="AR28" s="368"/>
      <c r="AS28" s="368"/>
      <c r="AT28" s="368"/>
      <c r="AU28" s="368"/>
      <c r="AV28" s="368"/>
      <c r="AW28" s="368"/>
      <c r="AX28" s="368"/>
      <c r="AY28" s="368"/>
      <c r="AZ28" s="368"/>
      <c r="BA28" s="368"/>
      <c r="BB28" s="368"/>
      <c r="BC28" s="368"/>
      <c r="BD28" s="368"/>
    </row>
    <row r="29" spans="1:56">
      <c r="A29" s="91">
        <f>IF(C29&lt;&gt;"",MAX(A25:A28)+1,"")</f>
        <v>19</v>
      </c>
      <c r="C29" s="80" t="s">
        <v>299</v>
      </c>
      <c r="D29" s="80"/>
      <c r="E29" s="2"/>
      <c r="F29" s="369"/>
      <c r="G29" s="377">
        <v>52766361.928000003</v>
      </c>
      <c r="H29" s="369">
        <v>4617900</v>
      </c>
      <c r="I29" s="369">
        <v>8286600</v>
      </c>
      <c r="J29" s="377">
        <v>225358610</v>
      </c>
      <c r="K29" s="368"/>
      <c r="L29" s="370">
        <f>SUM(G29:J29)</f>
        <v>291029471.92799997</v>
      </c>
      <c r="M29" s="368"/>
      <c r="N29" s="377">
        <v>0</v>
      </c>
      <c r="O29" s="377">
        <v>0</v>
      </c>
      <c r="P29" s="377">
        <f>(SUMIF('FY26-FY28_PREPA Consolidated'!I:I,C29,'FY26-FY28_PREPA Consolidated'!DL:DL)*1000)-H29</f>
        <v>535466.60416666698</v>
      </c>
      <c r="Q29" s="377">
        <f>((SUMIF('FY26-FY28_PREPA Consolidated'!I:I,C29,'FY26-FY28_PREPA Consolidated'!BT:BT)+SUMIF('FY26-FY28_PREPA Consolidated'!I:I,C29,'FY26-FY28_PREPA Consolidated'!CD:CD))*1000)-I29</f>
        <v>217877.6950000003</v>
      </c>
      <c r="R29" s="377">
        <v>0</v>
      </c>
      <c r="S29" s="368"/>
      <c r="T29" s="369">
        <f t="shared" si="1"/>
        <v>753344.29916666728</v>
      </c>
      <c r="U29" s="369">
        <f t="shared" si="2"/>
        <v>291782816.22716665</v>
      </c>
      <c r="V29" s="791"/>
      <c r="W29" s="369"/>
      <c r="X29" s="377">
        <v>54349352.785840005</v>
      </c>
      <c r="Y29" s="369">
        <f>H29*1.05</f>
        <v>4848795</v>
      </c>
      <c r="Z29" s="369">
        <f>I29*1.05</f>
        <v>8700930</v>
      </c>
      <c r="AA29" s="377">
        <v>237103577</v>
      </c>
      <c r="AB29" s="368"/>
      <c r="AC29" s="370">
        <f>SUM(X29:AA29)</f>
        <v>305002654.78584003</v>
      </c>
      <c r="AD29" s="368"/>
      <c r="AE29" s="377">
        <v>0</v>
      </c>
      <c r="AF29" s="377">
        <v>0</v>
      </c>
      <c r="AG29" s="377">
        <f>(SUMIF('FY26-FY28_PREPA Consolidated'!I:I,C29,'FY26-FY28_PREPA Consolidated'!DY:DY)*1000)-Y29</f>
        <v>388687.05522167217</v>
      </c>
      <c r="AH29" s="377">
        <f>((SUMIF('FY26-FY28_PREPA Consolidated'!I:I,C29,'FY26-FY28_PREPA Consolidated'!DU:DU)+SUMIF('FY26-FY28_PREPA Consolidated'!I:I,C29,'FY26-FY28_PREPA Consolidated'!DW:DW))*1000)-Z29</f>
        <v>-57638.587240470573</v>
      </c>
      <c r="AI29" s="377">
        <v>0</v>
      </c>
      <c r="AJ29" s="368"/>
      <c r="AK29" s="369">
        <f t="shared" si="27"/>
        <v>331048.4679812016</v>
      </c>
      <c r="AL29" s="369">
        <f>AC29+AK29</f>
        <v>305333703.25382125</v>
      </c>
      <c r="AM29" s="368"/>
      <c r="AN29" s="369"/>
      <c r="AO29" s="377">
        <v>55979833.369415201</v>
      </c>
      <c r="AP29" s="369">
        <f>Y29*1.05</f>
        <v>5091234.75</v>
      </c>
      <c r="AQ29" s="369">
        <f>Z29*1.05</f>
        <v>9135976.5</v>
      </c>
      <c r="AR29" s="377">
        <v>250146118</v>
      </c>
      <c r="AS29" s="368"/>
      <c r="AT29" s="370">
        <f>SUM(AO29:AR29)</f>
        <v>320353162.61941516</v>
      </c>
      <c r="AU29" s="368"/>
      <c r="AV29" s="377">
        <v>0</v>
      </c>
      <c r="AW29" s="377">
        <v>0</v>
      </c>
      <c r="AX29" s="1066">
        <f>(SUMIF('FY26-FY28_PREPA Consolidated'!I:I,C29,'FY26-FY28_PREPA Consolidated'!EI:EI)*1000)-AP29</f>
        <v>234808.28799572587</v>
      </c>
      <c r="AY29" s="1066">
        <f>((SUMIF('FY26-FY28_PREPA Consolidated'!I:I,C29,'FY26-FY28_PREPA Consolidated'!EE:EE)+SUMIF('FY26-FY28_PREPA Consolidated'!I:I,C29,'FY26-FY28_PREPA Consolidated'!EG:EG))*1000)-AQ29</f>
        <v>-346535.01477322914</v>
      </c>
      <c r="AZ29" s="377">
        <v>0</v>
      </c>
      <c r="BA29" s="368"/>
      <c r="BB29" s="369">
        <f>+SUM(AV29:AZ29)</f>
        <v>-111726.72677750327</v>
      </c>
      <c r="BC29" s="368"/>
      <c r="BD29" s="369">
        <f t="shared" si="4"/>
        <v>320241435.89263767</v>
      </c>
    </row>
    <row r="30" spans="1:56">
      <c r="A30" s="91">
        <f>IF(C30&lt;&gt;"",MAX(A26:A29)+1,"")</f>
        <v>20</v>
      </c>
      <c r="C30" s="80" t="s">
        <v>300</v>
      </c>
      <c r="D30" s="80"/>
      <c r="F30" s="369"/>
      <c r="G30" s="377">
        <v>19245664.535999998</v>
      </c>
      <c r="H30" s="369"/>
      <c r="I30" s="369"/>
      <c r="J30" s="377">
        <v>100003083</v>
      </c>
      <c r="K30" s="368"/>
      <c r="L30" s="370">
        <f>SUM(G30:J30)</f>
        <v>119248747.536</v>
      </c>
      <c r="M30" s="368"/>
      <c r="N30" s="377">
        <v>0</v>
      </c>
      <c r="O30" s="377">
        <v>0</v>
      </c>
      <c r="P30" s="377">
        <f>(SUMIF('FY26-FY28_PREPA Consolidated'!I:I,C30,'FY26-FY28_PREPA Consolidated'!DL:DL)*1000)-H30</f>
        <v>1288341.6510416667</v>
      </c>
      <c r="Q30" s="377">
        <f>((SUMIF('FY26-FY28_PREPA Consolidated'!I:I,C30,'FY26-FY28_PREPA Consolidated'!BT:BT)+SUMIF('FY26-FY28_PREPA Consolidated'!I:I,C30,'FY26-FY28_PREPA Consolidated'!CD:CD))*1000)-I30</f>
        <v>2126119.4237500001</v>
      </c>
      <c r="R30" s="377">
        <v>0</v>
      </c>
      <c r="S30" s="368"/>
      <c r="T30" s="369">
        <f t="shared" si="1"/>
        <v>3414461.0747916671</v>
      </c>
      <c r="U30" s="369">
        <f t="shared" si="2"/>
        <v>122663208.61079167</v>
      </c>
      <c r="V30" s="368"/>
      <c r="W30" s="369"/>
      <c r="X30" s="377">
        <v>19823034.47208</v>
      </c>
      <c r="Y30" s="369"/>
      <c r="Z30" s="369"/>
      <c r="AA30" s="377">
        <v>105214923</v>
      </c>
      <c r="AB30" s="368"/>
      <c r="AC30" s="370">
        <f>SUM(X30:AA30)</f>
        <v>125037957.47207999</v>
      </c>
      <c r="AD30" s="368"/>
      <c r="AE30" s="377">
        <v>0</v>
      </c>
      <c r="AF30" s="377">
        <v>0</v>
      </c>
      <c r="AG30" s="377">
        <f>(SUMIF('FY26-FY28_PREPA Consolidated'!I:I,C30,'FY26-FY28_PREPA Consolidated'!DY:DY)*1000)-Y30</f>
        <v>1309370.513805418</v>
      </c>
      <c r="AH30" s="377">
        <f>((SUMIF('FY26-FY28_PREPA Consolidated'!I:I,C30,'FY26-FY28_PREPA Consolidated'!DU:DU)+SUMIF('FY26-FY28_PREPA Consolidated'!I:I,C30,'FY26-FY28_PREPA Consolidated'!DW:DW))*1000)-Z30</f>
        <v>2160822.8531898824</v>
      </c>
      <c r="AI30" s="377">
        <v>0</v>
      </c>
      <c r="AJ30" s="368"/>
      <c r="AK30" s="369">
        <f t="shared" si="27"/>
        <v>3470193.3669953002</v>
      </c>
      <c r="AL30" s="369">
        <f>AC30+AK30</f>
        <v>128508150.8390753</v>
      </c>
      <c r="AM30" s="368"/>
      <c r="AN30" s="369"/>
      <c r="AO30" s="377">
        <v>20417725.506242398</v>
      </c>
      <c r="AP30" s="369"/>
      <c r="AQ30" s="369"/>
      <c r="AR30" s="377">
        <v>111002562</v>
      </c>
      <c r="AS30" s="368"/>
      <c r="AT30" s="370">
        <f>SUM(AO30:AR30)</f>
        <v>131420287.50624239</v>
      </c>
      <c r="AU30" s="368"/>
      <c r="AV30" s="377">
        <v>0</v>
      </c>
      <c r="AW30" s="377">
        <v>0</v>
      </c>
      <c r="AX30" s="1066">
        <f>(SUMIF('FY26-FY28_PREPA Consolidated'!I:I,C30,'FY26-FY28_PREPA Consolidated'!EI:EI)*1000)-AP30</f>
        <v>1331510.7594989315</v>
      </c>
      <c r="AY30" s="1066">
        <f>((SUMIF('FY26-FY28_PREPA Consolidated'!I:I,C30,'FY26-FY28_PREPA Consolidated'!EE:EE)+SUMIF('FY26-FY28_PREPA Consolidated'!I:I,C30,'FY26-FY28_PREPA Consolidated'!EG:EG))*1000)-AQ30</f>
        <v>2197360.3713066927</v>
      </c>
      <c r="AZ30" s="377">
        <v>0</v>
      </c>
      <c r="BA30" s="368"/>
      <c r="BB30" s="369">
        <f>+SUM(AV30:AZ30)</f>
        <v>3528871.1308056242</v>
      </c>
      <c r="BC30" s="368"/>
      <c r="BD30" s="369">
        <f t="shared" si="4"/>
        <v>134949158.63704801</v>
      </c>
    </row>
    <row r="31" spans="1:56">
      <c r="A31" s="91">
        <f t="shared" si="0"/>
        <v>21</v>
      </c>
      <c r="C31" s="80" t="s">
        <v>301</v>
      </c>
      <c r="D31" s="80"/>
      <c r="E31" s="2"/>
      <c r="F31" s="369"/>
      <c r="G31" s="377">
        <v>5654093.5360000003</v>
      </c>
      <c r="H31" s="369"/>
      <c r="I31" s="369"/>
      <c r="J31" s="377">
        <v>22102422</v>
      </c>
      <c r="K31" s="368"/>
      <c r="L31" s="370">
        <f>SUM(G31:J31)</f>
        <v>27756515.535999998</v>
      </c>
      <c r="M31" s="368"/>
      <c r="N31" s="377">
        <v>0</v>
      </c>
      <c r="O31" s="377">
        <v>0</v>
      </c>
      <c r="P31" s="377">
        <f>(SUMIF('FY26-FY28_PREPA Consolidated'!I:I,C31,'FY26-FY28_PREPA Consolidated'!DL:DL)*1000)-H31</f>
        <v>692044.97855113633</v>
      </c>
      <c r="Q31" s="377">
        <f>((SUMIF('FY26-FY28_PREPA Consolidated'!I:I,C31,'FY26-FY28_PREPA Consolidated'!BT:BT)+SUMIF('FY26-FY28_PREPA Consolidated'!I:I,C31,'FY26-FY28_PREPA Consolidated'!CD:CD))*1000)-I31</f>
        <v>189334.64800000002</v>
      </c>
      <c r="R31" s="377">
        <v>0</v>
      </c>
      <c r="S31" s="368"/>
      <c r="T31" s="369">
        <f t="shared" si="1"/>
        <v>881379.62655113637</v>
      </c>
      <c r="U31" s="369">
        <f t="shared" si="2"/>
        <v>28637895.162551135</v>
      </c>
      <c r="V31" s="791"/>
      <c r="W31" s="369"/>
      <c r="X31" s="377">
        <v>5823716.3420800008</v>
      </c>
      <c r="Y31" s="369"/>
      <c r="Z31" s="369"/>
      <c r="AA31" s="377">
        <v>23254329</v>
      </c>
      <c r="AB31" s="368"/>
      <c r="AC31" s="370">
        <f>SUM(X31:AA31)</f>
        <v>29078045.342080001</v>
      </c>
      <c r="AD31" s="368"/>
      <c r="AE31" s="377">
        <v>0</v>
      </c>
      <c r="AF31" s="377">
        <v>0</v>
      </c>
      <c r="AG31" s="377">
        <f>(SUMIF('FY26-FY28_PREPA Consolidated'!I:I,C31,'FY26-FY28_PREPA Consolidated'!DY:DY)*1000)-Y31</f>
        <v>703340.83230897214</v>
      </c>
      <c r="AH31" s="377">
        <f>((SUMIF('FY26-FY28_PREPA Consolidated'!I:I,C31,'FY26-FY28_PREPA Consolidated'!DU:DU)+SUMIF('FY26-FY28_PREPA Consolidated'!I:I,C31,'FY26-FY28_PREPA Consolidated'!DW:DW))*1000)-Z31</f>
        <v>192425.04900193616</v>
      </c>
      <c r="AI31" s="377">
        <v>0</v>
      </c>
      <c r="AJ31" s="368"/>
      <c r="AK31" s="369">
        <f t="shared" si="27"/>
        <v>895765.88131090836</v>
      </c>
      <c r="AL31" s="369">
        <f>AC31+AK31</f>
        <v>29973811.223390911</v>
      </c>
      <c r="AM31" s="368"/>
      <c r="AN31" s="369"/>
      <c r="AO31" s="377">
        <v>5998427.8323424011</v>
      </c>
      <c r="AP31" s="369"/>
      <c r="AQ31" s="369"/>
      <c r="AR31" s="377">
        <v>24533498</v>
      </c>
      <c r="AS31" s="368"/>
      <c r="AT31" s="370">
        <f>SUM(AO31:AR31)</f>
        <v>30531925.832342401</v>
      </c>
      <c r="AU31" s="368"/>
      <c r="AV31" s="377">
        <v>0</v>
      </c>
      <c r="AW31" s="377">
        <v>0</v>
      </c>
      <c r="AX31" s="1066">
        <f>(SUMIF('FY26-FY28_PREPA Consolidated'!I:I,C31,'FY26-FY28_PREPA Consolidated'!EI:EI)*1000)-AP31</f>
        <v>715233.67598416959</v>
      </c>
      <c r="AY31" s="1066">
        <f>((SUMIF('FY26-FY28_PREPA Consolidated'!I:I,C31,'FY26-FY28_PREPA Consolidated'!EE:EE)+SUMIF('FY26-FY28_PREPA Consolidated'!I:I,C31,'FY26-FY28_PREPA Consolidated'!EG:EG))*1000)-AQ31</f>
        <v>195678.77880382963</v>
      </c>
      <c r="AZ31" s="377">
        <v>0</v>
      </c>
      <c r="BA31" s="368"/>
      <c r="BB31" s="369">
        <f>+SUM(AV31:AZ31)</f>
        <v>910912.45478799916</v>
      </c>
      <c r="BC31" s="368"/>
      <c r="BD31" s="369">
        <f t="shared" si="4"/>
        <v>31442838.287130401</v>
      </c>
    </row>
    <row r="32" spans="1:56">
      <c r="A32" s="91">
        <f t="shared" si="0"/>
        <v>22</v>
      </c>
      <c r="C32" s="80" t="s">
        <v>302</v>
      </c>
      <c r="D32" s="80"/>
      <c r="F32" s="369"/>
      <c r="G32" s="369"/>
      <c r="H32" s="369"/>
      <c r="I32" s="369"/>
      <c r="J32" s="369"/>
      <c r="K32" s="368"/>
      <c r="L32" s="370">
        <f>SUM(F32:J32)</f>
        <v>0</v>
      </c>
      <c r="M32" s="368"/>
      <c r="N32" s="369">
        <v>0</v>
      </c>
      <c r="O32" s="369">
        <v>0</v>
      </c>
      <c r="P32" s="377">
        <f>(SUMIF('FY26-FY28_PREPA Consolidated'!I:I,C32,'FY26-FY28_PREPA Consolidated'!DL:DL)*1000)-H32</f>
        <v>83045.397426136362</v>
      </c>
      <c r="Q32" s="377">
        <f>((SUMIF('FY26-FY28_PREPA Consolidated'!I:I,C32,'FY26-FY28_PREPA Consolidated'!BT:BT)+SUMIF('FY26-FY28_PREPA Consolidated'!I:I,C32,'FY26-FY28_PREPA Consolidated'!CD:CD))*1000)-I32</f>
        <v>21573.869760000001</v>
      </c>
      <c r="R32" s="369">
        <v>0</v>
      </c>
      <c r="S32" s="368"/>
      <c r="T32" s="369">
        <f t="shared" si="1"/>
        <v>104619.26718613636</v>
      </c>
      <c r="U32" s="369">
        <f t="shared" si="2"/>
        <v>104619.26718613636</v>
      </c>
      <c r="V32" s="368"/>
      <c r="W32" s="369"/>
      <c r="X32" s="369"/>
      <c r="Y32" s="369"/>
      <c r="Z32" s="369"/>
      <c r="AA32" s="369"/>
      <c r="AB32" s="368"/>
      <c r="AC32" s="370">
        <f>SUM(W32:AA32)</f>
        <v>0</v>
      </c>
      <c r="AD32" s="368"/>
      <c r="AE32" s="369">
        <v>0</v>
      </c>
      <c r="AF32" s="369">
        <v>0</v>
      </c>
      <c r="AG32" s="377">
        <f>(SUMIF('FY26-FY28_PREPA Consolidated'!I:I,C32,'FY26-FY28_PREPA Consolidated'!DY:DY)*1000)-Y32</f>
        <v>84400.899877076648</v>
      </c>
      <c r="AH32" s="377">
        <f>((SUMIF('FY26-FY28_PREPA Consolidated'!I:I,C32,'FY26-FY28_PREPA Consolidated'!DU:DU)+SUMIF('FY26-FY28_PREPA Consolidated'!I:I,C32,'FY26-FY28_PREPA Consolidated'!DW:DW))*1000)-Z32</f>
        <v>21926.00767784135</v>
      </c>
      <c r="AI32" s="369">
        <v>0</v>
      </c>
      <c r="AJ32" s="368"/>
      <c r="AK32" s="369">
        <f t="shared" si="27"/>
        <v>106326.907554918</v>
      </c>
      <c r="AL32" s="369">
        <f>AC32+AK32</f>
        <v>106326.907554918</v>
      </c>
      <c r="AM32" s="368"/>
      <c r="AN32" s="369"/>
      <c r="AO32" s="369"/>
      <c r="AP32" s="369"/>
      <c r="AQ32" s="369"/>
      <c r="AR32" s="369"/>
      <c r="AS32" s="368"/>
      <c r="AT32" s="370">
        <f>SUM(AN32:AR32)</f>
        <v>0</v>
      </c>
      <c r="AU32" s="368"/>
      <c r="AV32" s="369">
        <v>0</v>
      </c>
      <c r="AW32" s="369">
        <v>0</v>
      </c>
      <c r="AX32" s="1066">
        <f>(SUMIF('FY26-FY28_PREPA Consolidated'!I:I,C32,'FY26-FY28_PREPA Consolidated'!EI:EI)*1000)-AP32</f>
        <v>85828.041118100358</v>
      </c>
      <c r="AY32" s="1066">
        <f>((SUMIF('FY26-FY28_PREPA Consolidated'!I:I,C32,'FY26-FY28_PREPA Consolidated'!EE:EE)+SUMIF('FY26-FY28_PREPA Consolidated'!I:I,C32,'FY26-FY28_PREPA Consolidated'!EG:EG))*1000)-AQ32</f>
        <v>22296.756210779073</v>
      </c>
      <c r="AZ32" s="369">
        <v>0</v>
      </c>
      <c r="BA32" s="368"/>
      <c r="BB32" s="369">
        <f>+SUM(AV32:AZ32)</f>
        <v>108124.79732887943</v>
      </c>
      <c r="BC32" s="368"/>
      <c r="BD32" s="369">
        <f t="shared" si="4"/>
        <v>108124.79732887943</v>
      </c>
    </row>
    <row r="33" spans="1:56">
      <c r="A33" s="91">
        <f t="shared" si="0"/>
        <v>23</v>
      </c>
      <c r="C33" s="792" t="s">
        <v>303</v>
      </c>
      <c r="D33" s="874"/>
      <c r="E33" s="2"/>
      <c r="F33" s="779"/>
      <c r="G33" s="779">
        <f>SUM(G29:G32)</f>
        <v>77666120</v>
      </c>
      <c r="H33" s="779">
        <f>SUM(H29:H32)</f>
        <v>4617900</v>
      </c>
      <c r="I33" s="779">
        <f>SUM(I29:I32)</f>
        <v>8286600</v>
      </c>
      <c r="J33" s="779">
        <f>SUM(J29:J32)</f>
        <v>347464115</v>
      </c>
      <c r="K33" s="764"/>
      <c r="L33" s="875">
        <f>SUM(L29:L32)</f>
        <v>438034735</v>
      </c>
      <c r="M33" s="764"/>
      <c r="N33" s="779">
        <f t="shared" ref="N33" si="28">SUM(N29:N32)</f>
        <v>0</v>
      </c>
      <c r="O33" s="779">
        <f>SUM(O29:O32)</f>
        <v>0</v>
      </c>
      <c r="P33" s="779">
        <f t="shared" ref="P33:R33" si="29">SUM(P29:P32)</f>
        <v>2598898.6311856066</v>
      </c>
      <c r="Q33" s="779">
        <f t="shared" si="29"/>
        <v>2554905.6365100006</v>
      </c>
      <c r="R33" s="779">
        <f t="shared" si="29"/>
        <v>0</v>
      </c>
      <c r="S33" s="764"/>
      <c r="T33" s="779">
        <f t="shared" si="1"/>
        <v>5153804.2676956076</v>
      </c>
      <c r="U33" s="779">
        <f t="shared" si="2"/>
        <v>443188539.26769561</v>
      </c>
      <c r="V33" s="791"/>
      <c r="W33" s="779"/>
      <c r="X33" s="779">
        <f>SUM(X29:X32)</f>
        <v>79996103.599999994</v>
      </c>
      <c r="Y33" s="779">
        <f>SUM(Y29:Y32)</f>
        <v>4848795</v>
      </c>
      <c r="Z33" s="779">
        <f>SUM(Z29:Z32)</f>
        <v>8700930</v>
      </c>
      <c r="AA33" s="779">
        <f>SUM(AA29:AA32)</f>
        <v>365572829</v>
      </c>
      <c r="AB33" s="764"/>
      <c r="AC33" s="875">
        <f t="shared" ref="AC33" si="30">SUM(AC29:AC32)</f>
        <v>459118657.60000002</v>
      </c>
      <c r="AD33" s="764"/>
      <c r="AE33" s="779">
        <f t="shared" ref="AE33" si="31">SUM(AE29:AE32)</f>
        <v>0</v>
      </c>
      <c r="AF33" s="779">
        <f>SUM(AF29:AF32)</f>
        <v>0</v>
      </c>
      <c r="AG33" s="779">
        <f t="shared" ref="AG33:AH33" si="32">SUM(AG29:AG32)</f>
        <v>2485799.3012131387</v>
      </c>
      <c r="AH33" s="779">
        <f t="shared" si="32"/>
        <v>2317535.3226291896</v>
      </c>
      <c r="AI33" s="779">
        <f t="shared" ref="AI33" si="33">SUM(AI29:AI32)</f>
        <v>0</v>
      </c>
      <c r="AJ33" s="764"/>
      <c r="AK33" s="779">
        <f t="shared" si="27"/>
        <v>4803334.6238423288</v>
      </c>
      <c r="AL33" s="779">
        <f>AC33+AK33</f>
        <v>463921992.22384238</v>
      </c>
      <c r="AM33" s="368"/>
      <c r="AN33" s="779"/>
      <c r="AO33" s="779">
        <f>SUM(AO29:AO32)</f>
        <v>82395986.708000004</v>
      </c>
      <c r="AP33" s="779">
        <f>SUM(AP29:AP32)</f>
        <v>5091234.75</v>
      </c>
      <c r="AQ33" s="779">
        <f>SUM(AQ29:AQ32)</f>
        <v>9135976.5</v>
      </c>
      <c r="AR33" s="779">
        <f>SUM(AR29:AR32)</f>
        <v>385682178</v>
      </c>
      <c r="AS33" s="764"/>
      <c r="AT33" s="875">
        <f t="shared" ref="AT33" si="34">SUM(AT29:AT32)</f>
        <v>482305375.95799994</v>
      </c>
      <c r="AU33" s="764"/>
      <c r="AV33" s="779">
        <f t="shared" ref="AV33" si="35">SUM(AV29:AV32)</f>
        <v>0</v>
      </c>
      <c r="AW33" s="779">
        <f>SUM(AW29:AW32)</f>
        <v>0</v>
      </c>
      <c r="AX33" s="779">
        <f t="shared" ref="AX33:AY33" si="36">SUM(AX29:AX32)</f>
        <v>2367380.764596927</v>
      </c>
      <c r="AY33" s="779">
        <f t="shared" si="36"/>
        <v>2068800.8915480722</v>
      </c>
      <c r="AZ33" s="779">
        <f t="shared" ref="AZ33" si="37">SUM(AZ29:AZ32)</f>
        <v>0</v>
      </c>
      <c r="BA33" s="764"/>
      <c r="BB33" s="779">
        <f>+SUM(AV33:AZ33)</f>
        <v>4436181.656144999</v>
      </c>
      <c r="BC33" s="764"/>
      <c r="BD33" s="780">
        <f t="shared" si="4"/>
        <v>486741557.61414492</v>
      </c>
    </row>
    <row r="34" spans="1:56">
      <c r="A34" s="91"/>
      <c r="C34" s="361" t="s">
        <v>279</v>
      </c>
      <c r="D34" s="361"/>
      <c r="F34" s="653"/>
      <c r="G34" s="653"/>
      <c r="H34" s="653"/>
      <c r="I34" s="653"/>
      <c r="J34" s="653"/>
      <c r="K34" s="368"/>
      <c r="L34" s="877" t="s">
        <v>279</v>
      </c>
      <c r="M34" s="368"/>
      <c r="N34" s="653"/>
      <c r="O34" s="653"/>
      <c r="P34" s="653"/>
      <c r="Q34" s="653"/>
      <c r="R34" s="653"/>
      <c r="S34" s="368"/>
      <c r="T34" s="653"/>
      <c r="U34" s="653"/>
      <c r="V34" s="368"/>
      <c r="W34" s="653"/>
      <c r="X34" s="653"/>
      <c r="Y34" s="653"/>
      <c r="Z34" s="653"/>
      <c r="AA34" s="653"/>
      <c r="AB34" s="368"/>
      <c r="AC34" s="653"/>
      <c r="AD34" s="368"/>
      <c r="AE34" s="653"/>
      <c r="AF34" s="653"/>
      <c r="AG34" s="653"/>
      <c r="AH34" s="653"/>
      <c r="AI34" s="653"/>
      <c r="AJ34" s="368"/>
      <c r="AK34" s="653"/>
      <c r="AL34" s="653"/>
      <c r="AM34" s="368"/>
      <c r="AN34" s="653"/>
      <c r="AO34" s="653"/>
      <c r="AP34" s="653"/>
      <c r="AQ34" s="653"/>
      <c r="AR34" s="653"/>
      <c r="AS34" s="368"/>
      <c r="AT34" s="653"/>
      <c r="AU34" s="368"/>
      <c r="AV34" s="653"/>
      <c r="AW34" s="653"/>
      <c r="AX34" s="653"/>
      <c r="AY34" s="653"/>
      <c r="AZ34" s="653"/>
      <c r="BA34" s="368"/>
      <c r="BB34" s="653"/>
      <c r="BC34" s="368"/>
      <c r="BD34" s="653"/>
    </row>
    <row r="35" spans="1:56">
      <c r="A35" s="91">
        <f>IF(C34&lt;&gt;"",MAX(A31:A33)+1,"")</f>
        <v>24</v>
      </c>
      <c r="C35" s="361" t="s">
        <v>304</v>
      </c>
      <c r="D35" s="361"/>
      <c r="E35" s="2"/>
      <c r="F35" s="368"/>
      <c r="G35" s="368"/>
      <c r="H35" s="368"/>
      <c r="I35" s="368"/>
      <c r="J35" s="368"/>
      <c r="K35" s="368"/>
      <c r="L35" s="861"/>
      <c r="M35" s="368"/>
      <c r="N35" s="368"/>
      <c r="O35" s="368"/>
      <c r="P35" s="368"/>
      <c r="Q35" s="368"/>
      <c r="R35" s="368"/>
      <c r="S35" s="368"/>
      <c r="T35" s="368"/>
      <c r="U35" s="368"/>
      <c r="V35" s="791"/>
      <c r="W35" s="368"/>
      <c r="X35" s="368"/>
      <c r="Y35" s="368"/>
      <c r="Z35" s="368"/>
      <c r="AA35" s="368"/>
      <c r="AB35" s="368"/>
      <c r="AC35" s="368"/>
      <c r="AD35" s="368"/>
      <c r="AE35" s="368"/>
      <c r="AF35" s="368"/>
      <c r="AG35" s="368"/>
      <c r="AH35" s="368"/>
      <c r="AI35" s="368"/>
      <c r="AJ35" s="368"/>
      <c r="AK35" s="368">
        <f t="shared" ref="AK35:AK73" si="38">+SUM(AE35:AI35)</f>
        <v>0</v>
      </c>
      <c r="AL35" s="368"/>
      <c r="AM35" s="368"/>
      <c r="AN35" s="368"/>
      <c r="AO35" s="368"/>
      <c r="AP35" s="368"/>
      <c r="AQ35" s="368"/>
      <c r="AR35" s="368"/>
      <c r="AS35" s="368"/>
      <c r="AT35" s="368"/>
      <c r="AU35" s="368"/>
      <c r="AV35" s="368"/>
      <c r="AW35" s="368"/>
      <c r="AX35" s="368"/>
      <c r="AY35" s="368"/>
      <c r="AZ35" s="368"/>
      <c r="BA35" s="368"/>
      <c r="BB35" s="368"/>
      <c r="BC35" s="368"/>
      <c r="BD35" s="368"/>
    </row>
    <row r="36" spans="1:56">
      <c r="A36" s="91">
        <f>IF(C35&lt;&gt;"",MAX(A32:A35)+1,"")</f>
        <v>25</v>
      </c>
      <c r="C36" s="80" t="s">
        <v>305</v>
      </c>
      <c r="D36" s="80"/>
      <c r="F36" s="369"/>
      <c r="G36" s="377">
        <v>30948377.897999998</v>
      </c>
      <c r="H36" s="369"/>
      <c r="I36" s="369"/>
      <c r="J36" s="377">
        <v>35410614</v>
      </c>
      <c r="K36" s="368"/>
      <c r="L36" s="370">
        <f t="shared" ref="L36:L55" si="39">SUM(F36:J36)</f>
        <v>66358991.898000002</v>
      </c>
      <c r="M36" s="368"/>
      <c r="N36" s="369">
        <v>0</v>
      </c>
      <c r="O36" s="369">
        <v>0</v>
      </c>
      <c r="P36" s="377">
        <f>(SUMIF('FY26-FY28_PREPA Consolidated'!I:I,C36,'FY26-FY28_PREPA Consolidated'!DL:DL)*1000)-H36</f>
        <v>1426603.8499999999</v>
      </c>
      <c r="Q36" s="377">
        <f>((SUMIF('FY26-FY28_PREPA Consolidated'!I:I,C36,'FY26-FY28_PREPA Consolidated'!BT:BT)+SUMIF('FY26-FY28_PREPA Consolidated'!I:I,C36,'FY26-FY28_PREPA Consolidated'!CD:CD))*1000)-I36</f>
        <v>398171.2300000001</v>
      </c>
      <c r="R36" s="369">
        <v>0</v>
      </c>
      <c r="S36" s="368"/>
      <c r="T36" s="369">
        <f t="shared" si="1"/>
        <v>1824775.08</v>
      </c>
      <c r="U36" s="369">
        <f t="shared" si="2"/>
        <v>68183766.978</v>
      </c>
      <c r="V36" s="368"/>
      <c r="W36" s="369"/>
      <c r="X36" s="377">
        <v>23122938.640000001</v>
      </c>
      <c r="Y36" s="369"/>
      <c r="Z36" s="369"/>
      <c r="AA36" s="377">
        <v>37373165</v>
      </c>
      <c r="AB36" s="368"/>
      <c r="AC36" s="370">
        <f t="shared" ref="AC36:AC55" si="40">SUM(W36:AA36)</f>
        <v>60496103.640000001</v>
      </c>
      <c r="AD36" s="368"/>
      <c r="AE36" s="369">
        <v>0</v>
      </c>
      <c r="AF36" s="369">
        <v>0</v>
      </c>
      <c r="AG36" s="377">
        <f>(SUMIF('FY26-FY28_PREPA Consolidated'!I:I,C36,'FY26-FY28_PREPA Consolidated'!DY:DY)*1000)-Y36</f>
        <v>1449889.487436028</v>
      </c>
      <c r="AH36" s="377">
        <f>((SUMIF('FY26-FY28_PREPA Consolidated'!I:I,C36,'FY26-FY28_PREPA Consolidated'!DU:DU)+SUMIF('FY26-FY28_PREPA Consolidated'!I:I,C36,'FY26-FY28_PREPA Consolidated'!DW:DW))*1000)-Z36</f>
        <v>404670.3509011789</v>
      </c>
      <c r="AI36" s="369">
        <v>0</v>
      </c>
      <c r="AJ36" s="368"/>
      <c r="AK36" s="369">
        <f t="shared" si="38"/>
        <v>1854559.8383372067</v>
      </c>
      <c r="AL36" s="369">
        <f t="shared" ref="AL36:AL56" si="41">AC36+AK36</f>
        <v>62350663.478337206</v>
      </c>
      <c r="AM36" s="368"/>
      <c r="AN36" s="369"/>
      <c r="AO36" s="377">
        <v>23341338.562249999</v>
      </c>
      <c r="AP36" s="369"/>
      <c r="AQ36" s="369"/>
      <c r="AR36" s="377">
        <v>39237621</v>
      </c>
      <c r="AS36" s="368"/>
      <c r="AT36" s="370">
        <f t="shared" ref="AT36:AT55" si="42">SUM(AN36:AR36)</f>
        <v>62578959.562250003</v>
      </c>
      <c r="AU36" s="368"/>
      <c r="AV36" s="369">
        <v>0</v>
      </c>
      <c r="AW36" s="369">
        <v>0</v>
      </c>
      <c r="AX36" s="1066">
        <f>(SUMIF('FY26-FY28_PREPA Consolidated'!I:I,C36,'FY26-FY28_PREPA Consolidated'!EI:EI)*1000)-AP36</f>
        <v>1474405.7791516411</v>
      </c>
      <c r="AY36" s="1066">
        <f>((SUMIF('FY26-FY28_PREPA Consolidated'!I:I,C36,'FY26-FY28_PREPA Consolidated'!EE:EE)+SUMIF('FY26-FY28_PREPA Consolidated'!I:I,C36,'FY26-FY28_PREPA Consolidated'!EG:EG))*1000)-AQ36</f>
        <v>411512.95267001924</v>
      </c>
      <c r="AZ36" s="369">
        <v>0</v>
      </c>
      <c r="BA36" s="368"/>
      <c r="BB36" s="369">
        <f t="shared" ref="BB36:BB58" si="43">+SUM(AV36:AZ36)</f>
        <v>1885918.7318216604</v>
      </c>
      <c r="BC36" s="368"/>
      <c r="BD36" s="369">
        <f t="shared" si="4"/>
        <v>64464878.294071667</v>
      </c>
    </row>
    <row r="37" spans="1:56">
      <c r="A37" s="91">
        <f>IF(C36&lt;&gt;"",MAX(A33:A36)+1,"")</f>
        <v>26</v>
      </c>
      <c r="C37" s="80" t="s">
        <v>306</v>
      </c>
      <c r="D37" s="80"/>
      <c r="E37" s="2"/>
      <c r="F37" s="369"/>
      <c r="G37" s="377">
        <v>2177902</v>
      </c>
      <c r="H37" s="369"/>
      <c r="I37" s="369"/>
      <c r="J37" s="377">
        <v>17379994</v>
      </c>
      <c r="K37" s="368"/>
      <c r="L37" s="370">
        <f t="shared" si="39"/>
        <v>19557896</v>
      </c>
      <c r="M37" s="368"/>
      <c r="N37" s="369">
        <v>0</v>
      </c>
      <c r="O37" s="369">
        <v>0</v>
      </c>
      <c r="P37" s="377">
        <f>(SUMIF('FY26-FY28_PREPA Consolidated'!I:I,C37,'FY26-FY28_PREPA Consolidated'!DL:DL)*1000)-H37</f>
        <v>480379.45</v>
      </c>
      <c r="Q37" s="377">
        <f>((SUMIF('FY26-FY28_PREPA Consolidated'!I:I,C37,'FY26-FY28_PREPA Consolidated'!BT:BT)+SUMIF('FY26-FY28_PREPA Consolidated'!I:I,C37,'FY26-FY28_PREPA Consolidated'!CD:CD))*1000)-I37</f>
        <v>650835.80000000005</v>
      </c>
      <c r="R37" s="369">
        <v>0</v>
      </c>
      <c r="S37" s="368"/>
      <c r="T37" s="369">
        <f t="shared" si="1"/>
        <v>1131215.25</v>
      </c>
      <c r="U37" s="369">
        <f t="shared" si="2"/>
        <v>20689111.25</v>
      </c>
      <c r="V37" s="791"/>
      <c r="W37" s="369"/>
      <c r="X37" s="377">
        <v>2208502</v>
      </c>
      <c r="Y37" s="369"/>
      <c r="Z37" s="369"/>
      <c r="AA37" s="377">
        <v>18245714</v>
      </c>
      <c r="AB37" s="368"/>
      <c r="AC37" s="370">
        <f t="shared" si="40"/>
        <v>20454216</v>
      </c>
      <c r="AD37" s="368"/>
      <c r="AE37" s="369">
        <v>0</v>
      </c>
      <c r="AF37" s="369">
        <v>0</v>
      </c>
      <c r="AG37" s="377">
        <f>(SUMIF('FY26-FY28_PREPA Consolidated'!I:I,C37,'FY26-FY28_PREPA Consolidated'!DY:DY)*1000)-Y37</f>
        <v>488220.40858455631</v>
      </c>
      <c r="AH37" s="377">
        <f>((SUMIF('FY26-FY28_PREPA Consolidated'!I:I,C37,'FY26-FY28_PREPA Consolidated'!DU:DU)+SUMIF('FY26-FY28_PREPA Consolidated'!I:I,C37,'FY26-FY28_PREPA Consolidated'!DW:DW))*1000)-Z37</f>
        <v>661459.01994237385</v>
      </c>
      <c r="AI37" s="369">
        <v>0</v>
      </c>
      <c r="AJ37" s="368"/>
      <c r="AK37" s="369">
        <f t="shared" si="38"/>
        <v>1149679.42852693</v>
      </c>
      <c r="AL37" s="369">
        <f t="shared" si="41"/>
        <v>21603895.428526931</v>
      </c>
      <c r="AM37" s="368"/>
      <c r="AN37" s="369"/>
      <c r="AO37" s="377">
        <v>2240854</v>
      </c>
      <c r="AP37" s="369"/>
      <c r="AQ37" s="369"/>
      <c r="AR37" s="377">
        <v>18346518</v>
      </c>
      <c r="AS37" s="368"/>
      <c r="AT37" s="370">
        <f t="shared" si="42"/>
        <v>20587372</v>
      </c>
      <c r="AU37" s="368"/>
      <c r="AV37" s="369">
        <v>0</v>
      </c>
      <c r="AW37" s="369">
        <v>0</v>
      </c>
      <c r="AX37" s="1066">
        <f>(SUMIF('FY26-FY28_PREPA Consolidated'!I:I,C37,'FY26-FY28_PREPA Consolidated'!EI:EI)*1000)-AP37</f>
        <v>496475.76463899692</v>
      </c>
      <c r="AY37" s="1066">
        <f>((SUMIF('FY26-FY28_PREPA Consolidated'!I:I,C37,'FY26-FY28_PREPA Consolidated'!EE:EE)+SUMIF('FY26-FY28_PREPA Consolidated'!I:I,C37,'FY26-FY28_PREPA Consolidated'!EG:EG))*1000)-AQ37</f>
        <v>672643.68086401967</v>
      </c>
      <c r="AZ37" s="369">
        <v>0</v>
      </c>
      <c r="BA37" s="368"/>
      <c r="BB37" s="369">
        <f t="shared" si="43"/>
        <v>1169119.4455030165</v>
      </c>
      <c r="BC37" s="368"/>
      <c r="BD37" s="369">
        <f t="shared" si="4"/>
        <v>21756491.445503015</v>
      </c>
    </row>
    <row r="38" spans="1:56">
      <c r="A38" s="91">
        <f t="shared" ref="A38:A53" si="44">IF(C37&lt;&gt;"",MAX(A35:A37)+1,"")</f>
        <v>27</v>
      </c>
      <c r="C38" s="80" t="s">
        <v>307</v>
      </c>
      <c r="D38" s="80"/>
      <c r="F38" s="369"/>
      <c r="G38" s="377">
        <v>49900000</v>
      </c>
      <c r="H38" s="369"/>
      <c r="I38" s="369"/>
      <c r="J38" s="377">
        <v>18093442</v>
      </c>
      <c r="K38" s="368"/>
      <c r="L38" s="370">
        <f t="shared" si="39"/>
        <v>67993442</v>
      </c>
      <c r="M38" s="368"/>
      <c r="N38" s="369">
        <v>0</v>
      </c>
      <c r="O38" s="369">
        <v>0</v>
      </c>
      <c r="P38" s="377">
        <f>(SUMIF('FY26-FY28_PREPA Consolidated'!I:I,C38,'FY26-FY28_PREPA Consolidated'!DL:DL)*1000)-H38</f>
        <v>0</v>
      </c>
      <c r="Q38" s="377">
        <f>((SUMIF('FY26-FY28_PREPA Consolidated'!I:I,C38,'FY26-FY28_PREPA Consolidated'!BT:BT)+SUMIF('FY26-FY28_PREPA Consolidated'!I:I,C38,'FY26-FY28_PREPA Consolidated'!CD:CD))*1000)-I38</f>
        <v>0</v>
      </c>
      <c r="R38" s="369">
        <v>0</v>
      </c>
      <c r="S38" s="368"/>
      <c r="T38" s="369">
        <f t="shared" si="1"/>
        <v>0</v>
      </c>
      <c r="U38" s="369">
        <f t="shared" si="2"/>
        <v>67993442</v>
      </c>
      <c r="V38" s="368"/>
      <c r="W38" s="369"/>
      <c r="X38" s="377">
        <v>55150000</v>
      </c>
      <c r="Y38" s="369"/>
      <c r="Z38" s="369"/>
      <c r="AA38" s="377">
        <v>18998114</v>
      </c>
      <c r="AB38" s="368"/>
      <c r="AC38" s="370">
        <f t="shared" si="40"/>
        <v>74148114</v>
      </c>
      <c r="AD38" s="368"/>
      <c r="AE38" s="369">
        <v>0</v>
      </c>
      <c r="AF38" s="369">
        <v>0</v>
      </c>
      <c r="AG38" s="377">
        <f>(SUMIF('FY26-FY28_PREPA Consolidated'!I:I,C38,'FY26-FY28_PREPA Consolidated'!DY:DY)*1000)-Y38</f>
        <v>0</v>
      </c>
      <c r="AH38" s="377">
        <f>((SUMIF('FY26-FY28_PREPA Consolidated'!I:I,C38,'FY26-FY28_PREPA Consolidated'!DU:DU)+SUMIF('FY26-FY28_PREPA Consolidated'!I:I,C38,'FY26-FY28_PREPA Consolidated'!DW:DW))*1000)-Z38</f>
        <v>0</v>
      </c>
      <c r="AI38" s="369">
        <v>0</v>
      </c>
      <c r="AJ38" s="368"/>
      <c r="AK38" s="369">
        <f t="shared" si="38"/>
        <v>0</v>
      </c>
      <c r="AL38" s="369">
        <f t="shared" si="41"/>
        <v>74148114</v>
      </c>
      <c r="AM38" s="368"/>
      <c r="AN38" s="369"/>
      <c r="AO38" s="377">
        <v>55400000</v>
      </c>
      <c r="AP38" s="369"/>
      <c r="AQ38" s="369"/>
      <c r="AR38" s="377">
        <v>19948020</v>
      </c>
      <c r="AS38" s="368"/>
      <c r="AT38" s="370">
        <f t="shared" si="42"/>
        <v>75348020</v>
      </c>
      <c r="AU38" s="368"/>
      <c r="AV38" s="369">
        <v>0</v>
      </c>
      <c r="AW38" s="369">
        <v>0</v>
      </c>
      <c r="AX38" s="1066">
        <f>(SUMIF('FY26-FY28_PREPA Consolidated'!I:I,C38,'FY26-FY28_PREPA Consolidated'!EI:EI)*1000)-AP38</f>
        <v>0</v>
      </c>
      <c r="AY38" s="1066">
        <f>((SUMIF('FY26-FY28_PREPA Consolidated'!I:I,C38,'FY26-FY28_PREPA Consolidated'!EE:EE)+SUMIF('FY26-FY28_PREPA Consolidated'!I:I,C38,'FY26-FY28_PREPA Consolidated'!EG:EG))*1000)-AQ38</f>
        <v>0</v>
      </c>
      <c r="AZ38" s="369">
        <v>0</v>
      </c>
      <c r="BA38" s="368"/>
      <c r="BB38" s="369">
        <f t="shared" si="43"/>
        <v>0</v>
      </c>
      <c r="BC38" s="368"/>
      <c r="BD38" s="369">
        <f t="shared" si="4"/>
        <v>75348020</v>
      </c>
    </row>
    <row r="39" spans="1:56">
      <c r="A39" s="91">
        <f t="shared" si="44"/>
        <v>28</v>
      </c>
      <c r="C39" s="80" t="s">
        <v>308</v>
      </c>
      <c r="D39" s="80"/>
      <c r="E39" s="2"/>
      <c r="F39" s="369"/>
      <c r="G39" s="377">
        <v>0</v>
      </c>
      <c r="H39" s="369"/>
      <c r="I39" s="369"/>
      <c r="J39" s="377">
        <v>0</v>
      </c>
      <c r="K39" s="368"/>
      <c r="L39" s="370">
        <f t="shared" si="39"/>
        <v>0</v>
      </c>
      <c r="M39" s="368"/>
      <c r="N39" s="369">
        <v>0</v>
      </c>
      <c r="O39" s="369">
        <v>0</v>
      </c>
      <c r="P39" s="377">
        <f>(SUMIF('FY26-FY28_PREPA Consolidated'!I:I,C39,'FY26-FY28_PREPA Consolidated'!DL:DL)*1000)-H39</f>
        <v>0</v>
      </c>
      <c r="Q39" s="377">
        <f>((SUMIF('FY26-FY28_PREPA Consolidated'!I:I,C39,'FY26-FY28_PREPA Consolidated'!BT:BT)+SUMIF('FY26-FY28_PREPA Consolidated'!I:I,C39,'FY26-FY28_PREPA Consolidated'!CD:CD))*1000)-I39</f>
        <v>7950000</v>
      </c>
      <c r="R39" s="369">
        <v>0</v>
      </c>
      <c r="S39" s="368"/>
      <c r="T39" s="369">
        <f t="shared" si="1"/>
        <v>7950000</v>
      </c>
      <c r="U39" s="369">
        <f t="shared" si="2"/>
        <v>7950000</v>
      </c>
      <c r="V39" s="791"/>
      <c r="W39" s="369"/>
      <c r="X39" s="377">
        <v>0</v>
      </c>
      <c r="Y39" s="369"/>
      <c r="Z39" s="369"/>
      <c r="AA39" s="377">
        <v>0</v>
      </c>
      <c r="AB39" s="368"/>
      <c r="AC39" s="370">
        <f t="shared" si="40"/>
        <v>0</v>
      </c>
      <c r="AD39" s="368"/>
      <c r="AE39" s="369">
        <v>0</v>
      </c>
      <c r="AF39" s="369">
        <v>0</v>
      </c>
      <c r="AG39" s="377">
        <f>(SUMIF('FY26-FY28_PREPA Consolidated'!I:I,C39,'FY26-FY28_PREPA Consolidated'!DY:DY)*1000)-Y39</f>
        <v>0</v>
      </c>
      <c r="AH39" s="377">
        <f>((SUMIF('FY26-FY28_PREPA Consolidated'!I:I,C39,'FY26-FY28_PREPA Consolidated'!DU:DU)+SUMIF('FY26-FY28_PREPA Consolidated'!I:I,C39,'FY26-FY28_PREPA Consolidated'!DW:DW))*1000)-Z39</f>
        <v>8347500</v>
      </c>
      <c r="AI39" s="369">
        <v>0</v>
      </c>
      <c r="AJ39" s="368"/>
      <c r="AK39" s="369">
        <f t="shared" si="38"/>
        <v>8347500</v>
      </c>
      <c r="AL39" s="369">
        <f t="shared" si="41"/>
        <v>8347500</v>
      </c>
      <c r="AM39" s="368"/>
      <c r="AN39" s="369"/>
      <c r="AO39" s="377">
        <v>0</v>
      </c>
      <c r="AP39" s="369"/>
      <c r="AQ39" s="369"/>
      <c r="AR39" s="377">
        <v>0</v>
      </c>
      <c r="AS39" s="368"/>
      <c r="AT39" s="370">
        <f t="shared" si="42"/>
        <v>0</v>
      </c>
      <c r="AU39" s="368"/>
      <c r="AV39" s="369">
        <v>0</v>
      </c>
      <c r="AW39" s="369">
        <v>0</v>
      </c>
      <c r="AX39" s="1066">
        <f>(SUMIF('FY26-FY28_PREPA Consolidated'!I:I,C39,'FY26-FY28_PREPA Consolidated'!EI:EI)*1000)-AP39</f>
        <v>0</v>
      </c>
      <c r="AY39" s="1066">
        <f>((SUMIF('FY26-FY28_PREPA Consolidated'!I:I,C39,'FY26-FY28_PREPA Consolidated'!EE:EE)+SUMIF('FY26-FY28_PREPA Consolidated'!I:I,C39,'FY26-FY28_PREPA Consolidated'!EG:EG))*1000)-AQ39</f>
        <v>8764875</v>
      </c>
      <c r="AZ39" s="369">
        <v>0</v>
      </c>
      <c r="BA39" s="368"/>
      <c r="BB39" s="369">
        <f t="shared" si="43"/>
        <v>8764875</v>
      </c>
      <c r="BC39" s="368"/>
      <c r="BD39" s="369">
        <f t="shared" si="4"/>
        <v>8764875</v>
      </c>
    </row>
    <row r="40" spans="1:56">
      <c r="A40" s="91">
        <f t="shared" si="44"/>
        <v>29</v>
      </c>
      <c r="C40" s="80" t="s">
        <v>309</v>
      </c>
      <c r="D40" s="80"/>
      <c r="F40" s="369"/>
      <c r="G40" s="377">
        <v>7126875</v>
      </c>
      <c r="H40" s="369"/>
      <c r="I40" s="369"/>
      <c r="J40" s="377">
        <v>7480496</v>
      </c>
      <c r="K40" s="368"/>
      <c r="L40" s="370">
        <f t="shared" si="39"/>
        <v>14607371</v>
      </c>
      <c r="M40" s="368"/>
      <c r="N40" s="369">
        <v>0</v>
      </c>
      <c r="O40" s="369">
        <v>0</v>
      </c>
      <c r="P40" s="377">
        <f>(SUMIF('FY26-FY28_PREPA Consolidated'!I:I,C40,'FY26-FY28_PREPA Consolidated'!DL:DL)*1000)-H40</f>
        <v>2104646</v>
      </c>
      <c r="Q40" s="377">
        <f>((SUMIF('FY26-FY28_PREPA Consolidated'!I:I,C40,'FY26-FY28_PREPA Consolidated'!BT:BT)+SUMIF('FY26-FY28_PREPA Consolidated'!I:I,C40,'FY26-FY28_PREPA Consolidated'!CD:CD))*1000)-I40</f>
        <v>1601743</v>
      </c>
      <c r="R40" s="369">
        <v>0</v>
      </c>
      <c r="S40" s="368"/>
      <c r="T40" s="369">
        <f t="shared" si="1"/>
        <v>3706389</v>
      </c>
      <c r="U40" s="369">
        <f t="shared" si="2"/>
        <v>18313760</v>
      </c>
      <c r="V40" s="368"/>
      <c r="W40" s="369"/>
      <c r="X40" s="377">
        <v>7483218.75</v>
      </c>
      <c r="Y40" s="369"/>
      <c r="Z40" s="369"/>
      <c r="AA40" s="377">
        <v>7854521</v>
      </c>
      <c r="AB40" s="368"/>
      <c r="AC40" s="370">
        <f t="shared" si="40"/>
        <v>15337739.75</v>
      </c>
      <c r="AD40" s="368"/>
      <c r="AE40" s="369">
        <v>0</v>
      </c>
      <c r="AF40" s="369">
        <v>0</v>
      </c>
      <c r="AG40" s="377">
        <f>(SUMIF('FY26-FY28_PREPA Consolidated'!I:I,C40,'FY26-FY28_PREPA Consolidated'!DY:DY)*1000)-Y40</f>
        <v>2033512.7600000002</v>
      </c>
      <c r="AH40" s="377">
        <f>((SUMIF('FY26-FY28_PREPA Consolidated'!I:I,C40,'FY26-FY28_PREPA Consolidated'!DU:DU)+SUMIF('FY26-FY28_PREPA Consolidated'!I:I,C40,'FY26-FY28_PREPA Consolidated'!DW:DW))*1000)-Z40</f>
        <v>1426134.34</v>
      </c>
      <c r="AI40" s="369">
        <v>0</v>
      </c>
      <c r="AJ40" s="368"/>
      <c r="AK40" s="369">
        <f t="shared" si="38"/>
        <v>3459647.1000000006</v>
      </c>
      <c r="AL40" s="369">
        <f t="shared" si="41"/>
        <v>18797386.850000001</v>
      </c>
      <c r="AM40" s="368"/>
      <c r="AN40" s="369"/>
      <c r="AO40" s="377">
        <v>7857379.4375</v>
      </c>
      <c r="AP40" s="369"/>
      <c r="AQ40" s="369"/>
      <c r="AR40" s="377">
        <v>8247247</v>
      </c>
      <c r="AS40" s="368"/>
      <c r="AT40" s="370">
        <f t="shared" si="42"/>
        <v>16104626.4375</v>
      </c>
      <c r="AU40" s="368"/>
      <c r="AV40" s="369">
        <v>0</v>
      </c>
      <c r="AW40" s="369">
        <v>0</v>
      </c>
      <c r="AX40" s="1066">
        <f>(SUMIF('FY26-FY28_PREPA Consolidated'!I:I,C40,'FY26-FY28_PREPA Consolidated'!EI:EI)*1000)-AP40</f>
        <v>2083645.1040000003</v>
      </c>
      <c r="AY40" s="1066">
        <f>((SUMIF('FY26-FY28_PREPA Consolidated'!I:I,C40,'FY26-FY28_PREPA Consolidated'!EE:EE)+SUMIF('FY26-FY28_PREPA Consolidated'!I:I,C40,'FY26-FY28_PREPA Consolidated'!EG:EG))*1000)-AQ40</f>
        <v>1461082.216</v>
      </c>
      <c r="AZ40" s="369">
        <v>0</v>
      </c>
      <c r="BA40" s="368"/>
      <c r="BB40" s="369">
        <f t="shared" si="43"/>
        <v>3544727.3200000003</v>
      </c>
      <c r="BC40" s="368"/>
      <c r="BD40" s="369">
        <f t="shared" si="4"/>
        <v>19649353.7575</v>
      </c>
    </row>
    <row r="41" spans="1:56">
      <c r="A41" s="91">
        <f t="shared" si="44"/>
        <v>30</v>
      </c>
      <c r="C41" s="80" t="s">
        <v>310</v>
      </c>
      <c r="D41" s="80"/>
      <c r="E41" s="2"/>
      <c r="F41" s="369"/>
      <c r="G41" s="377">
        <v>8529500</v>
      </c>
      <c r="H41" s="369"/>
      <c r="I41" s="369"/>
      <c r="J41" s="377">
        <v>48696416</v>
      </c>
      <c r="K41" s="368"/>
      <c r="L41" s="370">
        <f t="shared" si="39"/>
        <v>57225916</v>
      </c>
      <c r="M41" s="368"/>
      <c r="N41" s="369">
        <v>0</v>
      </c>
      <c r="O41" s="369">
        <v>0</v>
      </c>
      <c r="P41" s="377">
        <f>(SUMIF('FY26-FY28_PREPA Consolidated'!I:I,C41,'FY26-FY28_PREPA Consolidated'!DL:DL)*1000)-H41</f>
        <v>0</v>
      </c>
      <c r="Q41" s="377">
        <f>((SUMIF('FY26-FY28_PREPA Consolidated'!I:I,C41,'FY26-FY28_PREPA Consolidated'!BT:BT)+SUMIF('FY26-FY28_PREPA Consolidated'!I:I,C41,'FY26-FY28_PREPA Consolidated'!CD:CD))*1000)-I41</f>
        <v>2477500</v>
      </c>
      <c r="R41" s="369">
        <v>0</v>
      </c>
      <c r="S41" s="368"/>
      <c r="T41" s="369">
        <f t="shared" si="1"/>
        <v>2477500</v>
      </c>
      <c r="U41" s="369">
        <f t="shared" si="2"/>
        <v>59703416</v>
      </c>
      <c r="V41" s="791"/>
      <c r="W41" s="369"/>
      <c r="X41" s="377">
        <v>9020975</v>
      </c>
      <c r="Y41" s="369"/>
      <c r="Z41" s="369"/>
      <c r="AA41" s="377">
        <v>79764763</v>
      </c>
      <c r="AB41" s="368"/>
      <c r="AC41" s="370">
        <f t="shared" si="40"/>
        <v>88785738</v>
      </c>
      <c r="AD41" s="368"/>
      <c r="AE41" s="369">
        <v>0</v>
      </c>
      <c r="AF41" s="369">
        <v>0</v>
      </c>
      <c r="AG41" s="377">
        <f>(SUMIF('FY26-FY28_PREPA Consolidated'!I:I,C41,'FY26-FY28_PREPA Consolidated'!DY:DY)*1000)-Y41</f>
        <v>0</v>
      </c>
      <c r="AH41" s="377">
        <f>((SUMIF('FY26-FY28_PREPA Consolidated'!I:I,C41,'FY26-FY28_PREPA Consolidated'!DU:DU)+SUMIF('FY26-FY28_PREPA Consolidated'!I:I,C41,'FY26-FY28_PREPA Consolidated'!DW:DW))*1000)-Z41</f>
        <v>3388500</v>
      </c>
      <c r="AI41" s="1158">
        <f>'LUMA’s Updates to RR'!F37</f>
        <v>-163879</v>
      </c>
      <c r="AJ41" s="368"/>
      <c r="AK41" s="369">
        <f t="shared" si="38"/>
        <v>3224621</v>
      </c>
      <c r="AL41" s="369">
        <f t="shared" si="41"/>
        <v>92010359</v>
      </c>
      <c r="AM41" s="368"/>
      <c r="AN41" s="369"/>
      <c r="AO41" s="377">
        <v>9551588.75</v>
      </c>
      <c r="AP41" s="369"/>
      <c r="AQ41" s="369"/>
      <c r="AR41" s="377">
        <v>97670758</v>
      </c>
      <c r="AS41" s="368"/>
      <c r="AT41" s="370">
        <f t="shared" si="42"/>
        <v>107222346.75</v>
      </c>
      <c r="AU41" s="368"/>
      <c r="AV41" s="369">
        <v>0</v>
      </c>
      <c r="AW41" s="369">
        <v>0</v>
      </c>
      <c r="AX41" s="1066">
        <f>(SUMIF('FY26-FY28_PREPA Consolidated'!I:I,C41,'FY26-FY28_PREPA Consolidated'!EI:EI)*1000)-AP41</f>
        <v>0</v>
      </c>
      <c r="AY41" s="1066">
        <f>((SUMIF('FY26-FY28_PREPA Consolidated'!I:I,C41,'FY26-FY28_PREPA Consolidated'!EE:EE)+SUMIF('FY26-FY28_PREPA Consolidated'!I:I,C41,'FY26-FY28_PREPA Consolidated'!EG:EG))*1000)-AQ41</f>
        <v>2838500</v>
      </c>
      <c r="AZ41" s="1158">
        <f>'LUMA’s Updates to RR'!F38</f>
        <v>-172073</v>
      </c>
      <c r="BA41" s="368"/>
      <c r="BB41" s="369">
        <f>+SUM(AV41:AZ41)</f>
        <v>2666427</v>
      </c>
      <c r="BC41" s="368"/>
      <c r="BD41" s="369">
        <f t="shared" si="4"/>
        <v>109888773.75</v>
      </c>
    </row>
    <row r="42" spans="1:56">
      <c r="A42" s="91">
        <f t="shared" si="44"/>
        <v>31</v>
      </c>
      <c r="C42" s="80" t="s">
        <v>311</v>
      </c>
      <c r="D42" s="80"/>
      <c r="F42" s="369"/>
      <c r="G42" s="377">
        <v>0</v>
      </c>
      <c r="H42" s="369"/>
      <c r="I42" s="369"/>
      <c r="J42" s="377">
        <v>2050000</v>
      </c>
      <c r="K42" s="368"/>
      <c r="L42" s="370">
        <f t="shared" si="39"/>
        <v>2050000</v>
      </c>
      <c r="M42" s="368"/>
      <c r="N42" s="369">
        <v>0</v>
      </c>
      <c r="O42" s="369">
        <v>0</v>
      </c>
      <c r="P42" s="377">
        <f>(SUMIF('FY26-FY28_PREPA Consolidated'!I:I,C42,'FY26-FY28_PREPA Consolidated'!DL:DL)*1000)-H42</f>
        <v>0</v>
      </c>
      <c r="Q42" s="377">
        <f>((SUMIF('FY26-FY28_PREPA Consolidated'!I:I,C42,'FY26-FY28_PREPA Consolidated'!BT:BT)+SUMIF('FY26-FY28_PREPA Consolidated'!I:I,C42,'FY26-FY28_PREPA Consolidated'!CD:CD))*1000)-I42</f>
        <v>0</v>
      </c>
      <c r="R42" s="369">
        <v>0</v>
      </c>
      <c r="S42" s="368"/>
      <c r="T42" s="369">
        <f t="shared" si="1"/>
        <v>0</v>
      </c>
      <c r="U42" s="369">
        <f t="shared" si="2"/>
        <v>2050000</v>
      </c>
      <c r="V42" s="368"/>
      <c r="W42" s="369"/>
      <c r="X42" s="377">
        <v>0</v>
      </c>
      <c r="Y42" s="369"/>
      <c r="Z42" s="369"/>
      <c r="AA42" s="377">
        <v>2152500</v>
      </c>
      <c r="AB42" s="368"/>
      <c r="AC42" s="370">
        <f t="shared" si="40"/>
        <v>2152500</v>
      </c>
      <c r="AD42" s="368"/>
      <c r="AE42" s="369">
        <v>0</v>
      </c>
      <c r="AF42" s="369">
        <v>0</v>
      </c>
      <c r="AG42" s="377">
        <f>(SUMIF('FY26-FY28_PREPA Consolidated'!I:I,C42,'FY26-FY28_PREPA Consolidated'!DY:DY)*1000)-Y42</f>
        <v>0</v>
      </c>
      <c r="AH42" s="377">
        <f>((SUMIF('FY26-FY28_PREPA Consolidated'!I:I,C42,'FY26-FY28_PREPA Consolidated'!DU:DU)+SUMIF('FY26-FY28_PREPA Consolidated'!I:I,C42,'FY26-FY28_PREPA Consolidated'!DW:DW))*1000)-Z42</f>
        <v>0</v>
      </c>
      <c r="AI42" s="369">
        <v>0</v>
      </c>
      <c r="AJ42" s="368"/>
      <c r="AK42" s="369">
        <f t="shared" si="38"/>
        <v>0</v>
      </c>
      <c r="AL42" s="369">
        <f t="shared" si="41"/>
        <v>2152500</v>
      </c>
      <c r="AM42" s="368"/>
      <c r="AN42" s="369"/>
      <c r="AO42" s="377">
        <v>0</v>
      </c>
      <c r="AP42" s="369"/>
      <c r="AQ42" s="369"/>
      <c r="AR42" s="377">
        <v>2260125</v>
      </c>
      <c r="AS42" s="368"/>
      <c r="AT42" s="370">
        <f t="shared" si="42"/>
        <v>2260125</v>
      </c>
      <c r="AU42" s="368"/>
      <c r="AV42" s="369">
        <v>0</v>
      </c>
      <c r="AW42" s="369">
        <v>0</v>
      </c>
      <c r="AX42" s="1066">
        <f>(SUMIF('FY26-FY28_PREPA Consolidated'!I:I,C42,'FY26-FY28_PREPA Consolidated'!EI:EI)*1000)-AP42</f>
        <v>0</v>
      </c>
      <c r="AY42" s="1066">
        <f>((SUMIF('FY26-FY28_PREPA Consolidated'!I:I,C42,'FY26-FY28_PREPA Consolidated'!EE:EE)+SUMIF('FY26-FY28_PREPA Consolidated'!I:I,C42,'FY26-FY28_PREPA Consolidated'!EG:EG))*1000)-AQ42</f>
        <v>0</v>
      </c>
      <c r="AZ42" s="369">
        <v>0</v>
      </c>
      <c r="BA42" s="368"/>
      <c r="BB42" s="369">
        <f t="shared" si="43"/>
        <v>0</v>
      </c>
      <c r="BC42" s="368"/>
      <c r="BD42" s="369">
        <f t="shared" si="4"/>
        <v>2260125</v>
      </c>
    </row>
    <row r="43" spans="1:56">
      <c r="A43" s="91">
        <f t="shared" si="44"/>
        <v>32</v>
      </c>
      <c r="C43" s="80" t="s">
        <v>312</v>
      </c>
      <c r="D43" s="80"/>
      <c r="E43" s="2"/>
      <c r="F43" s="369"/>
      <c r="G43" s="377">
        <v>18872294</v>
      </c>
      <c r="H43" s="369"/>
      <c r="I43" s="369"/>
      <c r="J43" s="377">
        <v>19104050</v>
      </c>
      <c r="K43" s="368"/>
      <c r="L43" s="370">
        <f t="shared" si="39"/>
        <v>37976344</v>
      </c>
      <c r="M43" s="368"/>
      <c r="N43" s="369">
        <v>0</v>
      </c>
      <c r="O43" s="369">
        <v>0</v>
      </c>
      <c r="P43" s="377">
        <f>(SUMIF('FY26-FY28_PREPA Consolidated'!I:I,C43,'FY26-FY28_PREPA Consolidated'!DL:DL)*1000)-H43</f>
        <v>80000</v>
      </c>
      <c r="Q43" s="377">
        <f>((SUMIF('FY26-FY28_PREPA Consolidated'!I:I,C43,'FY26-FY28_PREPA Consolidated'!BT:BT)+SUMIF('FY26-FY28_PREPA Consolidated'!I:I,C43,'FY26-FY28_PREPA Consolidated'!CD:CD))*1000)-I43</f>
        <v>72000</v>
      </c>
      <c r="R43" s="369">
        <v>0</v>
      </c>
      <c r="S43" s="368"/>
      <c r="T43" s="369">
        <f t="shared" si="1"/>
        <v>152000</v>
      </c>
      <c r="U43" s="369">
        <f t="shared" si="2"/>
        <v>38128344</v>
      </c>
      <c r="V43" s="791"/>
      <c r="W43" s="369"/>
      <c r="X43" s="377">
        <v>18893168.879999999</v>
      </c>
      <c r="Y43" s="369"/>
      <c r="Z43" s="369"/>
      <c r="AA43" s="377">
        <v>20055652</v>
      </c>
      <c r="AB43" s="368"/>
      <c r="AC43" s="370">
        <f t="shared" si="40"/>
        <v>38948820.879999995</v>
      </c>
      <c r="AD43" s="368"/>
      <c r="AE43" s="369">
        <v>0</v>
      </c>
      <c r="AF43" s="369">
        <v>0</v>
      </c>
      <c r="AG43" s="377">
        <f>(SUMIF('FY26-FY28_PREPA Consolidated'!I:I,C43,'FY26-FY28_PREPA Consolidated'!DY:DY)*1000)-Y43</f>
        <v>84000</v>
      </c>
      <c r="AH43" s="377">
        <f>((SUMIF('FY26-FY28_PREPA Consolidated'!I:I,C43,'FY26-FY28_PREPA Consolidated'!DU:DU)+SUMIF('FY26-FY28_PREPA Consolidated'!I:I,C43,'FY26-FY28_PREPA Consolidated'!DW:DW))*1000)-Z43</f>
        <v>75600</v>
      </c>
      <c r="AI43" s="369">
        <v>0</v>
      </c>
      <c r="AJ43" s="368"/>
      <c r="AK43" s="369">
        <f t="shared" si="38"/>
        <v>159600</v>
      </c>
      <c r="AL43" s="369">
        <f t="shared" si="41"/>
        <v>39108420.879999995</v>
      </c>
      <c r="AM43" s="368"/>
      <c r="AN43" s="369"/>
      <c r="AO43" s="377">
        <v>18914519.440000001</v>
      </c>
      <c r="AP43" s="369"/>
      <c r="AQ43" s="369"/>
      <c r="AR43" s="377">
        <v>21054835</v>
      </c>
      <c r="AS43" s="368"/>
      <c r="AT43" s="370">
        <f t="shared" si="42"/>
        <v>39969354.439999998</v>
      </c>
      <c r="AU43" s="368"/>
      <c r="AV43" s="369">
        <v>0</v>
      </c>
      <c r="AW43" s="369">
        <v>0</v>
      </c>
      <c r="AX43" s="1066">
        <f>(SUMIF('FY26-FY28_PREPA Consolidated'!I:I,C43,'FY26-FY28_PREPA Consolidated'!EI:EI)*1000)-AP43</f>
        <v>88200</v>
      </c>
      <c r="AY43" s="1066">
        <f>((SUMIF('FY26-FY28_PREPA Consolidated'!I:I,C43,'FY26-FY28_PREPA Consolidated'!EE:EE)+SUMIF('FY26-FY28_PREPA Consolidated'!I:I,C43,'FY26-FY28_PREPA Consolidated'!EG:EG))*1000)-AQ43</f>
        <v>79380</v>
      </c>
      <c r="AZ43" s="369">
        <v>0</v>
      </c>
      <c r="BA43" s="368"/>
      <c r="BB43" s="369">
        <f t="shared" si="43"/>
        <v>167580</v>
      </c>
      <c r="BC43" s="368"/>
      <c r="BD43" s="369">
        <f t="shared" si="4"/>
        <v>40136934.439999998</v>
      </c>
    </row>
    <row r="44" spans="1:56">
      <c r="A44" s="91">
        <f t="shared" si="44"/>
        <v>33</v>
      </c>
      <c r="C44" s="80" t="s">
        <v>313</v>
      </c>
      <c r="D44" s="80"/>
      <c r="F44" s="369"/>
      <c r="G44" s="377">
        <v>2250000</v>
      </c>
      <c r="H44" s="369"/>
      <c r="I44" s="369"/>
      <c r="J44" s="377">
        <v>15551324</v>
      </c>
      <c r="K44" s="368"/>
      <c r="L44" s="370">
        <f t="shared" si="39"/>
        <v>17801324</v>
      </c>
      <c r="M44" s="368"/>
      <c r="N44" s="369">
        <v>0</v>
      </c>
      <c r="O44" s="369">
        <v>0</v>
      </c>
      <c r="P44" s="377">
        <f>(SUMIF('FY26-FY28_PREPA Consolidated'!I:I,C44,'FY26-FY28_PREPA Consolidated'!DL:DL)*1000)-H44</f>
        <v>0</v>
      </c>
      <c r="Q44" s="377">
        <f>((SUMIF('FY26-FY28_PREPA Consolidated'!I:I,C44,'FY26-FY28_PREPA Consolidated'!BT:BT)+SUMIF('FY26-FY28_PREPA Consolidated'!I:I,C44,'FY26-FY28_PREPA Consolidated'!CD:CD))*1000)-I44</f>
        <v>7267000</v>
      </c>
      <c r="R44" s="369">
        <v>0</v>
      </c>
      <c r="S44" s="368"/>
      <c r="T44" s="369">
        <f t="shared" si="1"/>
        <v>7267000</v>
      </c>
      <c r="U44" s="369">
        <f t="shared" si="2"/>
        <v>25068324</v>
      </c>
      <c r="V44" s="368"/>
      <c r="W44" s="369"/>
      <c r="X44" s="377">
        <v>2250000</v>
      </c>
      <c r="Y44" s="369"/>
      <c r="Z44" s="369"/>
      <c r="AA44" s="377">
        <v>16328890</v>
      </c>
      <c r="AB44" s="368"/>
      <c r="AC44" s="370">
        <f t="shared" si="40"/>
        <v>18578890</v>
      </c>
      <c r="AD44" s="368"/>
      <c r="AE44" s="369">
        <v>0</v>
      </c>
      <c r="AF44" s="369">
        <v>0</v>
      </c>
      <c r="AG44" s="377">
        <f>(SUMIF('FY26-FY28_PREPA Consolidated'!I:I,C44,'FY26-FY28_PREPA Consolidated'!DY:DY)*1000)-Y44</f>
        <v>0</v>
      </c>
      <c r="AH44" s="377">
        <f>((SUMIF('FY26-FY28_PREPA Consolidated'!I:I,C44,'FY26-FY28_PREPA Consolidated'!DU:DU)+SUMIF('FY26-FY28_PREPA Consolidated'!I:I,C44,'FY26-FY28_PREPA Consolidated'!DW:DW))*1000)-Z44</f>
        <v>7630456.8806639081</v>
      </c>
      <c r="AI44" s="369">
        <v>0</v>
      </c>
      <c r="AJ44" s="368"/>
      <c r="AK44" s="369">
        <f t="shared" si="38"/>
        <v>7630456.8806639081</v>
      </c>
      <c r="AL44" s="369">
        <f t="shared" si="41"/>
        <v>26209346.880663909</v>
      </c>
      <c r="AM44" s="368"/>
      <c r="AN44" s="369"/>
      <c r="AO44" s="377">
        <v>2250000</v>
      </c>
      <c r="AP44" s="369"/>
      <c r="AQ44" s="369"/>
      <c r="AR44" s="377">
        <v>17542835</v>
      </c>
      <c r="AS44" s="368"/>
      <c r="AT44" s="370">
        <f t="shared" si="42"/>
        <v>19792835</v>
      </c>
      <c r="AU44" s="368"/>
      <c r="AV44" s="369">
        <v>0</v>
      </c>
      <c r="AW44" s="369">
        <v>0</v>
      </c>
      <c r="AX44" s="1066">
        <f>(SUMIF('FY26-FY28_PREPA Consolidated'!I:I,C44,'FY26-FY28_PREPA Consolidated'!EI:EI)*1000)-AP44</f>
        <v>0</v>
      </c>
      <c r="AY44" s="1066">
        <f>((SUMIF('FY26-FY28_PREPA Consolidated'!I:I,C44,'FY26-FY28_PREPA Consolidated'!EE:EE)+SUMIF('FY26-FY28_PREPA Consolidated'!I:I,C44,'FY26-FY28_PREPA Consolidated'!EG:EG))*1000)-AQ44</f>
        <v>7234117.2427388998</v>
      </c>
      <c r="AZ44" s="369">
        <v>0</v>
      </c>
      <c r="BA44" s="368"/>
      <c r="BB44" s="369">
        <f t="shared" si="43"/>
        <v>7234117.2427388998</v>
      </c>
      <c r="BC44" s="368"/>
      <c r="BD44" s="369">
        <f t="shared" si="4"/>
        <v>27026952.242738899</v>
      </c>
    </row>
    <row r="45" spans="1:56">
      <c r="A45" s="91">
        <f t="shared" si="44"/>
        <v>34</v>
      </c>
      <c r="C45" s="80" t="s">
        <v>314</v>
      </c>
      <c r="D45" s="80"/>
      <c r="E45" s="2"/>
      <c r="F45" s="369"/>
      <c r="G45" s="377">
        <v>832000</v>
      </c>
      <c r="H45" s="369"/>
      <c r="I45" s="369"/>
      <c r="J45" s="377">
        <v>2049177</v>
      </c>
      <c r="K45" s="368"/>
      <c r="L45" s="370">
        <f t="shared" si="39"/>
        <v>2881177</v>
      </c>
      <c r="M45" s="368"/>
      <c r="N45" s="369">
        <v>0</v>
      </c>
      <c r="O45" s="369">
        <v>0</v>
      </c>
      <c r="P45" s="377">
        <f>(SUMIF('FY26-FY28_PREPA Consolidated'!I:I,C45,'FY26-FY28_PREPA Consolidated'!DL:DL)*1000)-H45</f>
        <v>0</v>
      </c>
      <c r="Q45" s="377">
        <f>((SUMIF('FY26-FY28_PREPA Consolidated'!I:I,C45,'FY26-FY28_PREPA Consolidated'!BT:BT)+SUMIF('FY26-FY28_PREPA Consolidated'!I:I,C45,'FY26-FY28_PREPA Consolidated'!CD:CD))*1000)-I45</f>
        <v>0</v>
      </c>
      <c r="R45" s="369">
        <v>0</v>
      </c>
      <c r="S45" s="368"/>
      <c r="T45" s="369">
        <f t="shared" si="1"/>
        <v>0</v>
      </c>
      <c r="U45" s="369">
        <f t="shared" si="2"/>
        <v>2881177</v>
      </c>
      <c r="V45" s="791"/>
      <c r="W45" s="369"/>
      <c r="X45" s="377">
        <v>832000</v>
      </c>
      <c r="Y45" s="369"/>
      <c r="Z45" s="369"/>
      <c r="AA45" s="377">
        <v>2151636</v>
      </c>
      <c r="AB45" s="368"/>
      <c r="AC45" s="370">
        <f t="shared" si="40"/>
        <v>2983636</v>
      </c>
      <c r="AD45" s="368"/>
      <c r="AE45" s="369">
        <v>0</v>
      </c>
      <c r="AF45" s="369">
        <v>0</v>
      </c>
      <c r="AG45" s="377">
        <f>(SUMIF('FY26-FY28_PREPA Consolidated'!I:I,C45,'FY26-FY28_PREPA Consolidated'!DY:DY)*1000)-Y45</f>
        <v>0</v>
      </c>
      <c r="AH45" s="377">
        <f>((SUMIF('FY26-FY28_PREPA Consolidated'!I:I,C45,'FY26-FY28_PREPA Consolidated'!DU:DU)+SUMIF('FY26-FY28_PREPA Consolidated'!I:I,C45,'FY26-FY28_PREPA Consolidated'!DW:DW))*1000)-Z45</f>
        <v>0</v>
      </c>
      <c r="AI45" s="369">
        <v>0</v>
      </c>
      <c r="AJ45" s="368"/>
      <c r="AK45" s="369">
        <f t="shared" si="38"/>
        <v>0</v>
      </c>
      <c r="AL45" s="369">
        <f t="shared" si="41"/>
        <v>2983636</v>
      </c>
      <c r="AM45" s="368"/>
      <c r="AN45" s="369"/>
      <c r="AO45" s="377">
        <v>832000</v>
      </c>
      <c r="AP45" s="369"/>
      <c r="AQ45" s="369"/>
      <c r="AR45" s="377">
        <v>2259218</v>
      </c>
      <c r="AS45" s="368"/>
      <c r="AT45" s="370">
        <f t="shared" si="42"/>
        <v>3091218</v>
      </c>
      <c r="AU45" s="368"/>
      <c r="AV45" s="369">
        <v>0</v>
      </c>
      <c r="AW45" s="369">
        <v>0</v>
      </c>
      <c r="AX45" s="1066">
        <f>(SUMIF('FY26-FY28_PREPA Consolidated'!I:I,C45,'FY26-FY28_PREPA Consolidated'!EI:EI)*1000)-AP45</f>
        <v>0</v>
      </c>
      <c r="AY45" s="1066">
        <f>((SUMIF('FY26-FY28_PREPA Consolidated'!I:I,C45,'FY26-FY28_PREPA Consolidated'!EE:EE)+SUMIF('FY26-FY28_PREPA Consolidated'!I:I,C45,'FY26-FY28_PREPA Consolidated'!EG:EG))*1000)-AQ45</f>
        <v>0</v>
      </c>
      <c r="AZ45" s="369">
        <v>0</v>
      </c>
      <c r="BA45" s="368"/>
      <c r="BB45" s="369">
        <f t="shared" si="43"/>
        <v>0</v>
      </c>
      <c r="BC45" s="368"/>
      <c r="BD45" s="369">
        <f t="shared" si="4"/>
        <v>3091218</v>
      </c>
    </row>
    <row r="46" spans="1:56">
      <c r="A46" s="91">
        <f t="shared" si="44"/>
        <v>35</v>
      </c>
      <c r="C46" s="80" t="s">
        <v>315</v>
      </c>
      <c r="D46" s="80"/>
      <c r="F46" s="369"/>
      <c r="G46" s="377">
        <v>13762832.344999999</v>
      </c>
      <c r="H46" s="369"/>
      <c r="I46" s="369"/>
      <c r="J46" s="377">
        <v>215556193</v>
      </c>
      <c r="K46" s="368"/>
      <c r="L46" s="370">
        <f t="shared" si="39"/>
        <v>229319025.345</v>
      </c>
      <c r="M46" s="368"/>
      <c r="N46" s="369">
        <v>0</v>
      </c>
      <c r="O46" s="1158">
        <v>1000000</v>
      </c>
      <c r="P46" s="377">
        <f>(SUMIF('FY26-FY28_PREPA Consolidated'!I:I,C46,'FY26-FY28_PREPA Consolidated'!DL:DL)*1000)-H46</f>
        <v>1246000</v>
      </c>
      <c r="Q46" s="377">
        <f>((SUMIF('FY26-FY28_PREPA Consolidated'!I:I,C46,'FY26-FY28_PREPA Consolidated'!BT:BT)+SUMIF('FY26-FY28_PREPA Consolidated'!I:I,C46,'FY26-FY28_PREPA Consolidated'!CD:CD))*1000)-I46</f>
        <v>9287041.5</v>
      </c>
      <c r="R46" s="1158">
        <f>-100000+'LUMA’s Updates to RR'!F42</f>
        <v>-930000</v>
      </c>
      <c r="S46" s="368"/>
      <c r="T46" s="369">
        <f>+SUM(N46:R46)</f>
        <v>10603041.5</v>
      </c>
      <c r="U46" s="369">
        <f t="shared" si="2"/>
        <v>239922066.845</v>
      </c>
      <c r="V46" s="368"/>
      <c r="W46" s="369"/>
      <c r="X46" s="377">
        <v>12203778.68275</v>
      </c>
      <c r="Y46" s="369"/>
      <c r="Z46" s="369"/>
      <c r="AA46" s="377">
        <v>252522110</v>
      </c>
      <c r="AB46" s="368"/>
      <c r="AC46" s="370">
        <f t="shared" si="40"/>
        <v>264725888.68274999</v>
      </c>
      <c r="AD46" s="368"/>
      <c r="AE46" s="369">
        <v>0</v>
      </c>
      <c r="AF46" s="369">
        <v>1000000</v>
      </c>
      <c r="AG46" s="377">
        <f>(SUMIF('FY26-FY28_PREPA Consolidated'!I:I,C46,'FY26-FY28_PREPA Consolidated'!DY:DY)*1000)-Y46</f>
        <v>1266337.744248546</v>
      </c>
      <c r="AH46" s="377">
        <f>((SUMIF('FY26-FY28_PREPA Consolidated'!I:I,C46,'FY26-FY28_PREPA Consolidated'!DU:DU)+SUMIF('FY26-FY28_PREPA Consolidated'!I:I,C46,'FY26-FY28_PREPA Consolidated'!DW:DW))*1000)-Z46</f>
        <v>10188628.558469206</v>
      </c>
      <c r="AI46" s="1158">
        <f>'LUMA’s Updates to RR'!F43</f>
        <v>-830000</v>
      </c>
      <c r="AJ46" s="368"/>
      <c r="AK46" s="369">
        <f t="shared" si="38"/>
        <v>11624966.302717753</v>
      </c>
      <c r="AL46" s="369">
        <f t="shared" si="41"/>
        <v>276350854.98546773</v>
      </c>
      <c r="AM46" s="368"/>
      <c r="AN46" s="369"/>
      <c r="AO46" s="377">
        <v>12382168.366887501</v>
      </c>
      <c r="AP46" s="369"/>
      <c r="AQ46" s="369"/>
      <c r="AR46" s="377">
        <v>272991349</v>
      </c>
      <c r="AS46" s="368"/>
      <c r="AT46" s="370">
        <f t="shared" si="42"/>
        <v>285373517.36688751</v>
      </c>
      <c r="AU46" s="368"/>
      <c r="AV46" s="369">
        <v>0</v>
      </c>
      <c r="AW46" s="369">
        <v>1000000</v>
      </c>
      <c r="AX46" s="1066">
        <f>(SUMIF('FY26-FY28_PREPA Consolidated'!I:I,C46,'FY26-FY28_PREPA Consolidated'!EI:EI)*1000)-AP46</f>
        <v>1287750.345565761</v>
      </c>
      <c r="AY46" s="1066">
        <f>((SUMIF('FY26-FY28_PREPA Consolidated'!I:I,C46,'FY26-FY28_PREPA Consolidated'!EE:EE)+SUMIF('FY26-FY28_PREPA Consolidated'!I:I,C46,'FY26-FY28_PREPA Consolidated'!EG:EG))*1000)-AQ46</f>
        <v>10860908.854371745</v>
      </c>
      <c r="AZ46" s="1158">
        <f>'LUMA’s Updates to RR'!F44</f>
        <v>-830000</v>
      </c>
      <c r="BA46" s="368"/>
      <c r="BB46" s="369">
        <f t="shared" si="43"/>
        <v>12318659.199937506</v>
      </c>
      <c r="BC46" s="368"/>
      <c r="BD46" s="369">
        <f t="shared" si="4"/>
        <v>297692176.56682503</v>
      </c>
    </row>
    <row r="47" spans="1:56">
      <c r="A47" s="91">
        <f t="shared" si="44"/>
        <v>36</v>
      </c>
      <c r="C47" s="80" t="s">
        <v>316</v>
      </c>
      <c r="D47" s="80"/>
      <c r="E47" s="2"/>
      <c r="F47" s="369"/>
      <c r="G47" s="377">
        <v>0</v>
      </c>
      <c r="H47" s="369"/>
      <c r="I47" s="369"/>
      <c r="J47" s="377">
        <v>70700000</v>
      </c>
      <c r="K47" s="368"/>
      <c r="L47" s="370">
        <f t="shared" si="39"/>
        <v>70700000</v>
      </c>
      <c r="M47" s="368"/>
      <c r="N47" s="369">
        <v>0</v>
      </c>
      <c r="O47" s="369">
        <v>0</v>
      </c>
      <c r="P47" s="377">
        <f>(SUMIF('FY26-FY28_PREPA Consolidated'!I:I,C47,'FY26-FY28_PREPA Consolidated'!DL:DL)*1000)-H47</f>
        <v>0</v>
      </c>
      <c r="Q47" s="377">
        <f>((SUMIF('FY26-FY28_PREPA Consolidated'!I:I,C47,'FY26-FY28_PREPA Consolidated'!BT:BT)+SUMIF('FY26-FY28_PREPA Consolidated'!I:I,C47,'FY26-FY28_PREPA Consolidated'!CD:CD))*1000)-I47</f>
        <v>0</v>
      </c>
      <c r="R47" s="369">
        <v>0</v>
      </c>
      <c r="S47" s="368"/>
      <c r="T47" s="369">
        <f t="shared" si="1"/>
        <v>0</v>
      </c>
      <c r="U47" s="369">
        <f t="shared" si="2"/>
        <v>70700000</v>
      </c>
      <c r="V47" s="791"/>
      <c r="W47" s="369"/>
      <c r="X47" s="377">
        <v>0</v>
      </c>
      <c r="Y47" s="369"/>
      <c r="Z47" s="369"/>
      <c r="AA47" s="377">
        <v>125000000</v>
      </c>
      <c r="AB47" s="368"/>
      <c r="AC47" s="370">
        <f t="shared" si="40"/>
        <v>125000000</v>
      </c>
      <c r="AD47" s="368"/>
      <c r="AE47" s="369">
        <v>0</v>
      </c>
      <c r="AF47" s="369">
        <v>0</v>
      </c>
      <c r="AG47" s="377">
        <f>(SUMIF('FY26-FY28_PREPA Consolidated'!I:I,C47,'FY26-FY28_PREPA Consolidated'!DY:DY)*1000)-Y47</f>
        <v>0</v>
      </c>
      <c r="AH47" s="377">
        <f>((SUMIF('FY26-FY28_PREPA Consolidated'!I:I,C47,'FY26-FY28_PREPA Consolidated'!DU:DU)+SUMIF('FY26-FY28_PREPA Consolidated'!I:I,C47,'FY26-FY28_PREPA Consolidated'!DW:DW))*1000)-Z47</f>
        <v>0</v>
      </c>
      <c r="AI47" s="369">
        <v>0</v>
      </c>
      <c r="AJ47" s="368"/>
      <c r="AK47" s="369">
        <f t="shared" si="38"/>
        <v>0</v>
      </c>
      <c r="AL47" s="369">
        <f t="shared" si="41"/>
        <v>125000000</v>
      </c>
      <c r="AM47" s="368"/>
      <c r="AN47" s="369"/>
      <c r="AO47" s="377">
        <v>0</v>
      </c>
      <c r="AP47" s="369"/>
      <c r="AQ47" s="369"/>
      <c r="AR47" s="377">
        <v>131250000</v>
      </c>
      <c r="AS47" s="368"/>
      <c r="AT47" s="370">
        <f t="shared" si="42"/>
        <v>131250000</v>
      </c>
      <c r="AU47" s="368"/>
      <c r="AV47" s="369">
        <v>0</v>
      </c>
      <c r="AW47" s="369">
        <v>0</v>
      </c>
      <c r="AX47" s="1066">
        <f>(SUMIF('FY26-FY28_PREPA Consolidated'!I:I,C47,'FY26-FY28_PREPA Consolidated'!EI:EI)*1000)-AP47</f>
        <v>0</v>
      </c>
      <c r="AY47" s="1066">
        <f>((SUMIF('FY26-FY28_PREPA Consolidated'!I:I,C47,'FY26-FY28_PREPA Consolidated'!EE:EE)+SUMIF('FY26-FY28_PREPA Consolidated'!I:I,C47,'FY26-FY28_PREPA Consolidated'!EG:EG))*1000)-AQ47</f>
        <v>0</v>
      </c>
      <c r="AZ47" s="369">
        <v>0</v>
      </c>
      <c r="BA47" s="368"/>
      <c r="BB47" s="369">
        <f t="shared" si="43"/>
        <v>0</v>
      </c>
      <c r="BC47" s="368"/>
      <c r="BD47" s="369">
        <f t="shared" si="4"/>
        <v>131250000</v>
      </c>
    </row>
    <row r="48" spans="1:56">
      <c r="A48" s="91">
        <f t="shared" si="44"/>
        <v>37</v>
      </c>
      <c r="C48" s="80" t="s">
        <v>317</v>
      </c>
      <c r="D48" s="80"/>
      <c r="F48" s="369"/>
      <c r="G48" s="377">
        <v>5172500</v>
      </c>
      <c r="H48" s="369"/>
      <c r="I48" s="369"/>
      <c r="J48" s="377">
        <v>0</v>
      </c>
      <c r="K48" s="368"/>
      <c r="L48" s="370">
        <f t="shared" si="39"/>
        <v>5172500</v>
      </c>
      <c r="M48" s="368"/>
      <c r="N48" s="369">
        <v>0</v>
      </c>
      <c r="O48" s="369">
        <v>0</v>
      </c>
      <c r="P48" s="377">
        <f>(SUMIF('FY26-FY28_PREPA Consolidated'!I:I,C48,'FY26-FY28_PREPA Consolidated'!DL:DL)*1000)-H48</f>
        <v>838000</v>
      </c>
      <c r="Q48" s="377">
        <f>((SUMIF('FY26-FY28_PREPA Consolidated'!I:I,C48,'FY26-FY28_PREPA Consolidated'!BT:BT)+SUMIF('FY26-FY28_PREPA Consolidated'!I:I,C48,'FY26-FY28_PREPA Consolidated'!CD:CD))*1000)-I48</f>
        <v>2314750</v>
      </c>
      <c r="R48" s="369">
        <v>0</v>
      </c>
      <c r="S48" s="368"/>
      <c r="T48" s="369">
        <f t="shared" si="1"/>
        <v>3152750</v>
      </c>
      <c r="U48" s="369">
        <f t="shared" si="2"/>
        <v>8325250</v>
      </c>
      <c r="V48" s="368"/>
      <c r="W48" s="369"/>
      <c r="X48" s="377">
        <v>5206625</v>
      </c>
      <c r="Y48" s="369"/>
      <c r="Z48" s="369"/>
      <c r="AA48" s="377">
        <v>0</v>
      </c>
      <c r="AB48" s="368"/>
      <c r="AC48" s="370">
        <f t="shared" si="40"/>
        <v>5206625</v>
      </c>
      <c r="AD48" s="368"/>
      <c r="AE48" s="369">
        <v>0</v>
      </c>
      <c r="AF48" s="369">
        <v>0</v>
      </c>
      <c r="AG48" s="377">
        <f>(SUMIF('FY26-FY28_PREPA Consolidated'!I:I,C48,'FY26-FY28_PREPA Consolidated'!DY:DY)*1000)-Y48</f>
        <v>830500</v>
      </c>
      <c r="AH48" s="377">
        <f>((SUMIF('FY26-FY28_PREPA Consolidated'!I:I,C48,'FY26-FY28_PREPA Consolidated'!DU:DU)+SUMIF('FY26-FY28_PREPA Consolidated'!I:I,C48,'FY26-FY28_PREPA Consolidated'!DW:DW))*1000)-Z48</f>
        <v>2134750</v>
      </c>
      <c r="AI48" s="369">
        <v>0</v>
      </c>
      <c r="AJ48" s="368"/>
      <c r="AK48" s="369">
        <f t="shared" si="38"/>
        <v>2965250</v>
      </c>
      <c r="AL48" s="369">
        <f t="shared" si="41"/>
        <v>8171875</v>
      </c>
      <c r="AM48" s="368"/>
      <c r="AN48" s="369"/>
      <c r="AO48" s="377">
        <v>5206625</v>
      </c>
      <c r="AP48" s="369"/>
      <c r="AQ48" s="369"/>
      <c r="AR48" s="377">
        <v>0</v>
      </c>
      <c r="AS48" s="368"/>
      <c r="AT48" s="370">
        <f t="shared" si="42"/>
        <v>5206625</v>
      </c>
      <c r="AU48" s="368"/>
      <c r="AV48" s="369">
        <v>0</v>
      </c>
      <c r="AW48" s="369">
        <v>0</v>
      </c>
      <c r="AX48" s="1066">
        <f>(SUMIF('FY26-FY28_PREPA Consolidated'!I:I,C48,'FY26-FY28_PREPA Consolidated'!EI:EI)*1000)-AP48</f>
        <v>830500</v>
      </c>
      <c r="AY48" s="1066">
        <f>((SUMIF('FY26-FY28_PREPA Consolidated'!I:I,C48,'FY26-FY28_PREPA Consolidated'!EE:EE)+SUMIF('FY26-FY28_PREPA Consolidated'!I:I,C48,'FY26-FY28_PREPA Consolidated'!EG:EG))*1000)-AQ48</f>
        <v>2134750</v>
      </c>
      <c r="AZ48" s="369">
        <v>0</v>
      </c>
      <c r="BA48" s="368"/>
      <c r="BB48" s="369">
        <f t="shared" si="43"/>
        <v>2965250</v>
      </c>
      <c r="BC48" s="368"/>
      <c r="BD48" s="369">
        <f t="shared" si="4"/>
        <v>8171875</v>
      </c>
    </row>
    <row r="49" spans="1:56">
      <c r="A49" s="91">
        <f t="shared" si="44"/>
        <v>38</v>
      </c>
      <c r="C49" s="80" t="s">
        <v>318</v>
      </c>
      <c r="D49" s="80"/>
      <c r="E49" s="2"/>
      <c r="F49" s="369"/>
      <c r="G49" s="377">
        <v>500000</v>
      </c>
      <c r="H49" s="369"/>
      <c r="I49" s="369"/>
      <c r="J49" s="377">
        <v>300000</v>
      </c>
      <c r="K49" s="368"/>
      <c r="L49" s="370">
        <f t="shared" si="39"/>
        <v>800000</v>
      </c>
      <c r="M49" s="368"/>
      <c r="N49" s="369">
        <v>0</v>
      </c>
      <c r="O49" s="369">
        <v>0</v>
      </c>
      <c r="P49" s="377">
        <f>(SUMIF('FY26-FY28_PREPA Consolidated'!I:I,C49,'FY26-FY28_PREPA Consolidated'!DL:DL)*1000)-H49</f>
        <v>0</v>
      </c>
      <c r="Q49" s="377">
        <f>((SUMIF('FY26-FY28_PREPA Consolidated'!I:I,C49,'FY26-FY28_PREPA Consolidated'!BT:BT)+SUMIF('FY26-FY28_PREPA Consolidated'!I:I,C49,'FY26-FY28_PREPA Consolidated'!CD:CD))*1000)-I49</f>
        <v>5486275</v>
      </c>
      <c r="R49" s="369">
        <v>0</v>
      </c>
      <c r="S49" s="368"/>
      <c r="T49" s="369">
        <f t="shared" si="1"/>
        <v>5486275</v>
      </c>
      <c r="U49" s="369">
        <f t="shared" si="2"/>
        <v>6286275</v>
      </c>
      <c r="V49" s="791"/>
      <c r="W49" s="369"/>
      <c r="X49" s="377">
        <v>510000</v>
      </c>
      <c r="Y49" s="369"/>
      <c r="Z49" s="369"/>
      <c r="AA49" s="377">
        <v>315000</v>
      </c>
      <c r="AB49" s="368"/>
      <c r="AC49" s="370">
        <f t="shared" si="40"/>
        <v>825000</v>
      </c>
      <c r="AD49" s="368"/>
      <c r="AE49" s="369">
        <v>0</v>
      </c>
      <c r="AF49" s="369">
        <v>0</v>
      </c>
      <c r="AG49" s="377">
        <f>(SUMIF('FY26-FY28_PREPA Consolidated'!I:I,C49,'FY26-FY28_PREPA Consolidated'!DY:DY)*1000)-Y49</f>
        <v>0</v>
      </c>
      <c r="AH49" s="377">
        <f>((SUMIF('FY26-FY28_PREPA Consolidated'!I:I,C49,'FY26-FY28_PREPA Consolidated'!DU:DU)+SUMIF('FY26-FY28_PREPA Consolidated'!I:I,C49,'FY26-FY28_PREPA Consolidated'!DW:DW))*1000)-Z49</f>
        <v>7886275</v>
      </c>
      <c r="AI49" s="369">
        <v>0</v>
      </c>
      <c r="AJ49" s="368"/>
      <c r="AK49" s="369">
        <f t="shared" si="38"/>
        <v>7886275</v>
      </c>
      <c r="AL49" s="369">
        <f t="shared" si="41"/>
        <v>8711275</v>
      </c>
      <c r="AM49" s="368"/>
      <c r="AN49" s="369"/>
      <c r="AO49" s="377">
        <v>520200</v>
      </c>
      <c r="AP49" s="369"/>
      <c r="AQ49" s="369"/>
      <c r="AR49" s="377">
        <v>330750</v>
      </c>
      <c r="AS49" s="368"/>
      <c r="AT49" s="370">
        <f t="shared" si="42"/>
        <v>850950</v>
      </c>
      <c r="AU49" s="368"/>
      <c r="AV49" s="369">
        <v>0</v>
      </c>
      <c r="AW49" s="369">
        <v>0</v>
      </c>
      <c r="AX49" s="1066">
        <f>(SUMIF('FY26-FY28_PREPA Consolidated'!I:I,C49,'FY26-FY28_PREPA Consolidated'!EI:EI)*1000)-AP49</f>
        <v>0</v>
      </c>
      <c r="AY49" s="1066">
        <f>((SUMIF('FY26-FY28_PREPA Consolidated'!I:I,C49,'FY26-FY28_PREPA Consolidated'!EE:EE)+SUMIF('FY26-FY28_PREPA Consolidated'!I:I,C49,'FY26-FY28_PREPA Consolidated'!EG:EG))*1000)-AQ49</f>
        <v>5486275</v>
      </c>
      <c r="AZ49" s="369">
        <v>0</v>
      </c>
      <c r="BA49" s="368"/>
      <c r="BB49" s="369">
        <f t="shared" si="43"/>
        <v>5486275</v>
      </c>
      <c r="BC49" s="368"/>
      <c r="BD49" s="369">
        <f t="shared" si="4"/>
        <v>6337225</v>
      </c>
    </row>
    <row r="50" spans="1:56">
      <c r="A50" s="91">
        <f t="shared" si="44"/>
        <v>39</v>
      </c>
      <c r="C50" s="80" t="s">
        <v>455</v>
      </c>
      <c r="D50" s="80"/>
      <c r="E50" s="2"/>
      <c r="F50" s="369"/>
      <c r="G50" s="377">
        <v>22692308.684999999</v>
      </c>
      <c r="H50" s="369"/>
      <c r="I50" s="369"/>
      <c r="J50" s="377">
        <v>0</v>
      </c>
      <c r="K50" s="368"/>
      <c r="L50" s="370">
        <f t="shared" si="39"/>
        <v>22692308.684999999</v>
      </c>
      <c r="M50" s="368"/>
      <c r="N50" s="369">
        <v>0</v>
      </c>
      <c r="O50" s="369">
        <v>0</v>
      </c>
      <c r="P50" s="377">
        <f>(SUMIF('FY26-FY28_PREPA Consolidated'!I:I,C50,'FY26-FY28_PREPA Consolidated'!DL:DL)*1000)-H50</f>
        <v>0</v>
      </c>
      <c r="Q50" s="377">
        <f>((SUMIF('FY26-FY28_PREPA Consolidated'!I:I,C50,'FY26-FY28_PREPA Consolidated'!BT:BT)+SUMIF('FY26-FY28_PREPA Consolidated'!I:I,C50,'FY26-FY28_PREPA Consolidated'!CD:CD))*1000)-I50</f>
        <v>0</v>
      </c>
      <c r="R50" s="369">
        <v>0</v>
      </c>
      <c r="S50" s="368"/>
      <c r="T50" s="369">
        <f t="shared" si="1"/>
        <v>0</v>
      </c>
      <c r="U50" s="369">
        <f t="shared" si="2"/>
        <v>22692308.684999999</v>
      </c>
      <c r="V50" s="791"/>
      <c r="W50" s="369"/>
      <c r="X50" s="377">
        <v>23588060.203499999</v>
      </c>
      <c r="Y50" s="369"/>
      <c r="Z50" s="369"/>
      <c r="AA50" s="377">
        <v>0</v>
      </c>
      <c r="AB50" s="368"/>
      <c r="AC50" s="370">
        <f t="shared" si="40"/>
        <v>23588060.203499999</v>
      </c>
      <c r="AD50" s="368"/>
      <c r="AE50" s="369">
        <v>0</v>
      </c>
      <c r="AF50" s="369">
        <v>0</v>
      </c>
      <c r="AG50" s="377">
        <f>(SUMIF('FY26-FY28_PREPA Consolidated'!I:I,C50,'FY26-FY28_PREPA Consolidated'!DY:DY)*1000)-Y50</f>
        <v>0</v>
      </c>
      <c r="AH50" s="377">
        <f>((SUMIF('FY26-FY28_PREPA Consolidated'!I:I,C50,'FY26-FY28_PREPA Consolidated'!DU:DU)+SUMIF('FY26-FY28_PREPA Consolidated'!I:I,C50,'FY26-FY28_PREPA Consolidated'!DW:DW))*1000)-Z50</f>
        <v>0</v>
      </c>
      <c r="AI50" s="369">
        <v>0</v>
      </c>
      <c r="AJ50" s="368"/>
      <c r="AK50" s="369">
        <f t="shared" si="38"/>
        <v>0</v>
      </c>
      <c r="AL50" s="369">
        <f t="shared" si="41"/>
        <v>23588060.203499999</v>
      </c>
      <c r="AM50" s="368"/>
      <c r="AN50" s="369"/>
      <c r="AO50" s="377">
        <v>24971445.468224999</v>
      </c>
      <c r="AP50" s="369"/>
      <c r="AQ50" s="369"/>
      <c r="AR50" s="377">
        <v>0</v>
      </c>
      <c r="AS50" s="368"/>
      <c r="AT50" s="370">
        <f t="shared" si="42"/>
        <v>24971445.468224999</v>
      </c>
      <c r="AU50" s="368"/>
      <c r="AV50" s="369">
        <v>0</v>
      </c>
      <c r="AW50" s="369">
        <v>0</v>
      </c>
      <c r="AX50" s="1066">
        <f>(SUMIF('FY26-FY28_PREPA Consolidated'!I:I,C50,'FY26-FY28_PREPA Consolidated'!EI:EI)*1000)-AP50</f>
        <v>0</v>
      </c>
      <c r="AY50" s="1066">
        <f>((SUMIF('FY26-FY28_PREPA Consolidated'!I:I,C50,'FY26-FY28_PREPA Consolidated'!EE:EE)+SUMIF('FY26-FY28_PREPA Consolidated'!I:I,C50,'FY26-FY28_PREPA Consolidated'!EG:EG))*1000)-AQ50</f>
        <v>0</v>
      </c>
      <c r="AZ50" s="369">
        <v>0</v>
      </c>
      <c r="BA50" s="368"/>
      <c r="BB50" s="369">
        <f t="shared" si="43"/>
        <v>0</v>
      </c>
      <c r="BC50" s="368"/>
      <c r="BD50" s="369">
        <f t="shared" si="4"/>
        <v>24971445.468224999</v>
      </c>
    </row>
    <row r="51" spans="1:56">
      <c r="A51" s="91">
        <f t="shared" si="44"/>
        <v>40</v>
      </c>
      <c r="C51" s="80" t="s">
        <v>319</v>
      </c>
      <c r="D51" s="80"/>
      <c r="F51" s="369"/>
      <c r="G51" s="377">
        <v>0</v>
      </c>
      <c r="H51" s="369"/>
      <c r="I51" s="369"/>
      <c r="J51" s="377">
        <v>0</v>
      </c>
      <c r="K51" s="368"/>
      <c r="L51" s="370">
        <f t="shared" si="39"/>
        <v>0</v>
      </c>
      <c r="M51" s="368"/>
      <c r="N51" s="369">
        <v>0</v>
      </c>
      <c r="O51" s="369">
        <v>0</v>
      </c>
      <c r="P51" s="377">
        <f>(SUMIF('FY26-FY28_PREPA Consolidated'!I:I,C51,'FY26-FY28_PREPA Consolidated'!DL:DL)*1000)-H51</f>
        <v>414989.64999999997</v>
      </c>
      <c r="Q51" s="377">
        <f>((SUMIF('FY26-FY28_PREPA Consolidated'!I:I,C51,'FY26-FY28_PREPA Consolidated'!BT:BT)+SUMIF('FY26-FY28_PREPA Consolidated'!I:I,C51,'FY26-FY28_PREPA Consolidated'!CD:CD))*1000)-I51</f>
        <v>1755729.3</v>
      </c>
      <c r="R51" s="369">
        <v>0</v>
      </c>
      <c r="S51" s="368"/>
      <c r="T51" s="369">
        <f t="shared" si="1"/>
        <v>2170718.9500000002</v>
      </c>
      <c r="U51" s="369">
        <f t="shared" si="2"/>
        <v>2170718.9500000002</v>
      </c>
      <c r="V51" s="368"/>
      <c r="W51" s="369"/>
      <c r="X51" s="377">
        <v>0</v>
      </c>
      <c r="Y51" s="369"/>
      <c r="Z51" s="369"/>
      <c r="AA51" s="377">
        <v>0</v>
      </c>
      <c r="AB51" s="368"/>
      <c r="AC51" s="370">
        <f t="shared" si="40"/>
        <v>0</v>
      </c>
      <c r="AD51" s="368"/>
      <c r="AE51" s="369">
        <v>0</v>
      </c>
      <c r="AF51" s="369">
        <v>0</v>
      </c>
      <c r="AG51" s="377">
        <f>(SUMIF('FY26-FY28_PREPA Consolidated'!I:I,C51,'FY26-FY28_PREPA Consolidated'!DY:DY)*1000)-Y51</f>
        <v>421763.28833667224</v>
      </c>
      <c r="AH51" s="377">
        <f>((SUMIF('FY26-FY28_PREPA Consolidated'!I:I,C51,'FY26-FY28_PREPA Consolidated'!DU:DU)+SUMIF('FY26-FY28_PREPA Consolidated'!I:I,C51,'FY26-FY28_PREPA Consolidated'!DW:DW))*1000)-Z51</f>
        <v>1784387.063622053</v>
      </c>
      <c r="AI51" s="369">
        <v>0</v>
      </c>
      <c r="AJ51" s="368"/>
      <c r="AK51" s="369">
        <f t="shared" si="38"/>
        <v>2206150.3519587251</v>
      </c>
      <c r="AL51" s="369">
        <f t="shared" si="41"/>
        <v>2206150.3519587251</v>
      </c>
      <c r="AM51" s="368"/>
      <c r="AN51" s="369"/>
      <c r="AO51" s="377">
        <v>0</v>
      </c>
      <c r="AP51" s="369"/>
      <c r="AQ51" s="369"/>
      <c r="AR51" s="377">
        <v>0</v>
      </c>
      <c r="AS51" s="368"/>
      <c r="AT51" s="370">
        <f t="shared" si="42"/>
        <v>0</v>
      </c>
      <c r="AU51" s="368"/>
      <c r="AV51" s="369">
        <v>0</v>
      </c>
      <c r="AW51" s="369">
        <v>0</v>
      </c>
      <c r="AX51" s="1066">
        <f>(SUMIF('FY26-FY28_PREPA Consolidated'!I:I,C51,'FY26-FY28_PREPA Consolidated'!EI:EI)*1000)-AP51</f>
        <v>428894.91588580597</v>
      </c>
      <c r="AY51" s="1066">
        <f>((SUMIF('FY26-FY28_PREPA Consolidated'!I:I,C51,'FY26-FY28_PREPA Consolidated'!EE:EE)+SUMIF('FY26-FY28_PREPA Consolidated'!I:I,C51,'FY26-FY28_PREPA Consolidated'!EG:EG))*1000)-AQ51</f>
        <v>1814559.4003169592</v>
      </c>
      <c r="AZ51" s="369">
        <v>0</v>
      </c>
      <c r="BA51" s="368"/>
      <c r="BB51" s="369">
        <f t="shared" si="43"/>
        <v>2243454.3162027653</v>
      </c>
      <c r="BC51" s="368"/>
      <c r="BD51" s="369">
        <f t="shared" si="4"/>
        <v>2243454.3162027653</v>
      </c>
    </row>
    <row r="52" spans="1:56">
      <c r="A52" s="91">
        <f t="shared" si="44"/>
        <v>41</v>
      </c>
      <c r="C52" s="80" t="s">
        <v>320</v>
      </c>
      <c r="D52" s="80"/>
      <c r="E52" s="2"/>
      <c r="F52" s="868">
        <v>18700000</v>
      </c>
      <c r="G52" s="377">
        <v>0</v>
      </c>
      <c r="H52" s="369"/>
      <c r="I52" s="868"/>
      <c r="J52" s="377">
        <v>0</v>
      </c>
      <c r="K52" s="368"/>
      <c r="L52" s="370">
        <f t="shared" si="39"/>
        <v>18700000</v>
      </c>
      <c r="M52" s="368"/>
      <c r="N52" s="369">
        <v>8750000</v>
      </c>
      <c r="O52" s="377">
        <v>0</v>
      </c>
      <c r="P52" s="377">
        <f>(SUMIF('FY26-FY28_PREPA Consolidated'!I:I,C52,'FY26-FY28_PREPA Consolidated'!DL:DL)*1000)-H52</f>
        <v>0</v>
      </c>
      <c r="Q52" s="377">
        <f>((SUMIF('FY26-FY28_PREPA Consolidated'!I:I,C52,'FY26-FY28_PREPA Consolidated'!BT:BT)+SUMIF('FY26-FY28_PREPA Consolidated'!I:I,C52,'FY26-FY28_PREPA Consolidated'!CD:CD))*1000)-I52</f>
        <v>0</v>
      </c>
      <c r="R52" s="377">
        <v>0</v>
      </c>
      <c r="S52" s="368"/>
      <c r="T52" s="369">
        <f t="shared" si="1"/>
        <v>8750000</v>
      </c>
      <c r="U52" s="369">
        <f t="shared" si="2"/>
        <v>27450000</v>
      </c>
      <c r="V52" s="791"/>
      <c r="W52" s="369">
        <v>11150000</v>
      </c>
      <c r="X52" s="377">
        <v>0</v>
      </c>
      <c r="Y52" s="369"/>
      <c r="Z52" s="369"/>
      <c r="AA52" s="377">
        <v>0</v>
      </c>
      <c r="AB52" s="368"/>
      <c r="AC52" s="370">
        <f t="shared" si="40"/>
        <v>11150000</v>
      </c>
      <c r="AD52" s="368"/>
      <c r="AE52" s="369">
        <v>6562500</v>
      </c>
      <c r="AF52" s="377">
        <v>0</v>
      </c>
      <c r="AG52" s="377">
        <f>(SUMIF('FY26-FY28_PREPA Consolidated'!I:I,C52,'FY26-FY28_PREPA Consolidated'!DY:DY)*1000)-Y52</f>
        <v>0</v>
      </c>
      <c r="AH52" s="377">
        <f>((SUMIF('FY26-FY28_PREPA Consolidated'!I:I,C52,'FY26-FY28_PREPA Consolidated'!DU:DU)+SUMIF('FY26-FY28_PREPA Consolidated'!I:I,C52,'FY26-FY28_PREPA Consolidated'!DW:DW))*1000)-Z52</f>
        <v>0</v>
      </c>
      <c r="AI52" s="377">
        <v>0</v>
      </c>
      <c r="AJ52" s="368"/>
      <c r="AK52" s="369">
        <f t="shared" si="38"/>
        <v>6562500</v>
      </c>
      <c r="AL52" s="369">
        <f t="shared" si="41"/>
        <v>17712500</v>
      </c>
      <c r="AM52" s="368"/>
      <c r="AN52" s="369">
        <v>7050000</v>
      </c>
      <c r="AO52" s="377">
        <v>0</v>
      </c>
      <c r="AP52" s="369"/>
      <c r="AQ52" s="369"/>
      <c r="AR52" s="377">
        <v>0</v>
      </c>
      <c r="AS52" s="368"/>
      <c r="AT52" s="370">
        <f t="shared" si="42"/>
        <v>7050000</v>
      </c>
      <c r="AU52" s="368"/>
      <c r="AV52" s="369">
        <v>4375000</v>
      </c>
      <c r="AW52" s="377">
        <v>0</v>
      </c>
      <c r="AX52" s="1066">
        <f>(SUMIF('FY26-FY28_PREPA Consolidated'!I:I,C52,'FY26-FY28_PREPA Consolidated'!EI:EI)*1000)-AP52</f>
        <v>0</v>
      </c>
      <c r="AY52" s="1066">
        <f>((SUMIF('FY26-FY28_PREPA Consolidated'!I:I,C52,'FY26-FY28_PREPA Consolidated'!EE:EE)+SUMIF('FY26-FY28_PREPA Consolidated'!I:I,C52,'FY26-FY28_PREPA Consolidated'!EG:EG))*1000)-AQ52</f>
        <v>0</v>
      </c>
      <c r="AZ52" s="377">
        <v>0</v>
      </c>
      <c r="BA52" s="368"/>
      <c r="BB52" s="369">
        <f t="shared" si="43"/>
        <v>4375000</v>
      </c>
      <c r="BC52" s="368"/>
      <c r="BD52" s="369">
        <f t="shared" si="4"/>
        <v>11425000</v>
      </c>
    </row>
    <row r="53" spans="1:56">
      <c r="A53" s="91">
        <f t="shared" si="44"/>
        <v>42</v>
      </c>
      <c r="C53" s="80" t="s">
        <v>321</v>
      </c>
      <c r="D53" s="80"/>
      <c r="F53" s="369">
        <v>32964202.225740001</v>
      </c>
      <c r="G53" s="377">
        <v>0</v>
      </c>
      <c r="H53" s="369"/>
      <c r="I53" s="369"/>
      <c r="J53" s="377">
        <v>0</v>
      </c>
      <c r="K53" s="368"/>
      <c r="L53" s="370">
        <f t="shared" si="39"/>
        <v>32964202.225740001</v>
      </c>
      <c r="M53" s="368"/>
      <c r="N53" s="369">
        <v>18324981.774259999</v>
      </c>
      <c r="O53" s="377">
        <v>0</v>
      </c>
      <c r="P53" s="377">
        <f>(SUMIF('FY26-FY28_PREPA Consolidated'!I:I,C53,'FY26-FY28_PREPA Consolidated'!DL:DL)*1000)-H53</f>
        <v>0</v>
      </c>
      <c r="Q53" s="377">
        <f>((SUMIF('FY26-FY28_PREPA Consolidated'!I:I,C53,'FY26-FY28_PREPA Consolidated'!BT:BT)+SUMIF('FY26-FY28_PREPA Consolidated'!I:I,C53,'FY26-FY28_PREPA Consolidated'!CD:CD))*1000)-I53</f>
        <v>0</v>
      </c>
      <c r="R53" s="377">
        <v>0</v>
      </c>
      <c r="S53" s="368"/>
      <c r="T53" s="369">
        <f t="shared" si="1"/>
        <v>18324981.774259999</v>
      </c>
      <c r="U53" s="369">
        <f t="shared" si="2"/>
        <v>51289184</v>
      </c>
      <c r="V53" s="368"/>
      <c r="W53" s="369">
        <v>19778521.335444</v>
      </c>
      <c r="X53" s="377">
        <v>0</v>
      </c>
      <c r="Y53" s="369"/>
      <c r="Z53" s="369"/>
      <c r="AA53" s="377">
        <v>0</v>
      </c>
      <c r="AB53" s="368"/>
      <c r="AC53" s="370">
        <f t="shared" si="40"/>
        <v>19778521.335444</v>
      </c>
      <c r="AD53" s="368"/>
      <c r="AE53" s="369">
        <v>5866071</v>
      </c>
      <c r="AF53" s="377">
        <v>0</v>
      </c>
      <c r="AG53" s="377">
        <f>(SUMIF('FY26-FY28_PREPA Consolidated'!I:I,C53,'FY26-FY28_PREPA Consolidated'!DY:DY)*1000)-Y53</f>
        <v>0</v>
      </c>
      <c r="AH53" s="377">
        <f>((SUMIF('FY26-FY28_PREPA Consolidated'!I:I,C53,'FY26-FY28_PREPA Consolidated'!DU:DU)+SUMIF('FY26-FY28_PREPA Consolidated'!I:I,C53,'FY26-FY28_PREPA Consolidated'!DW:DW))*1000)-Z53</f>
        <v>0</v>
      </c>
      <c r="AI53" s="377">
        <v>0</v>
      </c>
      <c r="AJ53" s="368"/>
      <c r="AK53" s="369">
        <f t="shared" si="38"/>
        <v>5866071</v>
      </c>
      <c r="AL53" s="369">
        <f t="shared" si="41"/>
        <v>25644592.335444</v>
      </c>
      <c r="AM53" s="368"/>
      <c r="AN53" s="369">
        <v>8241050.5564350002</v>
      </c>
      <c r="AO53" s="377">
        <v>0</v>
      </c>
      <c r="AP53" s="369"/>
      <c r="AQ53" s="369"/>
      <c r="AR53" s="377">
        <v>0</v>
      </c>
      <c r="AS53" s="368"/>
      <c r="AT53" s="370">
        <f t="shared" si="42"/>
        <v>8241050.5564350002</v>
      </c>
      <c r="AU53" s="368"/>
      <c r="AV53" s="369">
        <v>9197272</v>
      </c>
      <c r="AW53" s="377">
        <v>0</v>
      </c>
      <c r="AX53" s="1066">
        <f>(SUMIF('FY26-FY28_PREPA Consolidated'!I:I,C53,'FY26-FY28_PREPA Consolidated'!EI:EI)*1000)-AP53</f>
        <v>0</v>
      </c>
      <c r="AY53" s="1066">
        <f>((SUMIF('FY26-FY28_PREPA Consolidated'!I:I,C53,'FY26-FY28_PREPA Consolidated'!EE:EE)+SUMIF('FY26-FY28_PREPA Consolidated'!I:I,C53,'FY26-FY28_PREPA Consolidated'!EG:EG))*1000)-AQ53</f>
        <v>0</v>
      </c>
      <c r="AZ53" s="377">
        <v>0</v>
      </c>
      <c r="BA53" s="368"/>
      <c r="BB53" s="369">
        <f t="shared" si="43"/>
        <v>9197272</v>
      </c>
      <c r="BC53" s="368"/>
      <c r="BD53" s="369">
        <f t="shared" si="4"/>
        <v>17438322.556435</v>
      </c>
    </row>
    <row r="54" spans="1:56">
      <c r="A54" s="91">
        <f>IF(C53&lt;&gt;"",MAX(A50:A53)+1,"")</f>
        <v>43</v>
      </c>
      <c r="C54" s="80" t="s">
        <v>322</v>
      </c>
      <c r="D54" s="80"/>
      <c r="E54" s="2"/>
      <c r="F54" s="369"/>
      <c r="G54" s="377">
        <v>0</v>
      </c>
      <c r="H54" s="369"/>
      <c r="I54" s="369"/>
      <c r="J54" s="377">
        <v>0</v>
      </c>
      <c r="K54" s="368"/>
      <c r="L54" s="370">
        <f t="shared" si="39"/>
        <v>0</v>
      </c>
      <c r="M54" s="368"/>
      <c r="N54" s="369">
        <v>0</v>
      </c>
      <c r="O54" s="377">
        <v>0</v>
      </c>
      <c r="P54" s="377">
        <f>(SUMIF('FY26-FY28_PREPA Consolidated'!I:I,C54,'FY26-FY28_PREPA Consolidated'!DL:DL)*1000)-H54</f>
        <v>0</v>
      </c>
      <c r="Q54" s="377">
        <f>((SUMIF('FY26-FY28_PREPA Consolidated'!I:I,C54,'FY26-FY28_PREPA Consolidated'!BT:BT)+SUMIF('FY26-FY28_PREPA Consolidated'!I:I,C54,'FY26-FY28_PREPA Consolidated'!CD:CD))*1000)-I54</f>
        <v>0</v>
      </c>
      <c r="R54" s="377">
        <v>0</v>
      </c>
      <c r="S54" s="368"/>
      <c r="T54" s="369">
        <f t="shared" si="1"/>
        <v>0</v>
      </c>
      <c r="U54" s="369">
        <f t="shared" si="2"/>
        <v>0</v>
      </c>
      <c r="V54" s="791"/>
      <c r="W54" s="369"/>
      <c r="X54" s="377">
        <v>0</v>
      </c>
      <c r="Y54" s="369"/>
      <c r="Z54" s="369"/>
      <c r="AA54" s="377">
        <v>0</v>
      </c>
      <c r="AB54" s="368"/>
      <c r="AC54" s="370">
        <f t="shared" si="40"/>
        <v>0</v>
      </c>
      <c r="AD54" s="368"/>
      <c r="AE54" s="369">
        <v>0</v>
      </c>
      <c r="AF54" s="377">
        <v>0</v>
      </c>
      <c r="AG54" s="377">
        <f>(SUMIF('FY26-FY28_PREPA Consolidated'!I:I,C54,'FY26-FY28_PREPA Consolidated'!DY:DY)*1000)-Y54</f>
        <v>0</v>
      </c>
      <c r="AH54" s="377">
        <f>((SUMIF('FY26-FY28_PREPA Consolidated'!I:I,C54,'FY26-FY28_PREPA Consolidated'!DU:DU)+SUMIF('FY26-FY28_PREPA Consolidated'!I:I,C54,'FY26-FY28_PREPA Consolidated'!DW:DW))*1000)-Z54</f>
        <v>0</v>
      </c>
      <c r="AI54" s="377">
        <v>0</v>
      </c>
      <c r="AJ54" s="368"/>
      <c r="AK54" s="369">
        <f t="shared" si="38"/>
        <v>0</v>
      </c>
      <c r="AL54" s="369">
        <f t="shared" si="41"/>
        <v>0</v>
      </c>
      <c r="AM54" s="368"/>
      <c r="AN54" s="369"/>
      <c r="AO54" s="377">
        <v>0</v>
      </c>
      <c r="AP54" s="369"/>
      <c r="AQ54" s="369"/>
      <c r="AR54" s="377">
        <v>0</v>
      </c>
      <c r="AS54" s="368"/>
      <c r="AT54" s="370">
        <f t="shared" si="42"/>
        <v>0</v>
      </c>
      <c r="AU54" s="368"/>
      <c r="AV54" s="369">
        <v>0</v>
      </c>
      <c r="AW54" s="377">
        <v>0</v>
      </c>
      <c r="AX54" s="1066">
        <f>(SUMIF('FY26-FY28_PREPA Consolidated'!I:I,C54,'FY26-FY28_PREPA Consolidated'!EI:EI)*1000)-AP54</f>
        <v>0</v>
      </c>
      <c r="AY54" s="1066">
        <f>((SUMIF('FY26-FY28_PREPA Consolidated'!I:I,C54,'FY26-FY28_PREPA Consolidated'!EE:EE)+SUMIF('FY26-FY28_PREPA Consolidated'!I:I,C54,'FY26-FY28_PREPA Consolidated'!EG:EG))*1000)-AQ54</f>
        <v>0</v>
      </c>
      <c r="AZ54" s="377">
        <v>0</v>
      </c>
      <c r="BA54" s="368"/>
      <c r="BB54" s="369">
        <f t="shared" si="43"/>
        <v>0</v>
      </c>
      <c r="BC54" s="368"/>
      <c r="BD54" s="369">
        <f t="shared" si="4"/>
        <v>0</v>
      </c>
    </row>
    <row r="55" spans="1:56">
      <c r="A55" s="91">
        <f>IF(C54&lt;&gt;"",MAX(A52:A54)+1,"")</f>
        <v>44</v>
      </c>
      <c r="C55" s="80" t="s">
        <v>456</v>
      </c>
      <c r="D55" s="80"/>
      <c r="F55" s="369"/>
      <c r="G55" s="377">
        <v>5794748.2000000002</v>
      </c>
      <c r="H55" s="369">
        <v>5743500</v>
      </c>
      <c r="I55" s="369">
        <v>22971900</v>
      </c>
      <c r="J55" s="377">
        <v>8304915</v>
      </c>
      <c r="K55" s="368"/>
      <c r="L55" s="370">
        <f t="shared" si="39"/>
        <v>42815063.200000003</v>
      </c>
      <c r="M55" s="368"/>
      <c r="N55" s="369">
        <v>0</v>
      </c>
      <c r="O55" s="369">
        <v>0</v>
      </c>
      <c r="P55" s="377">
        <f>(SUMIF('FY26-FY28_PREPA Consolidated'!I:I,C55,'FY26-FY28_PREPA Consolidated'!DL:DL)*1000)-H55</f>
        <v>-5743500</v>
      </c>
      <c r="Q55" s="377">
        <f>((SUMIF('FY26-FY28_PREPA Consolidated'!I:I,C55,'FY26-FY28_PREPA Consolidated'!BT:BT)+SUMIF('FY26-FY28_PREPA Consolidated'!I:I,C55,'FY26-FY28_PREPA Consolidated'!CD:CD))*1000)-I55</f>
        <v>-22971900</v>
      </c>
      <c r="R55" s="369">
        <v>0</v>
      </c>
      <c r="S55" s="368"/>
      <c r="T55" s="369">
        <f t="shared" si="1"/>
        <v>-28715400</v>
      </c>
      <c r="U55" s="369">
        <f t="shared" si="2"/>
        <v>14099663.200000003</v>
      </c>
      <c r="V55" s="368"/>
      <c r="W55" s="369"/>
      <c r="X55" s="377">
        <v>5180115.79</v>
      </c>
      <c r="Y55" s="369">
        <f>H55*1.05</f>
        <v>6030675</v>
      </c>
      <c r="Z55" s="369">
        <f>I55*1.05</f>
        <v>24120495</v>
      </c>
      <c r="AA55" s="377">
        <v>8720161</v>
      </c>
      <c r="AB55" s="368"/>
      <c r="AC55" s="370">
        <f t="shared" si="40"/>
        <v>44051446.789999999</v>
      </c>
      <c r="AD55" s="368"/>
      <c r="AE55" s="369">
        <v>0</v>
      </c>
      <c r="AF55" s="369">
        <v>0</v>
      </c>
      <c r="AG55" s="377">
        <f>(SUMIF('FY26-FY28_PREPA Consolidated'!I:I,C55,'FY26-FY28_PREPA Consolidated'!DY:DY)*1000)-Y55</f>
        <v>-6030675</v>
      </c>
      <c r="AH55" s="377">
        <f>((SUMIF('FY26-FY28_PREPA Consolidated'!I:I,C55,'FY26-FY28_PREPA Consolidated'!DU:DU)+SUMIF('FY26-FY28_PREPA Consolidated'!I:I,C55,'FY26-FY28_PREPA Consolidated'!DW:DW))*1000)-Z55</f>
        <v>-24120495</v>
      </c>
      <c r="AI55" s="369">
        <v>0</v>
      </c>
      <c r="AJ55" s="368"/>
      <c r="AK55" s="369">
        <f t="shared" si="38"/>
        <v>-30151170</v>
      </c>
      <c r="AL55" s="369">
        <f t="shared" si="41"/>
        <v>13900276.789999999</v>
      </c>
      <c r="AM55" s="368"/>
      <c r="AN55" s="369"/>
      <c r="AO55" s="377">
        <v>5496372.7681999998</v>
      </c>
      <c r="AP55" s="369">
        <f>Y55*1.05</f>
        <v>6332208.75</v>
      </c>
      <c r="AQ55" s="369">
        <f>Z55*1.05</f>
        <v>25326519.75</v>
      </c>
      <c r="AR55" s="377">
        <v>9155169</v>
      </c>
      <c r="AS55" s="368"/>
      <c r="AT55" s="370">
        <f t="shared" si="42"/>
        <v>46310270.268199995</v>
      </c>
      <c r="AU55" s="368"/>
      <c r="AV55" s="369">
        <v>0</v>
      </c>
      <c r="AW55" s="369">
        <v>0</v>
      </c>
      <c r="AX55" s="1066">
        <f>(SUMIF('FY26-FY28_PREPA Consolidated'!I:I,C55,'FY26-FY28_PREPA Consolidated'!EI:EI)*1000)-AP55</f>
        <v>-6332208.75</v>
      </c>
      <c r="AY55" s="1066">
        <f>((SUMIF('FY26-FY28_PREPA Consolidated'!I:I,C55,'FY26-FY28_PREPA Consolidated'!EE:EE)+SUMIF('FY26-FY28_PREPA Consolidated'!I:I,C55,'FY26-FY28_PREPA Consolidated'!EG:EG))*1000)-AQ55</f>
        <v>-25326519.75</v>
      </c>
      <c r="AZ55" s="369">
        <v>0</v>
      </c>
      <c r="BA55" s="368"/>
      <c r="BB55" s="369">
        <f t="shared" si="43"/>
        <v>-31658728.5</v>
      </c>
      <c r="BC55" s="368"/>
      <c r="BD55" s="369">
        <f t="shared" si="4"/>
        <v>14651541.768199995</v>
      </c>
    </row>
    <row r="56" spans="1:56">
      <c r="A56" s="91">
        <f>IF(C55&lt;&gt;"",MAX(A53:A55)+1,"")</f>
        <v>45</v>
      </c>
      <c r="C56" s="792" t="s">
        <v>324</v>
      </c>
      <c r="D56" s="874"/>
      <c r="E56" s="2"/>
      <c r="F56" s="779"/>
      <c r="G56" s="779">
        <f>SUM(G36:G55)</f>
        <v>168559338.12799999</v>
      </c>
      <c r="H56" s="779">
        <f>SUM(H36:H55)</f>
        <v>5743500</v>
      </c>
      <c r="I56" s="779">
        <f>SUM(I36:I55)</f>
        <v>22971900</v>
      </c>
      <c r="J56" s="779">
        <f>SUM(J36:J55)</f>
        <v>460676621</v>
      </c>
      <c r="K56" s="764"/>
      <c r="L56" s="875">
        <f>SUM(L36:L55)</f>
        <v>709615561.35373998</v>
      </c>
      <c r="M56" s="764"/>
      <c r="N56" s="779">
        <f>SUM(N36:N55)</f>
        <v>27074981.774259999</v>
      </c>
      <c r="O56" s="779">
        <f t="shared" ref="O56:R56" si="45">SUM(O36:O55)</f>
        <v>1000000</v>
      </c>
      <c r="P56" s="779">
        <f t="shared" si="45"/>
        <v>847118.95000000019</v>
      </c>
      <c r="Q56" s="779">
        <f t="shared" si="45"/>
        <v>16289145.829999998</v>
      </c>
      <c r="R56" s="779">
        <f t="shared" si="45"/>
        <v>-930000</v>
      </c>
      <c r="S56" s="764"/>
      <c r="T56" s="779">
        <f t="shared" si="1"/>
        <v>44281246.554260001</v>
      </c>
      <c r="U56" s="779">
        <f t="shared" si="2"/>
        <v>753896807.90799999</v>
      </c>
      <c r="V56" s="791"/>
      <c r="W56" s="779"/>
      <c r="X56" s="779">
        <f>SUM(X36:X55)</f>
        <v>165649382.94624999</v>
      </c>
      <c r="Y56" s="779">
        <f>SUM(Y36:Y55)</f>
        <v>6030675</v>
      </c>
      <c r="Z56" s="779">
        <f>SUM(Z36:Z55)</f>
        <v>24120495</v>
      </c>
      <c r="AA56" s="779">
        <f>SUM(AA36:AA55)</f>
        <v>589482226</v>
      </c>
      <c r="AB56" s="764"/>
      <c r="AC56" s="875">
        <f>SUM(AC36:AC55)</f>
        <v>816211300.28169394</v>
      </c>
      <c r="AD56" s="764"/>
      <c r="AE56" s="779">
        <f>SUM(AE36:AE55)</f>
        <v>12428571</v>
      </c>
      <c r="AF56" s="779">
        <f t="shared" ref="AF56:AI56" si="46">SUM(AF36:AF55)</f>
        <v>1000000</v>
      </c>
      <c r="AG56" s="779">
        <f t="shared" si="46"/>
        <v>543548.68860580213</v>
      </c>
      <c r="AH56" s="779">
        <f t="shared" si="46"/>
        <v>19807866.213598721</v>
      </c>
      <c r="AI56" s="779">
        <f t="shared" si="46"/>
        <v>-993879</v>
      </c>
      <c r="AJ56" s="764"/>
      <c r="AK56" s="779">
        <f t="shared" si="38"/>
        <v>32786106.902204521</v>
      </c>
      <c r="AL56" s="779">
        <f t="shared" si="41"/>
        <v>848997407.18389845</v>
      </c>
      <c r="AM56" s="368"/>
      <c r="AN56" s="779">
        <f>SUM(AN36:AN55)</f>
        <v>15291050.556435</v>
      </c>
      <c r="AO56" s="779">
        <f>SUM(AO36:AO55)</f>
        <v>168964491.79306251</v>
      </c>
      <c r="AP56" s="779">
        <f>SUM(AP36:AP55)</f>
        <v>6332208.75</v>
      </c>
      <c r="AQ56" s="779">
        <f>SUM(AQ36:AQ55)</f>
        <v>25326519.75</v>
      </c>
      <c r="AR56" s="779">
        <f>SUM(AR36:AR55)</f>
        <v>640294445</v>
      </c>
      <c r="AS56" s="764"/>
      <c r="AT56" s="875">
        <f>SUM(AT36:AT55)</f>
        <v>856208715.84949756</v>
      </c>
      <c r="AU56" s="764"/>
      <c r="AV56" s="779">
        <f>SUM(AV36:AV55)</f>
        <v>13572272</v>
      </c>
      <c r="AW56" s="779">
        <f t="shared" ref="AW56:AZ56" si="47">SUM(AW36:AW55)</f>
        <v>1000000</v>
      </c>
      <c r="AX56" s="779">
        <f t="shared" si="47"/>
        <v>357663.15924220532</v>
      </c>
      <c r="AY56" s="779">
        <f t="shared" si="47"/>
        <v>16432084.59696164</v>
      </c>
      <c r="AZ56" s="779">
        <f t="shared" si="47"/>
        <v>-1002073</v>
      </c>
      <c r="BA56" s="764"/>
      <c r="BB56" s="779">
        <f t="shared" si="43"/>
        <v>30359946.756203845</v>
      </c>
      <c r="BC56" s="764"/>
      <c r="BD56" s="780">
        <f t="shared" si="4"/>
        <v>886568662.60570145</v>
      </c>
    </row>
    <row r="57" spans="1:56">
      <c r="A57" s="91"/>
      <c r="C57" s="757"/>
      <c r="D57" s="757"/>
      <c r="F57" s="652"/>
      <c r="G57" s="652"/>
      <c r="H57" s="652"/>
      <c r="I57" s="652"/>
      <c r="J57" s="652"/>
      <c r="K57" s="368"/>
      <c r="L57" s="881"/>
      <c r="M57" s="368"/>
      <c r="N57" s="652"/>
      <c r="O57" s="652"/>
      <c r="P57" s="652"/>
      <c r="Q57" s="652"/>
      <c r="R57" s="652"/>
      <c r="S57" s="368"/>
      <c r="T57" s="652"/>
      <c r="U57" s="652"/>
      <c r="V57" s="368"/>
      <c r="W57" s="652"/>
      <c r="X57" s="652"/>
      <c r="Y57" s="652"/>
      <c r="Z57" s="652"/>
      <c r="AA57" s="652"/>
      <c r="AB57" s="368"/>
      <c r="AC57" s="652"/>
      <c r="AD57" s="368"/>
      <c r="AE57" s="652"/>
      <c r="AF57" s="652"/>
      <c r="AG57" s="652"/>
      <c r="AH57" s="652"/>
      <c r="AI57" s="652"/>
      <c r="AJ57" s="368"/>
      <c r="AK57" s="652"/>
      <c r="AL57" s="652"/>
      <c r="AM57" s="368"/>
      <c r="AN57" s="652"/>
      <c r="AO57" s="652"/>
      <c r="AP57" s="652"/>
      <c r="AQ57" s="652"/>
      <c r="AR57" s="652"/>
      <c r="AS57" s="368"/>
      <c r="AT57" s="652"/>
      <c r="AU57" s="368"/>
      <c r="AV57" s="652"/>
      <c r="AW57" s="652"/>
      <c r="AX57" s="652"/>
      <c r="AY57" s="652"/>
      <c r="AZ57" s="652"/>
      <c r="BA57" s="368"/>
      <c r="BB57" s="652">
        <f t="shared" si="43"/>
        <v>0</v>
      </c>
      <c r="BC57" s="368"/>
      <c r="BD57" s="652"/>
    </row>
    <row r="58" spans="1:56">
      <c r="A58" s="91">
        <f>IF(C56&lt;&gt;"",MAX(A54:A56)+1,"")</f>
        <v>46</v>
      </c>
      <c r="C58" s="792" t="s">
        <v>325</v>
      </c>
      <c r="D58" s="874"/>
      <c r="E58" s="2"/>
      <c r="F58" s="779">
        <f>F24+F33+F56</f>
        <v>2436713299.8406897</v>
      </c>
      <c r="G58" s="779">
        <f>G24+G33+G56</f>
        <v>246225458.12799999</v>
      </c>
      <c r="H58" s="779">
        <f t="shared" ref="H58:I58" si="48">H24+H33+H56</f>
        <v>10361400</v>
      </c>
      <c r="I58" s="779">
        <f t="shared" si="48"/>
        <v>31258500</v>
      </c>
      <c r="J58" s="779">
        <f>J24+J33+J56</f>
        <v>808140736</v>
      </c>
      <c r="K58" s="764"/>
      <c r="L58" s="875">
        <f>L24+L33+L56</f>
        <v>3584363596.1944294</v>
      </c>
      <c r="M58" s="764"/>
      <c r="N58" s="779">
        <f>N24+N33+N56</f>
        <v>27074981.774259999</v>
      </c>
      <c r="O58" s="779">
        <f>O24+O33+O56</f>
        <v>1000000</v>
      </c>
      <c r="P58" s="779">
        <f>P24+P33+P56</f>
        <v>3446017.5811856068</v>
      </c>
      <c r="Q58" s="779">
        <f>Q24+Q33+Q56</f>
        <v>18844051.466509998</v>
      </c>
      <c r="R58" s="779">
        <f>R24+R33+R56</f>
        <v>-930000</v>
      </c>
      <c r="S58" s="764"/>
      <c r="T58" s="779">
        <f t="shared" si="1"/>
        <v>49435050.821955606</v>
      </c>
      <c r="U58" s="779">
        <f t="shared" si="2"/>
        <v>3633798647.0163851</v>
      </c>
      <c r="V58" s="791"/>
      <c r="W58" s="779">
        <f>W24+W33+W56</f>
        <v>2363810018.072628</v>
      </c>
      <c r="X58" s="779">
        <f>X24+X33+X56</f>
        <v>245645486.54624999</v>
      </c>
      <c r="Y58" s="779">
        <f t="shared" ref="Y58:Z58" si="49">Y24+Y33+Y56</f>
        <v>10879470</v>
      </c>
      <c r="Z58" s="779">
        <f t="shared" si="49"/>
        <v>32821425</v>
      </c>
      <c r="AA58" s="779">
        <f>AA24+AA33+AA56</f>
        <v>955055055</v>
      </c>
      <c r="AB58" s="764"/>
      <c r="AC58" s="875">
        <f>AC24+AC33+AC56</f>
        <v>3639139975.9543219</v>
      </c>
      <c r="AD58" s="764"/>
      <c r="AE58" s="779">
        <f>AE24+AE33+AE56</f>
        <v>12428571</v>
      </c>
      <c r="AF58" s="779">
        <f>AF24+AF33+AF56</f>
        <v>1000000</v>
      </c>
      <c r="AG58" s="779">
        <f>AG24+AG33+AG56</f>
        <v>3029347.9898189409</v>
      </c>
      <c r="AH58" s="779">
        <f>AH24+AH33+AH56</f>
        <v>22125401.536227912</v>
      </c>
      <c r="AI58" s="779">
        <f>AI24+AI33+AI56</f>
        <v>-993879</v>
      </c>
      <c r="AJ58" s="764"/>
      <c r="AK58" s="779">
        <f t="shared" si="38"/>
        <v>37589441.526046857</v>
      </c>
      <c r="AL58" s="779">
        <f>AC58+AK58</f>
        <v>3676729417.4803686</v>
      </c>
      <c r="AM58" s="368"/>
      <c r="AN58" s="779"/>
      <c r="AO58" s="779">
        <f>AO24+AO33+AO56</f>
        <v>251360478.50106251</v>
      </c>
      <c r="AP58" s="779">
        <f t="shared" ref="AP58:AQ58" si="50">AP24+AP33+AP56</f>
        <v>11423443.5</v>
      </c>
      <c r="AQ58" s="779">
        <f t="shared" si="50"/>
        <v>34462496.25</v>
      </c>
      <c r="AR58" s="779">
        <f>AR24+AR33+AR56</f>
        <v>1025976623</v>
      </c>
      <c r="AS58" s="764"/>
      <c r="AT58" s="875">
        <f>AT24+AT33+AT56</f>
        <v>3651146089.1506662</v>
      </c>
      <c r="AU58" s="764"/>
      <c r="AV58" s="779">
        <f>AV24+AV33+AV56</f>
        <v>13572272</v>
      </c>
      <c r="AW58" s="779">
        <f>AW24+AW33+AW56</f>
        <v>1000000</v>
      </c>
      <c r="AX58" s="779">
        <f>AX24+AX33+AX56</f>
        <v>2725043.9238391323</v>
      </c>
      <c r="AY58" s="779">
        <f>AY24+AY33+AY56</f>
        <v>18500885.488509711</v>
      </c>
      <c r="AZ58" s="779">
        <f>AZ24+AZ33+AZ56</f>
        <v>-1002073</v>
      </c>
      <c r="BA58" s="764"/>
      <c r="BB58" s="779">
        <f t="shared" si="43"/>
        <v>34796128.412348844</v>
      </c>
      <c r="BC58" s="764"/>
      <c r="BD58" s="780">
        <f t="shared" si="4"/>
        <v>3685942217.563015</v>
      </c>
    </row>
    <row r="59" spans="1:56">
      <c r="A59" s="91"/>
      <c r="C59" s="757"/>
      <c r="D59" s="757"/>
      <c r="F59" s="653"/>
      <c r="G59" s="653"/>
      <c r="H59" s="653"/>
      <c r="I59" s="653"/>
      <c r="J59" s="653"/>
      <c r="K59" s="368"/>
      <c r="L59" s="877"/>
      <c r="M59" s="368"/>
      <c r="N59" s="653"/>
      <c r="O59" s="653"/>
      <c r="P59" s="653"/>
      <c r="Q59" s="653"/>
      <c r="R59" s="653"/>
      <c r="S59" s="368"/>
      <c r="T59" s="653"/>
      <c r="U59" s="653"/>
      <c r="V59" s="368"/>
      <c r="W59" s="653"/>
      <c r="X59" s="653"/>
      <c r="Y59" s="653"/>
      <c r="Z59" s="653"/>
      <c r="AA59" s="653"/>
      <c r="AB59" s="368"/>
      <c r="AC59" s="877"/>
      <c r="AD59" s="368"/>
      <c r="AE59" s="653"/>
      <c r="AF59" s="653"/>
      <c r="AG59" s="653"/>
      <c r="AH59" s="653"/>
      <c r="AI59" s="653"/>
      <c r="AJ59" s="368"/>
      <c r="AK59" s="653"/>
      <c r="AL59" s="653"/>
      <c r="AM59" s="368"/>
      <c r="AN59" s="653"/>
      <c r="AO59" s="653"/>
      <c r="AP59" s="653"/>
      <c r="AQ59" s="653"/>
      <c r="AR59" s="653"/>
      <c r="AS59" s="368"/>
      <c r="AT59" s="877"/>
      <c r="AU59" s="368"/>
      <c r="AV59" s="653"/>
      <c r="AW59" s="653"/>
      <c r="AX59" s="653"/>
      <c r="AY59" s="653"/>
      <c r="AZ59" s="653"/>
      <c r="BA59" s="368"/>
      <c r="BB59" s="653"/>
      <c r="BC59" s="368"/>
      <c r="BD59" s="653"/>
    </row>
    <row r="60" spans="1:56">
      <c r="A60" s="91">
        <f>IF(C58&lt;&gt;"",MAX(A55:A58)+1,"")</f>
        <v>47</v>
      </c>
      <c r="C60" s="80" t="s">
        <v>326</v>
      </c>
      <c r="D60" s="80"/>
      <c r="E60" s="2"/>
      <c r="F60" s="369"/>
      <c r="G60" s="369"/>
      <c r="H60" s="369">
        <v>2537000</v>
      </c>
      <c r="I60" s="369">
        <v>3805000</v>
      </c>
      <c r="J60" s="369">
        <v>0</v>
      </c>
      <c r="K60" s="368"/>
      <c r="L60" s="370">
        <f t="shared" ref="L60" si="51">SUM(F60:J60)</f>
        <v>6342000</v>
      </c>
      <c r="M60" s="368"/>
      <c r="N60" s="369">
        <v>0</v>
      </c>
      <c r="O60" s="369">
        <v>0</v>
      </c>
      <c r="P60" s="377">
        <f>(SUMIF('FY26-FY28_PREPA Consolidated'!I:I,C60,'FY26-FY28_PREPA Consolidated'!DL:DL)*1000)-H60</f>
        <v>268381.60000000056</v>
      </c>
      <c r="Q60" s="377">
        <f>((SUMIF('FY26-FY28_PREPA Consolidated'!I:I,C60,'FY26-FY28_PREPA Consolidated'!BT:BT)+SUMIF('FY26-FY28_PREPA Consolidated'!I:I,C60,'FY26-FY28_PREPA Consolidated'!CD:CD))*1000)-I60</f>
        <v>403072.40000000037</v>
      </c>
      <c r="R60" s="369">
        <v>0</v>
      </c>
      <c r="S60" s="368"/>
      <c r="T60" s="369">
        <f t="shared" si="1"/>
        <v>671454.00000000093</v>
      </c>
      <c r="U60" s="369">
        <f t="shared" si="2"/>
        <v>7013454.0000000009</v>
      </c>
      <c r="V60" s="791"/>
      <c r="W60" s="369">
        <v>0</v>
      </c>
      <c r="X60" s="369">
        <v>0</v>
      </c>
      <c r="Y60" s="369">
        <f>H60*1.05</f>
        <v>2663850</v>
      </c>
      <c r="Z60" s="369">
        <f>I60*1.05</f>
        <v>3995250</v>
      </c>
      <c r="AA60" s="369">
        <v>0</v>
      </c>
      <c r="AB60" s="368"/>
      <c r="AC60" s="369">
        <f t="shared" ref="AC60" si="52">SUM(W60:AA60)</f>
        <v>6659100</v>
      </c>
      <c r="AD60" s="368"/>
      <c r="AE60" s="369">
        <v>0</v>
      </c>
      <c r="AF60" s="369">
        <v>0</v>
      </c>
      <c r="AG60" s="377">
        <f>(SUMIF('FY26-FY28_PREPA Consolidated'!I:I,C60,'FY26-FY28_PREPA Consolidated'!DY:DY)*1000)-Y60</f>
        <v>-358830.73518803995</v>
      </c>
      <c r="AH60" s="377">
        <f>((SUMIF('FY26-FY28_PREPA Consolidated'!I:I,C60,'FY26-FY28_PREPA Consolidated'!DU:DU)+SUMIF('FY26-FY28_PREPA Consolidated'!I:I,C60,'FY26-FY28_PREPA Consolidated'!DW:DW))*1000)-Z60</f>
        <v>-537721.10278206039</v>
      </c>
      <c r="AI60" s="369">
        <v>0</v>
      </c>
      <c r="AJ60" s="368"/>
      <c r="AK60" s="369">
        <f t="shared" si="38"/>
        <v>-896551.83797010034</v>
      </c>
      <c r="AL60" s="369">
        <f>AC60+AK60</f>
        <v>5762548.1620298997</v>
      </c>
      <c r="AM60" s="368"/>
      <c r="AN60" s="369">
        <v>0</v>
      </c>
      <c r="AO60" s="369">
        <v>0</v>
      </c>
      <c r="AP60" s="369">
        <f>Y60*1.05</f>
        <v>2797042.5</v>
      </c>
      <c r="AQ60" s="369">
        <f>Z60*1.05</f>
        <v>4195012.5</v>
      </c>
      <c r="AR60" s="369"/>
      <c r="AS60" s="368"/>
      <c r="AT60" s="370">
        <f t="shared" ref="AT60" si="53">SUM(AN60:AR60)</f>
        <v>6992055</v>
      </c>
      <c r="AU60" s="368"/>
      <c r="AV60" s="369">
        <v>0</v>
      </c>
      <c r="AW60" s="369">
        <v>0</v>
      </c>
      <c r="AX60" s="1066">
        <f>(SUMIF('FY26-FY28_PREPA Consolidated'!I:I,C60,'FY26-FY28_PREPA Consolidated'!EI:EI)*1000)-AP60</f>
        <v>-453047.48897018796</v>
      </c>
      <c r="AY60" s="1066">
        <f>((SUMIF('FY26-FY28_PREPA Consolidated'!I:I,C60,'FY26-FY28_PREPA Consolidated'!EE:EE)+SUMIF('FY26-FY28_PREPA Consolidated'!I:I,C60,'FY26-FY28_PREPA Consolidated'!EG:EG))*1000)-AQ60</f>
        <v>-679019.98345528217</v>
      </c>
      <c r="AZ60" s="369">
        <v>0</v>
      </c>
      <c r="BA60" s="368"/>
      <c r="BB60" s="369">
        <f>+SUM(AV60:AZ60)</f>
        <v>-1132067.4724254701</v>
      </c>
      <c r="BC60" s="368"/>
      <c r="BD60" s="369">
        <f t="shared" si="4"/>
        <v>5859987.5275745299</v>
      </c>
    </row>
    <row r="61" spans="1:56">
      <c r="A61" s="91">
        <f>IF(C60&lt;&gt;"",MAX(A56:A60)+1,"")</f>
        <v>48</v>
      </c>
      <c r="C61" s="792" t="s">
        <v>327</v>
      </c>
      <c r="D61" s="874"/>
      <c r="F61" s="779">
        <f>F58+F60</f>
        <v>2436713299.8406897</v>
      </c>
      <c r="G61" s="779">
        <f>G58+G60</f>
        <v>246225458.12799999</v>
      </c>
      <c r="H61" s="779">
        <f>H58+H60</f>
        <v>12898400</v>
      </c>
      <c r="I61" s="779">
        <f>I58+I60</f>
        <v>35063500</v>
      </c>
      <c r="J61" s="779">
        <f>J58+J60</f>
        <v>808140736</v>
      </c>
      <c r="K61" s="764"/>
      <c r="L61" s="875">
        <f>L58+SUM(L60:L60)</f>
        <v>3590705596.1944294</v>
      </c>
      <c r="M61" s="764"/>
      <c r="N61" s="779">
        <f>N58+SUM(N60:N60)</f>
        <v>27074981.774259999</v>
      </c>
      <c r="O61" s="779">
        <f>O58+SUM(O60:O60)</f>
        <v>1000000</v>
      </c>
      <c r="P61" s="779">
        <f>P58+SUM(P60:P60)</f>
        <v>3714399.1811856073</v>
      </c>
      <c r="Q61" s="779">
        <f>Q58+SUM(Q60:Q60)</f>
        <v>19247123.866509996</v>
      </c>
      <c r="R61" s="779">
        <f>R58+SUM(R60:R60)</f>
        <v>-930000</v>
      </c>
      <c r="S61" s="764"/>
      <c r="T61" s="779">
        <f t="shared" si="1"/>
        <v>50106504.821955606</v>
      </c>
      <c r="U61" s="779">
        <f t="shared" si="2"/>
        <v>3640812101.0163851</v>
      </c>
      <c r="V61" s="368"/>
      <c r="W61" s="779">
        <f>W58+W60</f>
        <v>2363810018.072628</v>
      </c>
      <c r="X61" s="779">
        <f>X58+X60</f>
        <v>245645486.54624999</v>
      </c>
      <c r="Y61" s="779">
        <f>Y58+Y60</f>
        <v>13543320</v>
      </c>
      <c r="Z61" s="779">
        <f>Z58+Z60</f>
        <v>36816675</v>
      </c>
      <c r="AA61" s="779">
        <f>AA58+AA60</f>
        <v>955055055</v>
      </c>
      <c r="AB61" s="764"/>
      <c r="AC61" s="875">
        <f>AC58+SUM(AC60:AC60)</f>
        <v>3645799075.9543219</v>
      </c>
      <c r="AD61" s="764"/>
      <c r="AE61" s="779">
        <f>AE58+SUM(AE60:AE60)</f>
        <v>12428571</v>
      </c>
      <c r="AF61" s="779">
        <f>AF58+SUM(AF60:AF60)</f>
        <v>1000000</v>
      </c>
      <c r="AG61" s="779">
        <f>AG58+SUM(AG60:AG60)</f>
        <v>2670517.2546309009</v>
      </c>
      <c r="AH61" s="779">
        <f>AH58+SUM(AH60:AH60)</f>
        <v>21587680.433445852</v>
      </c>
      <c r="AI61" s="779">
        <f>AI58+SUM(AI60:AI60)</f>
        <v>-993879</v>
      </c>
      <c r="AJ61" s="764"/>
      <c r="AK61" s="779">
        <f t="shared" si="38"/>
        <v>36692889.688076749</v>
      </c>
      <c r="AL61" s="779">
        <f>AC61+AK61</f>
        <v>3682491965.6423988</v>
      </c>
      <c r="AM61" s="368"/>
      <c r="AN61" s="779">
        <f>AN58+AN60</f>
        <v>0</v>
      </c>
      <c r="AO61" s="779">
        <f>AO58+AO60</f>
        <v>251360478.50106251</v>
      </c>
      <c r="AP61" s="779">
        <f>AP58+AP60</f>
        <v>14220486</v>
      </c>
      <c r="AQ61" s="779">
        <f>AQ58+AQ60</f>
        <v>38657508.75</v>
      </c>
      <c r="AR61" s="779">
        <f>AR58+AR60</f>
        <v>1025976623</v>
      </c>
      <c r="AS61" s="764"/>
      <c r="AT61" s="875">
        <f>AT58+SUM(AT60:AT60)</f>
        <v>3658138144.1506662</v>
      </c>
      <c r="AU61" s="764"/>
      <c r="AV61" s="779">
        <f>AV58+SUM(AV60:AV60)</f>
        <v>13572272</v>
      </c>
      <c r="AW61" s="779">
        <f>AW58+SUM(AW60:AW60)</f>
        <v>1000000</v>
      </c>
      <c r="AX61" s="779">
        <f>AX58+SUM(AX60:AX60)</f>
        <v>2271996.4348689443</v>
      </c>
      <c r="AY61" s="779">
        <f>AY58+SUM(AY60:AY60)</f>
        <v>17821865.505054429</v>
      </c>
      <c r="AZ61" s="779">
        <f>AZ58+SUM(AZ60:AZ60)</f>
        <v>-1002073</v>
      </c>
      <c r="BA61" s="764"/>
      <c r="BB61" s="779">
        <f>+SUM(AV61:AZ61)</f>
        <v>33664060.939923376</v>
      </c>
      <c r="BC61" s="764"/>
      <c r="BD61" s="780">
        <f t="shared" si="4"/>
        <v>3691802205.0905895</v>
      </c>
    </row>
    <row r="62" spans="1:56">
      <c r="C62" s="757"/>
      <c r="D62" s="757"/>
      <c r="E62" s="2"/>
      <c r="F62" s="653"/>
      <c r="G62" s="653"/>
      <c r="H62" s="653"/>
      <c r="I62" s="653"/>
      <c r="J62" s="653"/>
      <c r="K62" s="368"/>
      <c r="L62" s="877"/>
      <c r="M62" s="368"/>
      <c r="N62" s="653"/>
      <c r="O62" s="653"/>
      <c r="P62" s="653"/>
      <c r="Q62" s="653"/>
      <c r="R62" s="653"/>
      <c r="S62" s="368"/>
      <c r="T62" s="653"/>
      <c r="U62" s="653"/>
      <c r="V62" s="791"/>
      <c r="W62" s="653"/>
      <c r="X62" s="653"/>
      <c r="Y62" s="653"/>
      <c r="Z62" s="653"/>
      <c r="AA62" s="653"/>
      <c r="AB62" s="368"/>
      <c r="AC62" s="877"/>
      <c r="AD62" s="368"/>
      <c r="AE62" s="653"/>
      <c r="AF62" s="653"/>
      <c r="AG62" s="653"/>
      <c r="AH62" s="653"/>
      <c r="AI62" s="653"/>
      <c r="AJ62" s="368"/>
      <c r="AK62" s="653"/>
      <c r="AL62" s="653"/>
      <c r="AM62" s="368"/>
      <c r="AN62" s="653"/>
      <c r="AO62" s="653"/>
      <c r="AP62" s="653"/>
      <c r="AQ62" s="653"/>
      <c r="AR62" s="653"/>
      <c r="AS62" s="368"/>
      <c r="AT62" s="877"/>
      <c r="AU62" s="368"/>
      <c r="AV62" s="653"/>
      <c r="AW62" s="653"/>
      <c r="AX62" s="653"/>
      <c r="AY62" s="653"/>
      <c r="AZ62" s="653"/>
      <c r="BA62" s="368"/>
      <c r="BB62" s="653"/>
      <c r="BC62" s="368"/>
      <c r="BD62" s="653"/>
    </row>
    <row r="63" spans="1:56">
      <c r="A63" s="91">
        <f>IF(C61&lt;&gt;"",MAX(A60:A61)+1,"")</f>
        <v>49</v>
      </c>
      <c r="C63" s="80" t="s">
        <v>328</v>
      </c>
      <c r="D63" s="80"/>
      <c r="F63" s="369"/>
      <c r="G63" s="369"/>
      <c r="H63" s="369"/>
      <c r="I63" s="369"/>
      <c r="J63" s="369">
        <v>139367260.62835845</v>
      </c>
      <c r="K63" s="368"/>
      <c r="L63" s="370">
        <f t="shared" ref="L63:L72" si="54">SUM(F63:J63)</f>
        <v>139367260.62835845</v>
      </c>
      <c r="M63" s="368"/>
      <c r="N63" s="369">
        <v>0</v>
      </c>
      <c r="O63" s="369">
        <v>0</v>
      </c>
      <c r="P63" s="369">
        <v>0</v>
      </c>
      <c r="Q63" s="369">
        <v>0</v>
      </c>
      <c r="R63" s="369">
        <v>0</v>
      </c>
      <c r="S63" s="368"/>
      <c r="T63" s="369">
        <f t="shared" si="1"/>
        <v>0</v>
      </c>
      <c r="U63" s="369">
        <f t="shared" si="2"/>
        <v>139367260.62835845</v>
      </c>
      <c r="V63" s="368"/>
      <c r="W63" s="369"/>
      <c r="X63" s="369"/>
      <c r="Y63" s="369"/>
      <c r="Z63" s="369"/>
      <c r="AA63" s="369">
        <v>103711031.67572564</v>
      </c>
      <c r="AB63" s="368"/>
      <c r="AC63" s="370">
        <f t="shared" ref="AC63:AC72" si="55">SUM(W63:AA63)</f>
        <v>103711031.67572564</v>
      </c>
      <c r="AD63" s="368"/>
      <c r="AE63" s="369">
        <v>0</v>
      </c>
      <c r="AF63" s="369">
        <v>0</v>
      </c>
      <c r="AG63" s="377">
        <f>(SUMIF('FY26-FY28_PREPA Consolidated'!I:I,C63,'FY26-FY28_PREPA Consolidated'!DY:DY)*1000)-Y63</f>
        <v>0</v>
      </c>
      <c r="AH63" s="377">
        <f>((SUMIF('FY26-FY28_PREPA Consolidated'!I:I,C63,'FY26-FY28_PREPA Consolidated'!DU:DU)+SUMIF('FY26-FY28_PREPA Consolidated'!I:I,C63,'FY26-FY28_PREPA Consolidated'!DW:DW))*1000)-Z63</f>
        <v>0</v>
      </c>
      <c r="AI63" s="369">
        <v>0</v>
      </c>
      <c r="AJ63" s="368"/>
      <c r="AK63" s="369">
        <f t="shared" si="38"/>
        <v>0</v>
      </c>
      <c r="AL63" s="369">
        <f t="shared" ref="AL63:AL73" si="56">AC63+AK63</f>
        <v>103711031.67572564</v>
      </c>
      <c r="AM63" s="368"/>
      <c r="AN63" s="369"/>
      <c r="AO63" s="369"/>
      <c r="AP63" s="369"/>
      <c r="AQ63" s="369"/>
      <c r="AR63" s="369">
        <v>137717441.62652031</v>
      </c>
      <c r="AS63" s="368"/>
      <c r="AT63" s="370">
        <f t="shared" ref="AT63:AT72" si="57">SUM(AN63:AR63)</f>
        <v>137717441.62652031</v>
      </c>
      <c r="AU63" s="368"/>
      <c r="AV63" s="369">
        <v>0</v>
      </c>
      <c r="AW63" s="369">
        <v>0</v>
      </c>
      <c r="AX63" s="1066">
        <f>(SUMIF('FY26-FY28_PREPA Consolidated'!I:I,C63,'FY26-FY28_PREPA Consolidated'!EI:EI)*1000)-AP63</f>
        <v>0</v>
      </c>
      <c r="AY63" s="1066">
        <f>((SUMIF('FY26-FY28_PREPA Consolidated'!I:I,C63,'FY26-FY28_PREPA Consolidated'!EE:EE)+SUMIF('FY26-FY28_PREPA Consolidated'!I:I,C63,'FY26-FY28_PREPA Consolidated'!EG:EG))*1000)-AQ63</f>
        <v>0</v>
      </c>
      <c r="AZ63" s="369">
        <v>0</v>
      </c>
      <c r="BA63" s="368"/>
      <c r="BB63" s="369">
        <f t="shared" ref="BB63:BB73" si="58">+SUM(AV63:AZ63)</f>
        <v>0</v>
      </c>
      <c r="BC63" s="368"/>
      <c r="BD63" s="369">
        <f t="shared" si="4"/>
        <v>137717441.62652031</v>
      </c>
    </row>
    <row r="64" spans="1:56">
      <c r="A64" s="91">
        <f>IF(C63&lt;&gt;"",MAX(A61:A63)+1,"")</f>
        <v>50</v>
      </c>
      <c r="C64" s="80" t="s">
        <v>288</v>
      </c>
      <c r="D64" s="80"/>
      <c r="E64" s="2"/>
      <c r="F64" s="369">
        <v>129957434.58060001</v>
      </c>
      <c r="G64" s="369"/>
      <c r="H64" s="369"/>
      <c r="I64" s="369"/>
      <c r="J64" s="369"/>
      <c r="K64" s="368"/>
      <c r="L64" s="370">
        <f>SUM(F64:J64)</f>
        <v>129957434.58060001</v>
      </c>
      <c r="M64" s="368"/>
      <c r="N64" s="369">
        <v>0</v>
      </c>
      <c r="O64" s="369">
        <v>0</v>
      </c>
      <c r="P64" s="369">
        <v>0</v>
      </c>
      <c r="Q64" s="369">
        <v>0</v>
      </c>
      <c r="R64" s="369">
        <v>0</v>
      </c>
      <c r="S64" s="368"/>
      <c r="T64" s="369">
        <f t="shared" si="1"/>
        <v>0</v>
      </c>
      <c r="U64" s="369">
        <f t="shared" si="2"/>
        <v>129957434.58060001</v>
      </c>
      <c r="V64" s="791"/>
      <c r="W64" s="369">
        <v>129532870.764</v>
      </c>
      <c r="X64" s="369"/>
      <c r="Y64" s="369"/>
      <c r="Z64" s="369"/>
      <c r="AA64" s="369"/>
      <c r="AB64" s="368"/>
      <c r="AC64" s="370">
        <f>SUM(W64:AA64)</f>
        <v>129532870.764</v>
      </c>
      <c r="AD64" s="368"/>
      <c r="AE64" s="369">
        <v>0</v>
      </c>
      <c r="AF64" s="369">
        <v>0</v>
      </c>
      <c r="AG64" s="377">
        <f>(SUMIF('FY26-FY28_PREPA Consolidated'!I:I,C64,'FY26-FY28_PREPA Consolidated'!DY:DY)*1000)-Y64</f>
        <v>0</v>
      </c>
      <c r="AH64" s="377">
        <f>((SUMIF('FY26-FY28_PREPA Consolidated'!I:I,C64,'FY26-FY28_PREPA Consolidated'!DU:DU)+SUMIF('FY26-FY28_PREPA Consolidated'!I:I,C64,'FY26-FY28_PREPA Consolidated'!DW:DW))*1000)-Z64</f>
        <v>0</v>
      </c>
      <c r="AI64" s="369">
        <v>0</v>
      </c>
      <c r="AJ64" s="368"/>
      <c r="AK64" s="369">
        <f t="shared" si="38"/>
        <v>0</v>
      </c>
      <c r="AL64" s="369">
        <f t="shared" si="56"/>
        <v>129532870.764</v>
      </c>
      <c r="AM64" s="368"/>
      <c r="AN64" s="369">
        <v>125148055.9329</v>
      </c>
      <c r="AO64" s="369"/>
      <c r="AP64" s="369"/>
      <c r="AQ64" s="369"/>
      <c r="AR64" s="369"/>
      <c r="AS64" s="368"/>
      <c r="AT64" s="370">
        <f>SUM(AN64:AR64)</f>
        <v>125148055.9329</v>
      </c>
      <c r="AU64" s="368"/>
      <c r="AV64" s="369">
        <v>0</v>
      </c>
      <c r="AW64" s="369">
        <v>0</v>
      </c>
      <c r="AX64" s="1066">
        <f>(SUMIF('FY26-FY28_PREPA Consolidated'!I:I,C64,'FY26-FY28_PREPA Consolidated'!EI:EI)*1000)-AP64</f>
        <v>0</v>
      </c>
      <c r="AY64" s="1066">
        <f>((SUMIF('FY26-FY28_PREPA Consolidated'!I:I,C64,'FY26-FY28_PREPA Consolidated'!EE:EE)+SUMIF('FY26-FY28_PREPA Consolidated'!I:I,C64,'FY26-FY28_PREPA Consolidated'!EG:EG))*1000)-AQ64</f>
        <v>0</v>
      </c>
      <c r="AZ64" s="369">
        <v>0</v>
      </c>
      <c r="BA64" s="368"/>
      <c r="BB64" s="369">
        <f t="shared" si="58"/>
        <v>0</v>
      </c>
      <c r="BC64" s="368"/>
      <c r="BD64" s="369">
        <f t="shared" si="4"/>
        <v>125148055.9329</v>
      </c>
    </row>
    <row r="65" spans="1:69">
      <c r="A65" s="91">
        <f>IF(C64&lt;&gt;"",MAX(A63:A64)+1,"")</f>
        <v>51</v>
      </c>
      <c r="C65" s="80" t="s">
        <v>329</v>
      </c>
      <c r="D65" s="80"/>
      <c r="F65" s="369"/>
      <c r="G65" s="369"/>
      <c r="H65" s="369"/>
      <c r="I65" s="369"/>
      <c r="J65" s="369">
        <f>(J58+J76)*0.02</f>
        <v>24132654.117846251</v>
      </c>
      <c r="K65" s="368"/>
      <c r="L65" s="370">
        <f t="shared" si="54"/>
        <v>24132654.117846251</v>
      </c>
      <c r="M65" s="368"/>
      <c r="N65" s="369">
        <v>0</v>
      </c>
      <c r="O65" s="369">
        <v>0</v>
      </c>
      <c r="P65" s="369">
        <v>0</v>
      </c>
      <c r="Q65" s="369">
        <v>0</v>
      </c>
      <c r="R65" s="369">
        <v>0</v>
      </c>
      <c r="S65" s="368"/>
      <c r="T65" s="369">
        <f t="shared" si="1"/>
        <v>0</v>
      </c>
      <c r="U65" s="369">
        <f t="shared" si="2"/>
        <v>24132654.117846251</v>
      </c>
      <c r="V65" s="368"/>
      <c r="W65" s="369"/>
      <c r="X65" s="369"/>
      <c r="Y65" s="369"/>
      <c r="Z65" s="369"/>
      <c r="AA65" s="369">
        <f>(AA58+AA76)*0.02</f>
        <v>29184971.199480526</v>
      </c>
      <c r="AB65" s="368"/>
      <c r="AC65" s="370">
        <f t="shared" si="55"/>
        <v>29184971.199480526</v>
      </c>
      <c r="AD65" s="368"/>
      <c r="AE65" s="369">
        <v>0</v>
      </c>
      <c r="AF65" s="369">
        <v>0</v>
      </c>
      <c r="AG65" s="377">
        <f>(SUMIF('FY26-FY28_PREPA Consolidated'!I:I,C65,'FY26-FY28_PREPA Consolidated'!DY:DY)*1000)-Y65</f>
        <v>0</v>
      </c>
      <c r="AH65" s="377">
        <f>((SUMIF('FY26-FY28_PREPA Consolidated'!I:I,C65,'FY26-FY28_PREPA Consolidated'!DU:DU)+SUMIF('FY26-FY28_PREPA Consolidated'!I:I,C65,'FY26-FY28_PREPA Consolidated'!DW:DW))*1000)-Z65</f>
        <v>0</v>
      </c>
      <c r="AI65" s="369">
        <v>0</v>
      </c>
      <c r="AJ65" s="368"/>
      <c r="AK65" s="369">
        <f t="shared" si="38"/>
        <v>0</v>
      </c>
      <c r="AL65" s="369">
        <f t="shared" si="56"/>
        <v>29184971.199480526</v>
      </c>
      <c r="AM65" s="368"/>
      <c r="AN65" s="369"/>
      <c r="AO65" s="369"/>
      <c r="AP65" s="369"/>
      <c r="AQ65" s="369"/>
      <c r="AR65" s="369">
        <f>(AR58+AR76)*0.02</f>
        <v>32597310.582428526</v>
      </c>
      <c r="AS65" s="368"/>
      <c r="AT65" s="370">
        <f t="shared" si="57"/>
        <v>32597310.582428526</v>
      </c>
      <c r="AU65" s="368"/>
      <c r="AV65" s="369">
        <v>0</v>
      </c>
      <c r="AW65" s="369">
        <v>0</v>
      </c>
      <c r="AX65" s="1066">
        <f>(SUMIF('FY26-FY28_PREPA Consolidated'!I:I,C65,'FY26-FY28_PREPA Consolidated'!EI:EI)*1000)-AP65</f>
        <v>0</v>
      </c>
      <c r="AY65" s="1066">
        <f>((SUMIF('FY26-FY28_PREPA Consolidated'!I:I,C65,'FY26-FY28_PREPA Consolidated'!EE:EE)+SUMIF('FY26-FY28_PREPA Consolidated'!I:I,C65,'FY26-FY28_PREPA Consolidated'!EG:EG))*1000)-AQ65</f>
        <v>0</v>
      </c>
      <c r="AZ65" s="369">
        <v>0</v>
      </c>
      <c r="BA65" s="368"/>
      <c r="BB65" s="369">
        <f t="shared" si="58"/>
        <v>0</v>
      </c>
      <c r="BC65" s="368"/>
      <c r="BD65" s="369">
        <f t="shared" si="4"/>
        <v>32597310.582428526</v>
      </c>
    </row>
    <row r="66" spans="1:69">
      <c r="A66" s="91">
        <f>IF(C65&lt;&gt;"",MAX(A64:A65)+1,"")</f>
        <v>52</v>
      </c>
      <c r="C66" s="906" t="s">
        <v>607</v>
      </c>
      <c r="D66" s="80"/>
      <c r="F66" s="369"/>
      <c r="G66" s="369"/>
      <c r="H66" s="369"/>
      <c r="I66" s="369"/>
      <c r="J66" s="369"/>
      <c r="K66" s="368"/>
      <c r="L66" s="370">
        <f t="shared" si="54"/>
        <v>0</v>
      </c>
      <c r="M66" s="368"/>
      <c r="N66" s="369">
        <v>0</v>
      </c>
      <c r="O66" s="369">
        <v>0</v>
      </c>
      <c r="P66" s="377">
        <f>(SUMIF('FY26-FY28_PREPA Consolidated'!I:I,C66,'FY26-FY28_PREPA Consolidated'!DL:DL)*1000)-H66</f>
        <v>0</v>
      </c>
      <c r="Q66" s="377">
        <f>((SUMIF('FY26-FY28_PREPA Consolidated'!I:I,C66,'FY26-FY28_PREPA Consolidated'!BT:BT)+SUMIF('FY26-FY28_PREPA Consolidated'!I:I,C66,'FY26-FY28_PREPA Consolidated'!CD:CD))*1000)-I66</f>
        <v>4000000</v>
      </c>
      <c r="R66" s="369">
        <v>0</v>
      </c>
      <c r="S66" s="368"/>
      <c r="T66" s="369">
        <f t="shared" si="1"/>
        <v>4000000</v>
      </c>
      <c r="U66" s="369">
        <f t="shared" si="2"/>
        <v>4000000</v>
      </c>
      <c r="V66" s="368"/>
      <c r="W66" s="369"/>
      <c r="X66" s="369"/>
      <c r="Y66" s="369"/>
      <c r="AA66" s="369"/>
      <c r="AB66" s="368"/>
      <c r="AC66" s="369">
        <f>SUM(W66:AA66)</f>
        <v>0</v>
      </c>
      <c r="AD66" s="368"/>
      <c r="AE66" s="369"/>
      <c r="AF66" s="369"/>
      <c r="AG66" s="377">
        <f>(SUMIF('FY26-FY28_PREPA Consolidated'!I:I,C66,'FY26-FY28_PREPA Consolidated'!DY:DY)*1000)-Y66</f>
        <v>0</v>
      </c>
      <c r="AH66" s="377">
        <f>((SUMIF('FY26-FY28_PREPA Consolidated'!I:I,C66,'FY26-FY28_PREPA Consolidated'!DU:DU)+SUMIF('FY26-FY28_PREPA Consolidated'!I:I,C66,'FY26-FY28_PREPA Consolidated'!DW:DW))*1000)-Z66</f>
        <v>0</v>
      </c>
      <c r="AI66" s="369"/>
      <c r="AJ66" s="368"/>
      <c r="AK66" s="369"/>
      <c r="AL66" s="369">
        <f t="shared" ref="AL66:AL68" si="59">+AK66+AC66</f>
        <v>0</v>
      </c>
      <c r="AM66" s="368"/>
      <c r="AN66" s="369"/>
      <c r="AO66" s="369"/>
      <c r="AP66" s="369"/>
      <c r="AQ66" s="369"/>
      <c r="AR66" s="369"/>
      <c r="AS66" s="368"/>
      <c r="AT66" s="369">
        <f t="shared" si="57"/>
        <v>0</v>
      </c>
      <c r="AU66" s="368"/>
      <c r="AV66" s="369"/>
      <c r="AW66" s="369"/>
      <c r="AX66" s="1066">
        <f>(SUMIF('FY26-FY28_PREPA Consolidated'!I:I,C66,'FY26-FY28_PREPA Consolidated'!EI:EI)*1000)-AP66</f>
        <v>0</v>
      </c>
      <c r="AY66" s="1066">
        <f>((SUMIF('FY26-FY28_PREPA Consolidated'!I:I,C66,'FY26-FY28_PREPA Consolidated'!EE:EE)+SUMIF('FY26-FY28_PREPA Consolidated'!I:I,C66,'FY26-FY28_PREPA Consolidated'!EG:EG))*1000)-AQ66</f>
        <v>0</v>
      </c>
      <c r="AZ66" s="369">
        <v>0</v>
      </c>
      <c r="BA66" s="368"/>
      <c r="BB66" s="369">
        <f t="shared" si="58"/>
        <v>0</v>
      </c>
      <c r="BC66" s="369">
        <f t="shared" ref="BC66:BC67" si="60">+BB66+AT66</f>
        <v>0</v>
      </c>
      <c r="BD66" s="368"/>
      <c r="BE66" s="863"/>
      <c r="BF66" s="369"/>
      <c r="BG66" s="369"/>
      <c r="BH66" s="369"/>
      <c r="BI66" s="369"/>
    </row>
    <row r="67" spans="1:69">
      <c r="A67" s="91">
        <f>IF(C66&lt;&gt;"",MAX(A64:A66)+1,"")</f>
        <v>53</v>
      </c>
      <c r="C67" s="906" t="s">
        <v>608</v>
      </c>
      <c r="D67" s="80"/>
      <c r="F67" s="369"/>
      <c r="G67" s="369"/>
      <c r="H67" s="369"/>
      <c r="I67" s="369"/>
      <c r="J67" s="369"/>
      <c r="K67" s="368"/>
      <c r="L67" s="370">
        <f t="shared" si="54"/>
        <v>0</v>
      </c>
      <c r="M67" s="368"/>
      <c r="N67" s="369">
        <v>0</v>
      </c>
      <c r="O67" s="369">
        <v>0</v>
      </c>
      <c r="P67" s="377">
        <f>(SUMIF('FY26-FY28_PREPA Consolidated'!I:I,C67,'FY26-FY28_PREPA Consolidated'!DL:DL)*1000)-H67</f>
        <v>0</v>
      </c>
      <c r="Q67" s="377">
        <f>((SUMIF('FY26-FY28_PREPA Consolidated'!I:I,C67,'FY26-FY28_PREPA Consolidated'!BT:BT)+SUMIF('FY26-FY28_PREPA Consolidated'!I:I,C67,'FY26-FY28_PREPA Consolidated'!CD:CD))*1000)-I67</f>
        <v>6500000</v>
      </c>
      <c r="R67" s="369">
        <v>0</v>
      </c>
      <c r="S67" s="368"/>
      <c r="T67" s="369">
        <f t="shared" si="1"/>
        <v>6500000</v>
      </c>
      <c r="U67" s="369">
        <f t="shared" si="2"/>
        <v>6500000</v>
      </c>
      <c r="V67" s="368"/>
      <c r="W67" s="369"/>
      <c r="X67" s="369"/>
      <c r="Y67" s="369"/>
      <c r="AA67" s="369"/>
      <c r="AB67" s="368"/>
      <c r="AC67" s="369">
        <f>SUM(W67:AA67)</f>
        <v>0</v>
      </c>
      <c r="AD67" s="368"/>
      <c r="AE67" s="369"/>
      <c r="AF67" s="369"/>
      <c r="AG67" s="377">
        <f>(SUMIF('FY26-FY28_PREPA Consolidated'!I:I,C67,'FY26-FY28_PREPA Consolidated'!DY:DY)*1000)-Y67</f>
        <v>0</v>
      </c>
      <c r="AH67" s="377">
        <f>((SUMIF('FY26-FY28_PREPA Consolidated'!I:I,C67,'FY26-FY28_PREPA Consolidated'!DU:DU)+SUMIF('FY26-FY28_PREPA Consolidated'!I:I,C67,'FY26-FY28_PREPA Consolidated'!DW:DW))*1000)-Z67</f>
        <v>0</v>
      </c>
      <c r="AI67" s="369"/>
      <c r="AJ67" s="368"/>
      <c r="AK67" s="369"/>
      <c r="AL67" s="369">
        <f t="shared" si="59"/>
        <v>0</v>
      </c>
      <c r="AM67" s="368"/>
      <c r="AN67" s="369"/>
      <c r="AO67" s="369"/>
      <c r="AP67" s="369"/>
      <c r="AQ67" s="369"/>
      <c r="AR67" s="369"/>
      <c r="AS67" s="368"/>
      <c r="AT67" s="369">
        <f t="shared" si="57"/>
        <v>0</v>
      </c>
      <c r="AU67" s="368"/>
      <c r="AV67" s="369"/>
      <c r="AW67" s="369"/>
      <c r="AX67" s="1066">
        <f>(SUMIF('FY26-FY28_PREPA Consolidated'!I:I,C67,'FY26-FY28_PREPA Consolidated'!EI:EI)*1000)-AP67</f>
        <v>0</v>
      </c>
      <c r="AY67" s="1066">
        <f>((SUMIF('FY26-FY28_PREPA Consolidated'!I:I,C67,'FY26-FY28_PREPA Consolidated'!EE:EE)+SUMIF('FY26-FY28_PREPA Consolidated'!I:I,C67,'FY26-FY28_PREPA Consolidated'!EG:EG))*1000)-AQ67</f>
        <v>0</v>
      </c>
      <c r="AZ67" s="369">
        <v>0</v>
      </c>
      <c r="BA67" s="368"/>
      <c r="BB67" s="369">
        <f t="shared" si="58"/>
        <v>0</v>
      </c>
      <c r="BC67" s="369">
        <f t="shared" si="60"/>
        <v>0</v>
      </c>
      <c r="BD67" s="368"/>
      <c r="BE67" s="863"/>
      <c r="BF67" s="369"/>
      <c r="BG67" s="369"/>
      <c r="BH67" s="369"/>
      <c r="BI67" s="369"/>
    </row>
    <row r="68" spans="1:69">
      <c r="A68" s="91">
        <v>54</v>
      </c>
      <c r="C68" s="906" t="s">
        <v>609</v>
      </c>
      <c r="D68" s="80"/>
      <c r="F68" s="369"/>
      <c r="G68" s="369"/>
      <c r="H68" s="369"/>
      <c r="I68" s="369"/>
      <c r="J68" s="369"/>
      <c r="K68" s="369"/>
      <c r="L68" s="370"/>
      <c r="M68" s="368"/>
      <c r="N68" s="369">
        <v>0</v>
      </c>
      <c r="O68" s="369">
        <v>0</v>
      </c>
      <c r="P68" s="377">
        <f>(SUMIF('FY26-FY28_PREPA Consolidated'!I:I,C68,'FY26-FY28_PREPA Consolidated'!DL:DL)*1000)-H68</f>
        <v>0</v>
      </c>
      <c r="Q68" s="377">
        <f>((SUMIF('FY26-FY28_PREPA Consolidated'!I:I,C68,'FY26-FY28_PREPA Consolidated'!BT:BT)+SUMIF('FY26-FY28_PREPA Consolidated'!I:I,C68,'FY26-FY28_PREPA Consolidated'!CD:CD))*1000)-I68</f>
        <v>307475422</v>
      </c>
      <c r="R68" s="369">
        <v>0</v>
      </c>
      <c r="S68" s="369"/>
      <c r="T68" s="369">
        <f t="shared" ref="T68" si="61">+SUM(N68:R68)</f>
        <v>307475422</v>
      </c>
      <c r="U68" s="369">
        <f t="shared" si="2"/>
        <v>307475422</v>
      </c>
      <c r="V68" s="369"/>
      <c r="W68" s="369"/>
      <c r="X68" s="369"/>
      <c r="Y68" s="369"/>
      <c r="AA68" s="369"/>
      <c r="AB68" s="369"/>
      <c r="AC68" s="369">
        <f>SUM(W68:AA68)</f>
        <v>0</v>
      </c>
      <c r="AD68" s="369"/>
      <c r="AE68" s="369">
        <v>0</v>
      </c>
      <c r="AF68" s="369">
        <v>0</v>
      </c>
      <c r="AG68" s="377">
        <f>(SUMIF('FY26-FY28_PREPA Consolidated'!Z:Z,T68,'FY26-FY28_PREPA Consolidated'!EC:EC)*1000)-Y68</f>
        <v>0</v>
      </c>
      <c r="AH68" s="377">
        <f>((SUMIF('FY26-FY28_PREPA Consolidated'!$I:$I,$C68,'FY26-FY28_PREPA Consolidated'!$EA:$EA)*1000)-Z68)</f>
        <v>298658580.63999999</v>
      </c>
      <c r="AI68" s="369">
        <v>0</v>
      </c>
      <c r="AJ68" s="369"/>
      <c r="AK68" s="369">
        <f t="shared" ref="AK68" si="62">+SUM(AE68:AI68)</f>
        <v>298658580.63999999</v>
      </c>
      <c r="AL68" s="369">
        <f t="shared" si="59"/>
        <v>298658580.63999999</v>
      </c>
      <c r="AM68" s="369"/>
      <c r="AN68" s="369"/>
      <c r="AO68" s="369"/>
      <c r="AP68" s="369"/>
      <c r="AQ68" s="369"/>
      <c r="AR68" s="369"/>
      <c r="AS68" s="369"/>
      <c r="AT68" s="369"/>
      <c r="AU68" s="369"/>
      <c r="AV68" s="369"/>
      <c r="AW68" s="369"/>
      <c r="AX68" s="1066">
        <f>(SUMIF('FY26-FY28_PREPA Consolidated'!I:I,C68,'FY26-FY28_PREPA Consolidated'!EI:EI)*1000)-AP68</f>
        <v>0</v>
      </c>
      <c r="AY68" s="1066">
        <f>((SUMIF('FY26-FY28_PREPA Consolidated'!I:I,C68,'FY26-FY28_PREPA Consolidated'!EE:EE)+SUMIF('FY26-FY28_PREPA Consolidated'!I:I,C68,'FY26-FY28_PREPA Consolidated'!EG:EG))*1000)-AQ68</f>
        <v>298438608</v>
      </c>
      <c r="AZ68" s="369"/>
      <c r="BA68" s="369"/>
      <c r="BB68" s="369">
        <f t="shared" ref="BB68" si="63">+SUM(AV68:AZ68)</f>
        <v>298438608</v>
      </c>
      <c r="BC68" s="369"/>
      <c r="BD68" s="369">
        <f t="shared" ref="BD68" si="64">+BB68+AT68</f>
        <v>298438608</v>
      </c>
      <c r="BE68" s="368"/>
      <c r="BG68" s="369"/>
      <c r="BH68" s="369"/>
      <c r="BI68" s="369"/>
      <c r="BJ68" s="369"/>
      <c r="BK68" s="369"/>
      <c r="BL68" s="369"/>
      <c r="BM68" s="369"/>
      <c r="BO68" s="369"/>
      <c r="BP68" s="369"/>
      <c r="BQ68" s="369"/>
    </row>
    <row r="69" spans="1:69">
      <c r="A69" s="91">
        <f>IF(C67&lt;&gt;"",MAX(A65:A67)+1,"")</f>
        <v>54</v>
      </c>
      <c r="C69" s="80" t="s">
        <v>565</v>
      </c>
      <c r="D69" s="80"/>
      <c r="F69" s="369"/>
      <c r="G69" s="369"/>
      <c r="H69" s="369"/>
      <c r="I69" s="369"/>
      <c r="J69" s="369">
        <v>120000000</v>
      </c>
      <c r="K69" s="368"/>
      <c r="L69" s="370">
        <f>SUM(F69:J69)</f>
        <v>120000000</v>
      </c>
      <c r="M69" s="368"/>
      <c r="N69" s="369">
        <v>0</v>
      </c>
      <c r="O69" s="369">
        <v>0</v>
      </c>
      <c r="P69" s="369">
        <v>0</v>
      </c>
      <c r="Q69" s="369">
        <v>0</v>
      </c>
      <c r="R69" s="369">
        <v>0</v>
      </c>
      <c r="S69" s="368"/>
      <c r="T69" s="369">
        <f t="shared" si="1"/>
        <v>0</v>
      </c>
      <c r="U69" s="369">
        <f t="shared" si="2"/>
        <v>120000000</v>
      </c>
      <c r="V69" s="368"/>
      <c r="W69" s="369"/>
      <c r="X69" s="369"/>
      <c r="Y69" s="369"/>
      <c r="Z69" s="369"/>
      <c r="AA69" s="369">
        <v>120000000</v>
      </c>
      <c r="AB69" s="368"/>
      <c r="AC69" s="377">
        <f>SUM(W69:AA69)</f>
        <v>120000000</v>
      </c>
      <c r="AD69" s="368"/>
      <c r="AE69" s="369">
        <v>0</v>
      </c>
      <c r="AF69" s="369">
        <v>0</v>
      </c>
      <c r="AG69" s="377">
        <f>(SUMIF('FY26-FY28_PREPA Consolidated'!I:I,C69,'FY26-FY28_PREPA Consolidated'!DY:DY)*1000)-Y69</f>
        <v>0</v>
      </c>
      <c r="AH69" s="377">
        <f>((SUMIF('FY26-FY28_PREPA Consolidated'!I:I,C69,'FY26-FY28_PREPA Consolidated'!DU:DU)+SUMIF('FY26-FY28_PREPA Consolidated'!I:I,C69,'FY26-FY28_PREPA Consolidated'!DW:DW))*1000)-Z69</f>
        <v>0</v>
      </c>
      <c r="AI69" s="369">
        <v>0</v>
      </c>
      <c r="AJ69" s="368"/>
      <c r="AK69" s="369">
        <f t="shared" si="38"/>
        <v>0</v>
      </c>
      <c r="AL69" s="369">
        <f t="shared" si="56"/>
        <v>120000000</v>
      </c>
      <c r="AM69" s="368"/>
      <c r="AN69" s="369"/>
      <c r="AO69" s="369"/>
      <c r="AP69" s="369"/>
      <c r="AQ69" s="369"/>
      <c r="AR69" s="369"/>
      <c r="AS69" s="368"/>
      <c r="AT69" s="370"/>
      <c r="AU69" s="368"/>
      <c r="AV69" s="369">
        <v>0</v>
      </c>
      <c r="AW69" s="369">
        <v>0</v>
      </c>
      <c r="AX69" s="1066">
        <f>(SUMIF('FY26-FY28_PREPA Consolidated'!I:I,C69,'FY26-FY28_PREPA Consolidated'!EI:EI)*1000)-AP69</f>
        <v>0</v>
      </c>
      <c r="AY69" s="1066">
        <f>((SUMIF('FY26-FY28_PREPA Consolidated'!I:I,C69,'FY26-FY28_PREPA Consolidated'!EE:EE)+SUMIF('FY26-FY28_PREPA Consolidated'!I:I,C69,'FY26-FY28_PREPA Consolidated'!EG:EG))*1000)-AQ69</f>
        <v>0</v>
      </c>
      <c r="AZ69" s="369">
        <v>0</v>
      </c>
      <c r="BA69" s="368"/>
      <c r="BB69" s="369">
        <f t="shared" si="58"/>
        <v>0</v>
      </c>
      <c r="BC69" s="368"/>
      <c r="BD69" s="369">
        <f t="shared" si="4"/>
        <v>0</v>
      </c>
    </row>
    <row r="70" spans="1:69">
      <c r="A70" s="91">
        <f>IF(C69&lt;&gt;"",MAX(A66:A69)+1,"")</f>
        <v>55</v>
      </c>
      <c r="C70" s="80" t="s">
        <v>566</v>
      </c>
      <c r="D70" s="80"/>
      <c r="F70" s="369"/>
      <c r="G70" s="377"/>
      <c r="H70" s="369"/>
      <c r="I70" s="369"/>
      <c r="J70" s="369"/>
      <c r="K70" s="368"/>
      <c r="L70" s="370"/>
      <c r="M70" s="368"/>
      <c r="N70" s="369">
        <v>0</v>
      </c>
      <c r="O70" s="1158">
        <v>30000000</v>
      </c>
      <c r="P70" s="369">
        <v>0</v>
      </c>
      <c r="Q70" s="369">
        <v>0</v>
      </c>
      <c r="R70" s="369">
        <v>0</v>
      </c>
      <c r="S70" s="368"/>
      <c r="T70" s="369">
        <f t="shared" si="1"/>
        <v>30000000</v>
      </c>
      <c r="U70" s="369">
        <f t="shared" si="2"/>
        <v>30000000</v>
      </c>
      <c r="V70" s="368"/>
      <c r="W70" s="369"/>
      <c r="X70" s="369"/>
      <c r="Y70" s="369"/>
      <c r="Z70" s="369"/>
      <c r="AA70" s="369"/>
      <c r="AB70" s="368"/>
      <c r="AC70" s="370"/>
      <c r="AD70" s="368"/>
      <c r="AE70" s="369">
        <v>0</v>
      </c>
      <c r="AF70" s="1158">
        <v>30000000</v>
      </c>
      <c r="AG70" s="377">
        <f>(SUMIF('FY26-FY28_PREPA Consolidated'!I:I,C70,'FY26-FY28_PREPA Consolidated'!DY:DY)*1000)-Y70</f>
        <v>0</v>
      </c>
      <c r="AH70" s="377">
        <f>((SUMIF('FY26-FY28_PREPA Consolidated'!I:I,C70,'FY26-FY28_PREPA Consolidated'!DU:DU)+SUMIF('FY26-FY28_PREPA Consolidated'!I:I,C70,'FY26-FY28_PREPA Consolidated'!DW:DW))*1000)-Z70</f>
        <v>0</v>
      </c>
      <c r="AI70" s="369">
        <v>0</v>
      </c>
      <c r="AJ70" s="368"/>
      <c r="AK70" s="369">
        <f t="shared" si="38"/>
        <v>30000000</v>
      </c>
      <c r="AL70" s="369">
        <f t="shared" si="56"/>
        <v>30000000</v>
      </c>
      <c r="AM70" s="368"/>
      <c r="AN70" s="369"/>
      <c r="AO70" s="369"/>
      <c r="AP70" s="369"/>
      <c r="AQ70" s="369"/>
      <c r="AR70" s="369"/>
      <c r="AS70" s="368"/>
      <c r="AT70" s="370"/>
      <c r="AU70" s="368"/>
      <c r="AV70" s="369">
        <v>0</v>
      </c>
      <c r="AW70" s="1158">
        <v>30000000</v>
      </c>
      <c r="AX70" s="1066">
        <f>(SUMIF('FY26-FY28_PREPA Consolidated'!I:I,C70,'FY26-FY28_PREPA Consolidated'!EI:EI)*1000)-AP70</f>
        <v>0</v>
      </c>
      <c r="AY70" s="1066">
        <f>((SUMIF('FY26-FY28_PREPA Consolidated'!I:I,C70,'FY26-FY28_PREPA Consolidated'!EE:EE)+SUMIF('FY26-FY28_PREPA Consolidated'!I:I,C70,'FY26-FY28_PREPA Consolidated'!EG:EG))*1000)-AQ70</f>
        <v>0</v>
      </c>
      <c r="AZ70" s="369">
        <v>0</v>
      </c>
      <c r="BA70" s="368"/>
      <c r="BB70" s="369">
        <f t="shared" si="58"/>
        <v>30000000</v>
      </c>
      <c r="BC70" s="368"/>
      <c r="BD70" s="369">
        <f t="shared" si="4"/>
        <v>30000000</v>
      </c>
    </row>
    <row r="71" spans="1:69">
      <c r="A71" s="91">
        <f>IF(C70&lt;&gt;"",MAX(A65:A70)+1,"")</f>
        <v>56</v>
      </c>
      <c r="C71" s="80" t="s">
        <v>330</v>
      </c>
      <c r="D71" s="80"/>
      <c r="E71" s="2"/>
      <c r="F71" s="369"/>
      <c r="G71" s="377">
        <v>26585154.466419831</v>
      </c>
      <c r="H71" s="369"/>
      <c r="I71" s="369"/>
      <c r="J71" s="369"/>
      <c r="K71" s="368"/>
      <c r="L71" s="370">
        <f t="shared" si="54"/>
        <v>26585154.466419831</v>
      </c>
      <c r="M71" s="368"/>
      <c r="N71" s="369">
        <v>0</v>
      </c>
      <c r="O71" s="369">
        <v>0</v>
      </c>
      <c r="P71" s="369">
        <v>0</v>
      </c>
      <c r="Q71" s="369">
        <v>0</v>
      </c>
      <c r="R71" s="369">
        <v>0</v>
      </c>
      <c r="S71" s="368"/>
      <c r="T71" s="369">
        <f t="shared" si="1"/>
        <v>0</v>
      </c>
      <c r="U71" s="369">
        <f t="shared" si="2"/>
        <v>26585154.466419831</v>
      </c>
      <c r="V71" s="791"/>
      <c r="W71" s="369"/>
      <c r="X71" s="377">
        <v>27621329.57647486</v>
      </c>
      <c r="Y71" s="369"/>
      <c r="Z71" s="369"/>
      <c r="AA71" s="369"/>
      <c r="AB71" s="368"/>
      <c r="AC71" s="370">
        <f t="shared" si="55"/>
        <v>27621329.57647486</v>
      </c>
      <c r="AD71" s="368"/>
      <c r="AE71" s="369">
        <v>0</v>
      </c>
      <c r="AF71" s="369">
        <v>0</v>
      </c>
      <c r="AG71" s="377">
        <f>(SUMIF('FY26-FY28_PREPA Consolidated'!I:I,C71,'FY26-FY28_PREPA Consolidated'!DY:DY)*1000)-Y71</f>
        <v>0</v>
      </c>
      <c r="AH71" s="377">
        <f>((SUMIF('FY26-FY28_PREPA Consolidated'!I:I,C71,'FY26-FY28_PREPA Consolidated'!DU:DU)+SUMIF('FY26-FY28_PREPA Consolidated'!I:I,C71,'FY26-FY28_PREPA Consolidated'!DW:DW))*1000)-Z71</f>
        <v>0</v>
      </c>
      <c r="AI71" s="369">
        <v>0</v>
      </c>
      <c r="AJ71" s="368"/>
      <c r="AK71" s="369">
        <f t="shared" si="38"/>
        <v>0</v>
      </c>
      <c r="AL71" s="369">
        <f t="shared" si="56"/>
        <v>27621329.57647486</v>
      </c>
      <c r="AM71" s="368"/>
      <c r="AN71" s="369"/>
      <c r="AO71" s="377">
        <v>28697890.340863917</v>
      </c>
      <c r="AP71" s="369"/>
      <c r="AQ71" s="369"/>
      <c r="AR71" s="369"/>
      <c r="AS71" s="368"/>
      <c r="AT71" s="370">
        <f t="shared" si="57"/>
        <v>28697890.340863917</v>
      </c>
      <c r="AU71" s="368"/>
      <c r="AV71" s="369">
        <v>0</v>
      </c>
      <c r="AW71" s="369">
        <v>0</v>
      </c>
      <c r="AX71" s="1066">
        <f>(SUMIF('FY26-FY28_PREPA Consolidated'!I:I,C71,'FY26-FY28_PREPA Consolidated'!EI:EI)*1000)-AP71</f>
        <v>0</v>
      </c>
      <c r="AY71" s="1066">
        <f>((SUMIF('FY26-FY28_PREPA Consolidated'!I:I,C71,'FY26-FY28_PREPA Consolidated'!EE:EE)+SUMIF('FY26-FY28_PREPA Consolidated'!I:I,C71,'FY26-FY28_PREPA Consolidated'!EG:EG))*1000)-AQ71</f>
        <v>0</v>
      </c>
      <c r="AZ71" s="369">
        <v>0</v>
      </c>
      <c r="BA71" s="368"/>
      <c r="BB71" s="369">
        <f t="shared" si="58"/>
        <v>0</v>
      </c>
      <c r="BC71" s="368"/>
      <c r="BD71" s="369">
        <f t="shared" si="4"/>
        <v>28697890.340863917</v>
      </c>
    </row>
    <row r="72" spans="1:69">
      <c r="A72" s="91">
        <f>IF(C71&lt;&gt;"",MAX(A65:A71)+1,"")</f>
        <v>57</v>
      </c>
      <c r="C72" s="80" t="s">
        <v>331</v>
      </c>
      <c r="D72" s="80"/>
      <c r="F72" s="369"/>
      <c r="G72" s="369"/>
      <c r="H72" s="369"/>
      <c r="I72" s="369"/>
      <c r="J72" s="369"/>
      <c r="K72" s="368"/>
      <c r="L72" s="370">
        <f t="shared" si="54"/>
        <v>0</v>
      </c>
      <c r="M72" s="368"/>
      <c r="N72" s="369">
        <v>0</v>
      </c>
      <c r="O72" s="369">
        <v>0</v>
      </c>
      <c r="P72" s="369">
        <v>0</v>
      </c>
      <c r="Q72" s="369">
        <v>0</v>
      </c>
      <c r="R72" s="369">
        <v>0</v>
      </c>
      <c r="S72" s="368"/>
      <c r="T72" s="369">
        <f t="shared" si="1"/>
        <v>0</v>
      </c>
      <c r="U72" s="369">
        <f t="shared" si="2"/>
        <v>0</v>
      </c>
      <c r="V72" s="368"/>
      <c r="W72" s="369"/>
      <c r="X72" s="369"/>
      <c r="Y72" s="369"/>
      <c r="Z72" s="369"/>
      <c r="AA72" s="369"/>
      <c r="AB72" s="368"/>
      <c r="AC72" s="370">
        <f t="shared" si="55"/>
        <v>0</v>
      </c>
      <c r="AD72" s="368"/>
      <c r="AE72" s="369">
        <v>0</v>
      </c>
      <c r="AF72" s="369">
        <v>0</v>
      </c>
      <c r="AG72" s="377">
        <f>(SUMIF('FY26-FY28_PREPA Consolidated'!I:I,C72,'FY26-FY28_PREPA Consolidated'!DY:DY)*1000)-Y72</f>
        <v>0</v>
      </c>
      <c r="AH72" s="377">
        <f>((SUMIF('FY26-FY28_PREPA Consolidated'!I:I,C72,'FY26-FY28_PREPA Consolidated'!DU:DU)+SUMIF('FY26-FY28_PREPA Consolidated'!I:I,C72,'FY26-FY28_PREPA Consolidated'!DW:DW))*1000)-Z72</f>
        <v>0</v>
      </c>
      <c r="AI72" s="369">
        <v>0</v>
      </c>
      <c r="AJ72" s="368"/>
      <c r="AK72" s="369">
        <f t="shared" si="38"/>
        <v>0</v>
      </c>
      <c r="AL72" s="369">
        <f t="shared" si="56"/>
        <v>0</v>
      </c>
      <c r="AM72" s="368"/>
      <c r="AN72" s="369"/>
      <c r="AO72" s="369"/>
      <c r="AP72" s="369"/>
      <c r="AQ72" s="369"/>
      <c r="AR72" s="369"/>
      <c r="AS72" s="368"/>
      <c r="AT72" s="370">
        <f t="shared" si="57"/>
        <v>0</v>
      </c>
      <c r="AU72" s="368"/>
      <c r="AV72" s="369">
        <v>0</v>
      </c>
      <c r="AW72" s="369">
        <v>0</v>
      </c>
      <c r="AX72" s="1066">
        <f>(SUMIF('FY26-FY28_PREPA Consolidated'!I:I,C72,'FY26-FY28_PREPA Consolidated'!EI:EI)*1000)-AP72</f>
        <v>0</v>
      </c>
      <c r="AY72" s="1066">
        <f>((SUMIF('FY26-FY28_PREPA Consolidated'!I:I,C72,'FY26-FY28_PREPA Consolidated'!EE:EE)+SUMIF('FY26-FY28_PREPA Consolidated'!I:I,C72,'FY26-FY28_PREPA Consolidated'!EG:EG))*1000)-AQ72</f>
        <v>0</v>
      </c>
      <c r="AZ72" s="369">
        <v>0</v>
      </c>
      <c r="BA72" s="368"/>
      <c r="BB72" s="369">
        <f t="shared" si="58"/>
        <v>0</v>
      </c>
      <c r="BC72" s="368"/>
      <c r="BD72" s="369">
        <f t="shared" si="4"/>
        <v>0</v>
      </c>
    </row>
    <row r="73" spans="1:69">
      <c r="A73" s="91">
        <f>IF(C72&lt;&gt;"",MAX(A64:A72)+1,"")</f>
        <v>58</v>
      </c>
      <c r="C73" s="792" t="s">
        <v>332</v>
      </c>
      <c r="D73" s="874"/>
      <c r="E73" s="2"/>
      <c r="F73" s="779">
        <f>SUM(F63:F72)</f>
        <v>129957434.58060001</v>
      </c>
      <c r="G73" s="779">
        <f>SUM(G63:G72)</f>
        <v>26585154.466419831</v>
      </c>
      <c r="H73" s="779">
        <f>SUM(H63:H72)</f>
        <v>0</v>
      </c>
      <c r="I73" s="779">
        <f>SUM(I63:I72)</f>
        <v>0</v>
      </c>
      <c r="J73" s="779">
        <f>SUM(J63:J72)</f>
        <v>283499914.74620473</v>
      </c>
      <c r="K73" s="764"/>
      <c r="L73" s="875">
        <f t="shared" ref="L73" si="65">SUM(L63:L72)</f>
        <v>440042503.79322451</v>
      </c>
      <c r="M73" s="764"/>
      <c r="N73" s="779">
        <f>SUM(N63:N72)</f>
        <v>0</v>
      </c>
      <c r="O73" s="779">
        <f t="shared" ref="O73:R73" si="66">SUM(O63:O72)</f>
        <v>30000000</v>
      </c>
      <c r="P73" s="779">
        <f t="shared" si="66"/>
        <v>0</v>
      </c>
      <c r="Q73" s="779">
        <f t="shared" si="66"/>
        <v>317975422</v>
      </c>
      <c r="R73" s="779">
        <f t="shared" si="66"/>
        <v>0</v>
      </c>
      <c r="S73" s="764"/>
      <c r="T73" s="779">
        <f t="shared" si="1"/>
        <v>347975422</v>
      </c>
      <c r="U73" s="779">
        <f t="shared" si="2"/>
        <v>788017925.79322457</v>
      </c>
      <c r="V73" s="791"/>
      <c r="W73" s="779">
        <f>SUM(W63:W72)</f>
        <v>129532870.764</v>
      </c>
      <c r="X73" s="779">
        <f>SUM(X63:X72)</f>
        <v>27621329.57647486</v>
      </c>
      <c r="Y73" s="779">
        <f t="shared" ref="Y73:AA73" si="67">SUM(Y63:Y72)</f>
        <v>0</v>
      </c>
      <c r="Z73" s="779">
        <f t="shared" si="67"/>
        <v>0</v>
      </c>
      <c r="AA73" s="779">
        <f t="shared" si="67"/>
        <v>252896002.87520617</v>
      </c>
      <c r="AB73" s="764"/>
      <c r="AC73" s="875">
        <f t="shared" ref="AC73" si="68">SUM(AC63:AC72)</f>
        <v>410050203.21568102</v>
      </c>
      <c r="AD73" s="764"/>
      <c r="AE73" s="779">
        <f>SUM(AE63:AE72)</f>
        <v>0</v>
      </c>
      <c r="AF73" s="779">
        <f t="shared" ref="AF73:AI73" si="69">SUM(AF63:AF72)</f>
        <v>30000000</v>
      </c>
      <c r="AG73" s="779">
        <f t="shared" ref="AG73:AH73" si="70">SUM(AG63:AG72)</f>
        <v>0</v>
      </c>
      <c r="AH73" s="779">
        <f t="shared" si="70"/>
        <v>298658580.63999999</v>
      </c>
      <c r="AI73" s="779">
        <f t="shared" si="69"/>
        <v>0</v>
      </c>
      <c r="AJ73" s="764"/>
      <c r="AK73" s="779">
        <f t="shared" si="38"/>
        <v>328658580.63999999</v>
      </c>
      <c r="AL73" s="779">
        <f t="shared" si="56"/>
        <v>738708783.85568094</v>
      </c>
      <c r="AM73" s="368"/>
      <c r="AN73" s="779">
        <f>SUM(AN63:AN72)</f>
        <v>125148055.9329</v>
      </c>
      <c r="AO73" s="779">
        <f>SUM(AO63:AO72)</f>
        <v>28697890.340863917</v>
      </c>
      <c r="AP73" s="779">
        <f t="shared" ref="AP73:AR73" si="71">SUM(AP63:AP72)</f>
        <v>0</v>
      </c>
      <c r="AQ73" s="779">
        <f t="shared" si="71"/>
        <v>0</v>
      </c>
      <c r="AR73" s="779">
        <f t="shared" si="71"/>
        <v>170314752.20894882</v>
      </c>
      <c r="AS73" s="764"/>
      <c r="AT73" s="875">
        <f t="shared" ref="AT73" si="72">SUM(AT63:AT72)</f>
        <v>324160698.48271275</v>
      </c>
      <c r="AU73" s="764"/>
      <c r="AV73" s="779">
        <f>SUM(AV63:AV72)</f>
        <v>0</v>
      </c>
      <c r="AW73" s="779">
        <f t="shared" ref="AW73:AZ73" si="73">SUM(AW63:AW72)</f>
        <v>30000000</v>
      </c>
      <c r="AX73" s="779">
        <f t="shared" ref="AX73:AY73" si="74">SUM(AX63:AX72)</f>
        <v>0</v>
      </c>
      <c r="AY73" s="779">
        <f t="shared" si="74"/>
        <v>298438608</v>
      </c>
      <c r="AZ73" s="779">
        <f t="shared" si="73"/>
        <v>0</v>
      </c>
      <c r="BA73" s="764"/>
      <c r="BB73" s="779">
        <f t="shared" si="58"/>
        <v>328438608</v>
      </c>
      <c r="BC73" s="764"/>
      <c r="BD73" s="780">
        <f t="shared" si="4"/>
        <v>652599306.48271275</v>
      </c>
    </row>
    <row r="74" spans="1:69">
      <c r="A74" s="91"/>
      <c r="C74" s="361"/>
      <c r="D74" s="361"/>
      <c r="F74" s="653"/>
      <c r="G74" s="653"/>
      <c r="H74" s="653"/>
      <c r="I74" s="653"/>
      <c r="J74" s="653"/>
      <c r="K74" s="368"/>
      <c r="L74" s="877"/>
      <c r="M74" s="368"/>
      <c r="N74" s="653"/>
      <c r="O74" s="653"/>
      <c r="P74" s="653"/>
      <c r="Q74" s="653"/>
      <c r="R74" s="653"/>
      <c r="S74" s="368"/>
      <c r="T74" s="653"/>
      <c r="U74" s="653"/>
      <c r="V74" s="368"/>
      <c r="W74" s="653"/>
      <c r="X74" s="653"/>
      <c r="Y74" s="653"/>
      <c r="Z74" s="653"/>
      <c r="AA74" s="653"/>
      <c r="AB74" s="368"/>
      <c r="AC74" s="877"/>
      <c r="AD74" s="368"/>
      <c r="AE74" s="653"/>
      <c r="AF74" s="653"/>
      <c r="AG74" s="653"/>
      <c r="AH74" s="653"/>
      <c r="AI74" s="653"/>
      <c r="AJ74" s="368"/>
      <c r="AK74" s="653"/>
      <c r="AL74" s="653"/>
      <c r="AM74" s="368"/>
      <c r="AN74" s="653"/>
      <c r="AO74" s="653"/>
      <c r="AP74" s="653"/>
      <c r="AQ74" s="653"/>
      <c r="AR74" s="653"/>
      <c r="AS74" s="368"/>
      <c r="AT74" s="877"/>
      <c r="AU74" s="368"/>
      <c r="AV74" s="653"/>
      <c r="AW74" s="653"/>
      <c r="AX74" s="653"/>
      <c r="AY74" s="653"/>
      <c r="AZ74" s="653"/>
      <c r="BA74" s="368"/>
      <c r="BB74" s="653"/>
      <c r="BC74" s="368"/>
      <c r="BD74" s="653"/>
    </row>
    <row r="75" spans="1:69">
      <c r="A75" s="91">
        <f>IF(C73&lt;&gt;"",MAX(A66:A73)+1,"")</f>
        <v>59</v>
      </c>
      <c r="C75" s="361" t="s">
        <v>333</v>
      </c>
      <c r="D75" s="361"/>
      <c r="E75" s="2"/>
      <c r="F75" s="653"/>
      <c r="G75" s="653"/>
      <c r="H75" s="653"/>
      <c r="I75" s="653"/>
      <c r="J75" s="653"/>
      <c r="K75" s="653"/>
      <c r="L75" s="877"/>
      <c r="M75" s="653"/>
      <c r="N75" s="653"/>
      <c r="O75" s="653"/>
      <c r="P75" s="653"/>
      <c r="Q75" s="653"/>
      <c r="R75" s="653"/>
      <c r="S75" s="653"/>
      <c r="T75" s="653"/>
      <c r="U75" s="653"/>
      <c r="V75" s="791"/>
      <c r="W75" s="653"/>
      <c r="X75" s="653"/>
      <c r="Y75" s="653"/>
      <c r="Z75" s="653"/>
      <c r="AA75" s="653"/>
      <c r="AB75" s="653"/>
      <c r="AC75" s="877"/>
      <c r="AD75" s="653"/>
      <c r="AE75" s="653"/>
      <c r="AF75" s="653"/>
      <c r="AG75" s="653"/>
      <c r="AH75" s="653"/>
      <c r="AI75" s="653"/>
      <c r="AJ75" s="653"/>
      <c r="AK75" s="653"/>
      <c r="AL75" s="653"/>
      <c r="AM75" s="368"/>
      <c r="AN75" s="653"/>
      <c r="AO75" s="653"/>
      <c r="AP75" s="653"/>
      <c r="AQ75" s="653"/>
      <c r="AR75" s="653"/>
      <c r="AS75" s="653"/>
      <c r="AT75" s="877"/>
      <c r="AU75" s="653"/>
      <c r="AV75" s="653"/>
      <c r="AW75" s="653"/>
      <c r="AX75" s="653"/>
      <c r="AY75" s="653"/>
      <c r="AZ75" s="653"/>
      <c r="BA75" s="653"/>
      <c r="BB75" s="653"/>
      <c r="BC75" s="653"/>
      <c r="BD75" s="653"/>
    </row>
    <row r="76" spans="1:69">
      <c r="A76" s="91">
        <f>IF(C75&lt;&gt;"",MAX(A73:A75)+1,"")</f>
        <v>60</v>
      </c>
      <c r="C76" s="80" t="s">
        <v>264</v>
      </c>
      <c r="D76" s="80"/>
      <c r="F76" s="369"/>
      <c r="G76" s="369"/>
      <c r="H76" s="369"/>
      <c r="I76" s="369"/>
      <c r="J76" s="369">
        <f>SUM('D-1-Constrained'!I5,'D-1-Constrained'!I38,'D-1-Constrained'!I44,'D-1-Constrained'!I51,'D-1-Constrained'!I56,'D-1-Constrained'!I62,'D-1-Constrained'!I76)</f>
        <v>398491969.89231253</v>
      </c>
      <c r="K76" s="368"/>
      <c r="L76" s="370">
        <f t="shared" ref="L76:L82" si="75">SUM(F76:J76)</f>
        <v>398491969.89231253</v>
      </c>
      <c r="M76" s="368"/>
      <c r="N76" s="369">
        <v>0</v>
      </c>
      <c r="O76" s="369">
        <v>0</v>
      </c>
      <c r="P76" s="369">
        <v>0</v>
      </c>
      <c r="Q76" s="369">
        <v>0</v>
      </c>
      <c r="R76" s="369">
        <v>0</v>
      </c>
      <c r="S76" s="368"/>
      <c r="T76" s="369">
        <f t="shared" ref="T76:T87" si="76">+SUM(N76:R76)</f>
        <v>0</v>
      </c>
      <c r="U76" s="369">
        <f t="shared" ref="U76:U87" si="77">+T76+L76</f>
        <v>398491969.89231253</v>
      </c>
      <c r="V76" s="368"/>
      <c r="W76" s="369"/>
      <c r="X76" s="369"/>
      <c r="Y76" s="369"/>
      <c r="Z76" s="369"/>
      <c r="AA76" s="369">
        <f>SUM('D-1-Constrained'!M5,'D-1-Constrained'!M38,'D-1-Constrained'!M44,'D-1-Constrained'!M51,'D-1-Constrained'!M56,'D-1-Constrained'!M62,'D-1-Constrained'!M76)</f>
        <v>504193504.97402614</v>
      </c>
      <c r="AB76" s="368"/>
      <c r="AC76" s="370">
        <f t="shared" ref="AC76:AC82" si="78">SUM(W76:AA76)</f>
        <v>504193504.97402614</v>
      </c>
      <c r="AD76" s="368"/>
      <c r="AE76" s="369">
        <v>0</v>
      </c>
      <c r="AF76" s="369">
        <v>0</v>
      </c>
      <c r="AG76" s="369">
        <v>0</v>
      </c>
      <c r="AH76" s="369">
        <v>0</v>
      </c>
      <c r="AI76" s="1158">
        <f>-165935+'LUMA’s Updates to RR'!F29+'LUMA’s Updates to RR'!F33</f>
        <v>1828456</v>
      </c>
      <c r="AJ76" s="368"/>
      <c r="AK76" s="369">
        <f t="shared" ref="AK76:AK83" si="79">+SUM(AE76:AI76)</f>
        <v>1828456</v>
      </c>
      <c r="AL76" s="369">
        <f t="shared" ref="AL76:AL83" si="80">AC76+AK76</f>
        <v>506021960.97402614</v>
      </c>
      <c r="AM76" s="368"/>
      <c r="AN76" s="369"/>
      <c r="AO76" s="369"/>
      <c r="AP76" s="369"/>
      <c r="AQ76" s="369"/>
      <c r="AR76" s="369">
        <f>SUM('D-1-Constrained'!Q5,'D-1-Constrained'!Q38,'D-1-Constrained'!Q44,'D-1-Constrained'!Q51,'D-1-Constrained'!Q56,'D-1-Constrained'!Q62,'D-1-Constrained'!Q76)</f>
        <v>603888906.12142634</v>
      </c>
      <c r="AS76" s="368"/>
      <c r="AT76" s="370">
        <f t="shared" ref="AT76:AT82" si="81">SUM(AN76:AR76)</f>
        <v>603888906.12142634</v>
      </c>
      <c r="AU76" s="368"/>
      <c r="AV76" s="369">
        <v>0</v>
      </c>
      <c r="AW76" s="369">
        <v>0</v>
      </c>
      <c r="AX76" s="369">
        <v>0</v>
      </c>
      <c r="AY76" s="369">
        <v>0</v>
      </c>
      <c r="AZ76" s="1158">
        <f>-172575+'LUMA’s Updates to RR'!F31+'LUMA’s Updates to RR'!F35</f>
        <v>1922604</v>
      </c>
      <c r="BA76" s="368"/>
      <c r="BB76" s="369">
        <f t="shared" ref="BB76:BB83" si="82">+SUM(AV76:AZ76)</f>
        <v>1922604</v>
      </c>
      <c r="BC76" s="368"/>
      <c r="BD76" s="369">
        <f t="shared" ref="BD76:BD87" si="83">+BB76+AT76</f>
        <v>605811510.12142634</v>
      </c>
    </row>
    <row r="77" spans="1:69">
      <c r="A77" s="91">
        <f>IF(C76&lt;&gt;"",MAX(A75:A76)+1,"")</f>
        <v>61</v>
      </c>
      <c r="C77" s="80" t="s">
        <v>248</v>
      </c>
      <c r="D77" s="80"/>
      <c r="E77" s="2"/>
      <c r="F77" s="369"/>
      <c r="G77" s="377">
        <f>'D-1-Constrained'!I17</f>
        <v>209276668</v>
      </c>
      <c r="H77" s="369"/>
      <c r="I77" s="369"/>
      <c r="J77" s="369"/>
      <c r="K77" s="368"/>
      <c r="L77" s="370">
        <f t="shared" si="75"/>
        <v>209276668</v>
      </c>
      <c r="M77" s="368"/>
      <c r="N77" s="369">
        <v>0</v>
      </c>
      <c r="O77" s="1159">
        <f>-SUM('Genera - Updates'!E8:E19)</f>
        <v>-50330000</v>
      </c>
      <c r="P77" s="369">
        <v>0</v>
      </c>
      <c r="Q77" s="369">
        <v>0</v>
      </c>
      <c r="R77" s="369">
        <v>0</v>
      </c>
      <c r="S77" s="368"/>
      <c r="T77" s="369">
        <f t="shared" si="76"/>
        <v>-50330000</v>
      </c>
      <c r="U77" s="369">
        <f t="shared" si="77"/>
        <v>158946668</v>
      </c>
      <c r="V77" s="791"/>
      <c r="W77" s="369"/>
      <c r="X77" s="377">
        <f>'D-1-Constrained'!M17</f>
        <v>179961323.27000001</v>
      </c>
      <c r="Y77" s="369"/>
      <c r="Z77" s="369"/>
      <c r="AA77" s="369"/>
      <c r="AB77" s="368"/>
      <c r="AC77" s="370">
        <f t="shared" si="78"/>
        <v>179961323.27000001</v>
      </c>
      <c r="AD77" s="368"/>
      <c r="AE77" s="369">
        <v>0</v>
      </c>
      <c r="AF77" s="1159">
        <f>-SUM('Genera - Updates'!F8:F19)</f>
        <v>-14205000</v>
      </c>
      <c r="AG77" s="369">
        <v>0</v>
      </c>
      <c r="AH77" s="369">
        <v>0</v>
      </c>
      <c r="AI77" s="369">
        <v>0</v>
      </c>
      <c r="AJ77" s="368"/>
      <c r="AK77" s="369">
        <f t="shared" si="79"/>
        <v>-14205000</v>
      </c>
      <c r="AL77" s="369">
        <f t="shared" si="80"/>
        <v>165756323.27000001</v>
      </c>
      <c r="AM77" s="368"/>
      <c r="AN77" s="369"/>
      <c r="AO77" s="377">
        <f>'D-1-Constrained'!Q17</f>
        <v>180358438</v>
      </c>
      <c r="AP77" s="369"/>
      <c r="AQ77" s="369"/>
      <c r="AR77" s="369"/>
      <c r="AS77" s="368"/>
      <c r="AT77" s="370">
        <f t="shared" si="81"/>
        <v>180358438</v>
      </c>
      <c r="AU77" s="368"/>
      <c r="AV77" s="369">
        <v>0</v>
      </c>
      <c r="AW77" s="1159">
        <f>-SUM('Genera - Updates'!G8:G19)</f>
        <v>-19248892</v>
      </c>
      <c r="AX77" s="369">
        <v>0</v>
      </c>
      <c r="AY77" s="369">
        <v>0</v>
      </c>
      <c r="AZ77" s="369">
        <v>0</v>
      </c>
      <c r="BA77" s="368"/>
      <c r="BB77" s="369">
        <f t="shared" si="82"/>
        <v>-19248892</v>
      </c>
      <c r="BC77" s="368"/>
      <c r="BD77" s="369">
        <f t="shared" si="83"/>
        <v>161109546</v>
      </c>
    </row>
    <row r="78" spans="1:69">
      <c r="A78" s="91">
        <f>IF(C77&lt;&gt;"",MAX(A76:A77)+1,"")</f>
        <v>62</v>
      </c>
      <c r="C78" s="80" t="s">
        <v>253</v>
      </c>
      <c r="D78" s="80"/>
      <c r="F78" s="369"/>
      <c r="G78" s="369"/>
      <c r="H78" s="369">
        <f>'D-1-Constrained'!I35</f>
        <v>1234000</v>
      </c>
      <c r="I78" s="369"/>
      <c r="J78" s="369"/>
      <c r="K78" s="368"/>
      <c r="L78" s="370">
        <f t="shared" si="75"/>
        <v>1234000</v>
      </c>
      <c r="M78" s="368"/>
      <c r="N78" s="369">
        <v>0</v>
      </c>
      <c r="O78" s="369">
        <v>0</v>
      </c>
      <c r="P78" s="369">
        <f>('FY26-FY28_PREPA Consolidated'!DL33*1000)-H78</f>
        <v>7148150.2600000007</v>
      </c>
      <c r="Q78" s="369">
        <v>0</v>
      </c>
      <c r="R78" s="369">
        <v>0</v>
      </c>
      <c r="S78" s="368"/>
      <c r="T78" s="369">
        <f t="shared" si="76"/>
        <v>7148150.2600000007</v>
      </c>
      <c r="U78" s="369">
        <f t="shared" si="77"/>
        <v>8382150.2600000007</v>
      </c>
      <c r="V78" s="368"/>
      <c r="W78" s="369"/>
      <c r="X78" s="369"/>
      <c r="Y78" s="369">
        <f>'D-1-Constrained'!M35</f>
        <v>1295700</v>
      </c>
      <c r="Z78" s="369"/>
      <c r="AA78" s="369"/>
      <c r="AB78" s="368"/>
      <c r="AC78" s="370">
        <f t="shared" si="78"/>
        <v>1295700</v>
      </c>
      <c r="AD78" s="368"/>
      <c r="AE78" s="369">
        <v>0</v>
      </c>
      <c r="AF78" s="369">
        <v>0</v>
      </c>
      <c r="AG78" s="369">
        <f>('FY26-FY28_PREPA Consolidated'!DY33*1000)-Y78</f>
        <v>4673460</v>
      </c>
      <c r="AH78" s="369">
        <v>0</v>
      </c>
      <c r="AI78" s="369">
        <v>0</v>
      </c>
      <c r="AJ78" s="368"/>
      <c r="AK78" s="369">
        <f t="shared" si="79"/>
        <v>4673460</v>
      </c>
      <c r="AL78" s="369">
        <f t="shared" si="80"/>
        <v>5969160</v>
      </c>
      <c r="AM78" s="368"/>
      <c r="AN78" s="369"/>
      <c r="AO78" s="369"/>
      <c r="AP78" s="369">
        <f>'D-1-Constrained'!Q35</f>
        <v>1360485</v>
      </c>
      <c r="AQ78" s="369"/>
      <c r="AR78" s="369"/>
      <c r="AS78" s="368"/>
      <c r="AT78" s="370">
        <f t="shared" si="81"/>
        <v>1360485</v>
      </c>
      <c r="AU78" s="368"/>
      <c r="AV78" s="369">
        <v>0</v>
      </c>
      <c r="AW78" s="369">
        <v>0</v>
      </c>
      <c r="AX78" s="369">
        <f>('FY26-FY28_PREPA Consolidated'!EI33*1000)-AP78</f>
        <v>4406675</v>
      </c>
      <c r="AY78" s="369">
        <v>0</v>
      </c>
      <c r="AZ78" s="369">
        <v>0</v>
      </c>
      <c r="BA78" s="368"/>
      <c r="BB78" s="369">
        <f t="shared" si="82"/>
        <v>4406675</v>
      </c>
      <c r="BC78" s="368"/>
      <c r="BD78" s="369">
        <f t="shared" si="83"/>
        <v>5767160</v>
      </c>
    </row>
    <row r="79" spans="1:69">
      <c r="A79" s="91">
        <f>IF(C78&lt;&gt;"",MAX(A76:A78)+1,"")</f>
        <v>63</v>
      </c>
      <c r="C79" s="80" t="s">
        <v>258</v>
      </c>
      <c r="D79" s="80"/>
      <c r="E79" s="2"/>
      <c r="F79" s="369"/>
      <c r="G79" s="369"/>
      <c r="H79" s="369"/>
      <c r="I79" s="369">
        <f>'D-1-Constrained'!I89</f>
        <v>29274848.571428571</v>
      </c>
      <c r="J79" s="369"/>
      <c r="K79" s="368"/>
      <c r="L79" s="370">
        <f t="shared" si="75"/>
        <v>29274848.571428571</v>
      </c>
      <c r="M79" s="368"/>
      <c r="N79" s="369">
        <v>0</v>
      </c>
      <c r="O79" s="369">
        <v>0</v>
      </c>
      <c r="P79" s="369">
        <v>0</v>
      </c>
      <c r="Q79" s="369">
        <f>('FY26-FY28_PREPA Consolidated'!BT33*1000)-I79</f>
        <v>-27209848.571428571</v>
      </c>
      <c r="R79" s="369">
        <v>0</v>
      </c>
      <c r="S79" s="368"/>
      <c r="T79" s="369">
        <f t="shared" si="76"/>
        <v>-27209848.571428571</v>
      </c>
      <c r="U79" s="369">
        <f t="shared" si="77"/>
        <v>2065000</v>
      </c>
      <c r="V79" s="791"/>
      <c r="W79" s="369"/>
      <c r="X79" s="369"/>
      <c r="Y79" s="369"/>
      <c r="Z79" s="369">
        <f>'D-1-Constrained'!M89</f>
        <v>28220825.714285716</v>
      </c>
      <c r="AA79" s="369"/>
      <c r="AB79" s="368"/>
      <c r="AC79" s="370">
        <f t="shared" si="78"/>
        <v>28220825.714285716</v>
      </c>
      <c r="AD79" s="368"/>
      <c r="AE79" s="369">
        <v>0</v>
      </c>
      <c r="AF79" s="369">
        <v>0</v>
      </c>
      <c r="AG79" s="369">
        <v>0</v>
      </c>
      <c r="AH79" s="369">
        <f>('FY26-FY28_PREPA Consolidated'!DU33*1000)-Z79</f>
        <v>-27450825.714285716</v>
      </c>
      <c r="AI79" s="369">
        <v>0</v>
      </c>
      <c r="AJ79" s="368"/>
      <c r="AK79" s="369">
        <f t="shared" si="79"/>
        <v>-27450825.714285716</v>
      </c>
      <c r="AL79" s="369">
        <f t="shared" si="80"/>
        <v>770000</v>
      </c>
      <c r="AM79" s="368"/>
      <c r="AN79" s="369"/>
      <c r="AO79" s="369"/>
      <c r="AP79" s="369"/>
      <c r="AQ79" s="369">
        <f>'D-1-Constrained'!Q90</f>
        <v>29221358.942857146</v>
      </c>
      <c r="AR79" s="369"/>
      <c r="AS79" s="368"/>
      <c r="AT79" s="370">
        <f t="shared" si="81"/>
        <v>29221358.942857146</v>
      </c>
      <c r="AU79" s="368"/>
      <c r="AV79" s="369">
        <v>0</v>
      </c>
      <c r="AW79" s="369">
        <v>0</v>
      </c>
      <c r="AX79" s="369">
        <v>0</v>
      </c>
      <c r="AY79" s="369">
        <f>('FY26-FY28_PREPA Consolidated'!EE33*1000)-AQ79</f>
        <v>-28951358.942857146</v>
      </c>
      <c r="AZ79" s="369">
        <v>0</v>
      </c>
      <c r="BA79" s="368"/>
      <c r="BB79" s="369">
        <f t="shared" si="82"/>
        <v>-28951358.942857146</v>
      </c>
      <c r="BC79" s="368"/>
      <c r="BD79" s="369">
        <f t="shared" si="83"/>
        <v>270000</v>
      </c>
    </row>
    <row r="80" spans="1:69">
      <c r="A80" s="91">
        <f>IF(C79&lt;&gt;"",MAX(A77:A79)+1,"")</f>
        <v>64</v>
      </c>
      <c r="C80" s="80" t="s">
        <v>335</v>
      </c>
      <c r="D80" s="80"/>
      <c r="F80" s="369"/>
      <c r="G80" s="369"/>
      <c r="H80" s="369"/>
      <c r="I80" s="369"/>
      <c r="J80" s="369"/>
      <c r="K80" s="368"/>
      <c r="L80" s="370">
        <f t="shared" si="75"/>
        <v>0</v>
      </c>
      <c r="M80" s="368"/>
      <c r="N80" s="369">
        <v>0</v>
      </c>
      <c r="O80" s="369">
        <v>0</v>
      </c>
      <c r="P80" s="369">
        <v>0</v>
      </c>
      <c r="Q80" s="369">
        <v>0</v>
      </c>
      <c r="R80" s="369">
        <v>0</v>
      </c>
      <c r="S80" s="368"/>
      <c r="T80" s="369">
        <f t="shared" si="76"/>
        <v>0</v>
      </c>
      <c r="U80" s="369">
        <f t="shared" si="77"/>
        <v>0</v>
      </c>
      <c r="V80" s="368"/>
      <c r="W80" s="369"/>
      <c r="X80" s="369"/>
      <c r="Y80" s="369"/>
      <c r="Z80" s="369"/>
      <c r="AA80" s="369"/>
      <c r="AB80" s="368"/>
      <c r="AC80" s="370">
        <f t="shared" si="78"/>
        <v>0</v>
      </c>
      <c r="AD80" s="368"/>
      <c r="AE80" s="369">
        <v>0</v>
      </c>
      <c r="AF80" s="369">
        <v>0</v>
      </c>
      <c r="AG80" s="369">
        <v>0</v>
      </c>
      <c r="AH80" s="369">
        <v>0</v>
      </c>
      <c r="AI80" s="369">
        <v>0</v>
      </c>
      <c r="AJ80" s="368"/>
      <c r="AK80" s="369">
        <f t="shared" si="79"/>
        <v>0</v>
      </c>
      <c r="AL80" s="369">
        <f t="shared" si="80"/>
        <v>0</v>
      </c>
      <c r="AM80" s="368"/>
      <c r="AN80" s="369"/>
      <c r="AO80" s="369"/>
      <c r="AP80" s="369"/>
      <c r="AQ80" s="369"/>
      <c r="AR80" s="369"/>
      <c r="AS80" s="368"/>
      <c r="AT80" s="370">
        <f t="shared" si="81"/>
        <v>0</v>
      </c>
      <c r="AU80" s="368"/>
      <c r="AV80" s="369">
        <v>0</v>
      </c>
      <c r="AW80" s="369">
        <v>0</v>
      </c>
      <c r="AX80" s="369">
        <v>0</v>
      </c>
      <c r="AY80" s="369">
        <v>0</v>
      </c>
      <c r="AZ80" s="369">
        <v>0</v>
      </c>
      <c r="BA80" s="368"/>
      <c r="BB80" s="369">
        <f t="shared" si="82"/>
        <v>0</v>
      </c>
      <c r="BC80" s="368"/>
      <c r="BD80" s="369">
        <f t="shared" si="83"/>
        <v>0</v>
      </c>
    </row>
    <row r="81" spans="1:56">
      <c r="A81" s="91">
        <f>IF(C80&lt;&gt;"",MAX(A78:A80)+1,"")</f>
        <v>65</v>
      </c>
      <c r="C81" s="80" t="s">
        <v>336</v>
      </c>
      <c r="D81" s="80"/>
      <c r="E81" s="2"/>
      <c r="F81" s="369"/>
      <c r="G81" s="369"/>
      <c r="H81" s="369"/>
      <c r="I81" s="369"/>
      <c r="J81" s="369"/>
      <c r="K81" s="368"/>
      <c r="L81" s="370">
        <f t="shared" si="75"/>
        <v>0</v>
      </c>
      <c r="M81" s="368"/>
      <c r="N81" s="369">
        <v>0</v>
      </c>
      <c r="O81" s="369">
        <v>0</v>
      </c>
      <c r="P81" s="369">
        <v>0</v>
      </c>
      <c r="Q81" s="369">
        <v>0</v>
      </c>
      <c r="R81" s="369">
        <v>0</v>
      </c>
      <c r="S81" s="368"/>
      <c r="T81" s="369">
        <f t="shared" si="76"/>
        <v>0</v>
      </c>
      <c r="U81" s="369">
        <f t="shared" si="77"/>
        <v>0</v>
      </c>
      <c r="V81" s="791"/>
      <c r="W81" s="369"/>
      <c r="X81" s="369"/>
      <c r="Y81" s="369"/>
      <c r="Z81" s="369"/>
      <c r="AA81" s="369"/>
      <c r="AB81" s="368"/>
      <c r="AC81" s="370">
        <f t="shared" si="78"/>
        <v>0</v>
      </c>
      <c r="AD81" s="368"/>
      <c r="AE81" s="369">
        <v>0</v>
      </c>
      <c r="AF81" s="369">
        <v>0</v>
      </c>
      <c r="AG81" s="369">
        <v>0</v>
      </c>
      <c r="AH81" s="369">
        <v>0</v>
      </c>
      <c r="AI81" s="369">
        <v>0</v>
      </c>
      <c r="AJ81" s="368"/>
      <c r="AK81" s="369">
        <f t="shared" si="79"/>
        <v>0</v>
      </c>
      <c r="AL81" s="369">
        <f t="shared" si="80"/>
        <v>0</v>
      </c>
      <c r="AM81" s="368"/>
      <c r="AN81" s="369"/>
      <c r="AO81" s="369"/>
      <c r="AP81" s="369"/>
      <c r="AQ81" s="369"/>
      <c r="AR81" s="369"/>
      <c r="AS81" s="368"/>
      <c r="AT81" s="370">
        <f t="shared" si="81"/>
        <v>0</v>
      </c>
      <c r="AU81" s="368"/>
      <c r="AV81" s="369">
        <v>0</v>
      </c>
      <c r="AW81" s="369">
        <v>0</v>
      </c>
      <c r="AX81" s="369">
        <v>0</v>
      </c>
      <c r="AY81" s="369">
        <v>0</v>
      </c>
      <c r="AZ81" s="369">
        <v>0</v>
      </c>
      <c r="BA81" s="368"/>
      <c r="BB81" s="369">
        <f t="shared" si="82"/>
        <v>0</v>
      </c>
      <c r="BC81" s="368"/>
      <c r="BD81" s="369">
        <f t="shared" si="83"/>
        <v>0</v>
      </c>
    </row>
    <row r="82" spans="1:56">
      <c r="A82" s="91">
        <f>IF(C81&lt;&gt;"",MAX(A79:A81)+1,"")</f>
        <v>66</v>
      </c>
      <c r="C82" s="80" t="s">
        <v>337</v>
      </c>
      <c r="D82" s="80"/>
      <c r="F82" s="369"/>
      <c r="G82" s="377"/>
      <c r="H82" s="369"/>
      <c r="I82" s="369"/>
      <c r="J82" s="369"/>
      <c r="K82" s="368"/>
      <c r="L82" s="370">
        <f t="shared" si="75"/>
        <v>0</v>
      </c>
      <c r="M82" s="368"/>
      <c r="N82" s="369">
        <v>0</v>
      </c>
      <c r="O82" s="369">
        <v>0</v>
      </c>
      <c r="P82" s="369">
        <v>0</v>
      </c>
      <c r="Q82" s="369">
        <v>0</v>
      </c>
      <c r="R82" s="369">
        <v>0</v>
      </c>
      <c r="S82" s="368"/>
      <c r="T82" s="369">
        <f t="shared" si="76"/>
        <v>0</v>
      </c>
      <c r="U82" s="369">
        <f t="shared" si="77"/>
        <v>0</v>
      </c>
      <c r="V82" s="368"/>
      <c r="W82" s="369"/>
      <c r="X82" s="369"/>
      <c r="Y82" s="369"/>
      <c r="Z82" s="369"/>
      <c r="AA82" s="369"/>
      <c r="AB82" s="368"/>
      <c r="AC82" s="370">
        <f t="shared" si="78"/>
        <v>0</v>
      </c>
      <c r="AD82" s="368"/>
      <c r="AE82" s="369">
        <v>0</v>
      </c>
      <c r="AF82" s="369">
        <v>0</v>
      </c>
      <c r="AG82" s="369">
        <v>0</v>
      </c>
      <c r="AH82" s="369">
        <v>0</v>
      </c>
      <c r="AI82" s="369">
        <v>0</v>
      </c>
      <c r="AJ82" s="368"/>
      <c r="AK82" s="369">
        <f t="shared" si="79"/>
        <v>0</v>
      </c>
      <c r="AL82" s="369">
        <f t="shared" si="80"/>
        <v>0</v>
      </c>
      <c r="AM82" s="368"/>
      <c r="AN82" s="369"/>
      <c r="AO82" s="369"/>
      <c r="AP82" s="369"/>
      <c r="AQ82" s="369"/>
      <c r="AR82" s="369"/>
      <c r="AS82" s="368"/>
      <c r="AT82" s="370">
        <f t="shared" si="81"/>
        <v>0</v>
      </c>
      <c r="AU82" s="368"/>
      <c r="AV82" s="369">
        <v>0</v>
      </c>
      <c r="AW82" s="369">
        <v>0</v>
      </c>
      <c r="AX82" s="369">
        <v>0</v>
      </c>
      <c r="AY82" s="369">
        <v>0</v>
      </c>
      <c r="AZ82" s="369">
        <v>0</v>
      </c>
      <c r="BA82" s="368"/>
      <c r="BB82" s="369">
        <f t="shared" si="82"/>
        <v>0</v>
      </c>
      <c r="BC82" s="368"/>
      <c r="BD82" s="369">
        <f t="shared" si="83"/>
        <v>0</v>
      </c>
    </row>
    <row r="83" spans="1:56">
      <c r="A83" s="91">
        <f>IF(C82&lt;&gt;"",MAX(A80:A82)+1,"")</f>
        <v>67</v>
      </c>
      <c r="C83" s="792" t="s">
        <v>338</v>
      </c>
      <c r="D83" s="874"/>
      <c r="F83" s="779"/>
      <c r="G83" s="779">
        <f>SUM(G76:G82)</f>
        <v>209276668</v>
      </c>
      <c r="H83" s="779">
        <f t="shared" ref="H83:I83" si="84">SUM(H76:H82)</f>
        <v>1234000</v>
      </c>
      <c r="I83" s="779">
        <f t="shared" si="84"/>
        <v>29274848.571428571</v>
      </c>
      <c r="J83" s="779">
        <f>SUM(J76:J82)</f>
        <v>398491969.89231253</v>
      </c>
      <c r="K83" s="764"/>
      <c r="L83" s="875">
        <f>SUM(L76:L79)</f>
        <v>638277486.46374106</v>
      </c>
      <c r="M83" s="764"/>
      <c r="N83" s="779">
        <f>SUM(N76:N82)</f>
        <v>0</v>
      </c>
      <c r="O83" s="779">
        <f t="shared" ref="O83:Q83" si="85">SUM(O76:O82)</f>
        <v>-50330000</v>
      </c>
      <c r="P83" s="779">
        <f t="shared" si="85"/>
        <v>7148150.2600000007</v>
      </c>
      <c r="Q83" s="779">
        <f t="shared" si="85"/>
        <v>-27209848.571428571</v>
      </c>
      <c r="R83" s="779">
        <f>SUM(R76:R82)</f>
        <v>0</v>
      </c>
      <c r="S83" s="764"/>
      <c r="T83" s="779">
        <f t="shared" si="76"/>
        <v>-70391698.311428577</v>
      </c>
      <c r="U83" s="779">
        <f t="shared" si="77"/>
        <v>567885788.15231252</v>
      </c>
      <c r="V83" s="368"/>
      <c r="W83" s="779"/>
      <c r="X83" s="779">
        <f>SUM(X76:X82)</f>
        <v>179961323.27000001</v>
      </c>
      <c r="Y83" s="779">
        <f t="shared" ref="Y83:AA83" si="86">SUM(Y76:Y82)</f>
        <v>1295700</v>
      </c>
      <c r="Z83" s="779">
        <f t="shared" si="86"/>
        <v>28220825.714285716</v>
      </c>
      <c r="AA83" s="779">
        <f t="shared" si="86"/>
        <v>504193504.97402614</v>
      </c>
      <c r="AB83" s="764"/>
      <c r="AC83" s="875">
        <f>SUM(AC76:AC79)</f>
        <v>713671353.95831192</v>
      </c>
      <c r="AD83" s="764"/>
      <c r="AE83" s="779">
        <f>SUM(AE76:AE82)</f>
        <v>0</v>
      </c>
      <c r="AF83" s="779">
        <f t="shared" ref="AF83" si="87">SUM(AF76:AF82)</f>
        <v>-14205000</v>
      </c>
      <c r="AG83" s="779">
        <f t="shared" ref="AG83:AH83" si="88">SUM(AG76:AG82)</f>
        <v>4673460</v>
      </c>
      <c r="AH83" s="779">
        <f t="shared" si="88"/>
        <v>-27450825.714285716</v>
      </c>
      <c r="AI83" s="779">
        <f>SUM(AI76:AI82)</f>
        <v>1828456</v>
      </c>
      <c r="AJ83" s="764"/>
      <c r="AK83" s="779">
        <f t="shared" si="79"/>
        <v>-35153909.714285716</v>
      </c>
      <c r="AL83" s="779">
        <f t="shared" si="80"/>
        <v>678517444.24402618</v>
      </c>
      <c r="AM83" s="368"/>
      <c r="AN83" s="779"/>
      <c r="AO83" s="779">
        <f>SUM(AO76:AO82)</f>
        <v>180358438</v>
      </c>
      <c r="AP83" s="779">
        <f t="shared" ref="AP83:AR83" si="89">SUM(AP76:AP82)</f>
        <v>1360485</v>
      </c>
      <c r="AQ83" s="779">
        <f t="shared" si="89"/>
        <v>29221358.942857146</v>
      </c>
      <c r="AR83" s="779">
        <f t="shared" si="89"/>
        <v>603888906.12142634</v>
      </c>
      <c r="AS83" s="764"/>
      <c r="AT83" s="875">
        <f>SUM(AT76:AT79)</f>
        <v>814829188.06428349</v>
      </c>
      <c r="AU83" s="764"/>
      <c r="AV83" s="779">
        <f>SUM(AV76:AV82)</f>
        <v>0</v>
      </c>
      <c r="AW83" s="779">
        <f t="shared" ref="AW83" si="90">SUM(AW76:AW82)</f>
        <v>-19248892</v>
      </c>
      <c r="AX83" s="779">
        <f t="shared" ref="AX83:AY83" si="91">SUM(AX76:AX82)</f>
        <v>4406675</v>
      </c>
      <c r="AY83" s="779">
        <f t="shared" si="91"/>
        <v>-28951358.942857146</v>
      </c>
      <c r="AZ83" s="779">
        <f>SUM(AZ76:AZ82)</f>
        <v>1922604</v>
      </c>
      <c r="BA83" s="764"/>
      <c r="BB83" s="779">
        <f t="shared" si="82"/>
        <v>-41870971.942857146</v>
      </c>
      <c r="BC83" s="764"/>
      <c r="BD83" s="780">
        <f t="shared" si="83"/>
        <v>772958216.12142634</v>
      </c>
    </row>
    <row r="84" spans="1:56">
      <c r="A84" s="91"/>
      <c r="C84" s="80"/>
      <c r="D84" s="80"/>
      <c r="E84" s="2"/>
      <c r="F84" s="369"/>
      <c r="G84" s="369"/>
      <c r="H84" s="369"/>
      <c r="I84" s="369"/>
      <c r="J84" s="369"/>
      <c r="K84" s="368"/>
      <c r="L84" s="370"/>
      <c r="M84" s="368"/>
      <c r="N84" s="369"/>
      <c r="O84" s="369"/>
      <c r="P84" s="369"/>
      <c r="Q84" s="369"/>
      <c r="R84" s="369"/>
      <c r="S84" s="368"/>
      <c r="T84" s="369"/>
      <c r="U84" s="369"/>
      <c r="V84" s="791"/>
      <c r="W84" s="369"/>
      <c r="X84" s="369"/>
      <c r="Y84" s="369"/>
      <c r="Z84" s="369"/>
      <c r="AA84" s="369"/>
      <c r="AB84" s="368"/>
      <c r="AC84" s="370"/>
      <c r="AD84" s="368"/>
      <c r="AE84" s="369"/>
      <c r="AF84" s="369"/>
      <c r="AG84" s="369"/>
      <c r="AH84" s="369"/>
      <c r="AI84" s="369"/>
      <c r="AJ84" s="368"/>
      <c r="AK84" s="369"/>
      <c r="AL84" s="369"/>
      <c r="AM84" s="368"/>
      <c r="AN84" s="369"/>
      <c r="AO84" s="369"/>
      <c r="AP84" s="369"/>
      <c r="AQ84" s="369"/>
      <c r="AR84" s="369"/>
      <c r="AS84" s="368"/>
      <c r="AT84" s="370"/>
      <c r="AU84" s="368"/>
      <c r="AV84" s="369"/>
      <c r="AW84" s="369"/>
      <c r="AX84" s="369"/>
      <c r="AY84" s="369"/>
      <c r="AZ84" s="369"/>
      <c r="BA84" s="368"/>
      <c r="BB84" s="369"/>
      <c r="BC84" s="368"/>
      <c r="BD84" s="369"/>
    </row>
    <row r="85" spans="1:56">
      <c r="A85" s="91">
        <f>IF(C83&lt;&gt;"",MAX(A81:A83)+1,"")</f>
        <v>68</v>
      </c>
      <c r="C85" s="80" t="s">
        <v>339</v>
      </c>
      <c r="D85" s="80"/>
      <c r="E85" s="2"/>
      <c r="F85" s="369"/>
      <c r="G85" s="377">
        <v>67403088.084444642</v>
      </c>
      <c r="H85" s="369"/>
      <c r="I85" s="369"/>
      <c r="J85" s="369">
        <f>'C-2 - OPTIMAL'!J82</f>
        <v>90138971.987098172</v>
      </c>
      <c r="K85" s="368"/>
      <c r="L85" s="370">
        <f t="shared" ref="L85" si="92">SUM(F85:J85)</f>
        <v>157542060.0715428</v>
      </c>
      <c r="M85" s="368"/>
      <c r="N85" s="369">
        <v>0</v>
      </c>
      <c r="O85" s="1159">
        <f>-'Genera - Updates'!E7</f>
        <v>-67403088.084444597</v>
      </c>
      <c r="P85" s="377">
        <f>(SUMIF('FY26-FY28_PREPA Consolidated'!I:I,C85,'FY26-FY28_PREPA Consolidated'!DL:DL)*1000)-H85</f>
        <v>2382329.6383785713</v>
      </c>
      <c r="Q85" s="377">
        <f>((SUMIF('FY26-FY28_PREPA Consolidated'!I:I,C85,'FY26-FY28_PREPA Consolidated'!BT:BT)+SUMIF('FY26-FY28_PREPA Consolidated'!I:I,C85,'FY26-FY28_PREPA Consolidated'!CD:CD))*1000)-I85</f>
        <v>6727934.8959999969</v>
      </c>
      <c r="R85" s="369">
        <v>0</v>
      </c>
      <c r="S85" s="368"/>
      <c r="T85" s="369">
        <f t="shared" si="76"/>
        <v>-58292823.550066032</v>
      </c>
      <c r="U85" s="369">
        <f t="shared" si="77"/>
        <v>99249236.521476775</v>
      </c>
      <c r="V85" s="791"/>
      <c r="W85" s="369"/>
      <c r="X85" s="377">
        <v>34288638.684478566</v>
      </c>
      <c r="Y85" s="369"/>
      <c r="Z85" s="369"/>
      <c r="AA85" s="369">
        <f>'C-2 - OPTIMAL'!U82</f>
        <v>165894944.55776396</v>
      </c>
      <c r="AB85" s="368"/>
      <c r="AC85" s="370">
        <f t="shared" ref="AC85" si="93">SUM(W85:AA85)</f>
        <v>200183583.24224252</v>
      </c>
      <c r="AD85" s="368"/>
      <c r="AE85" s="369">
        <v>0</v>
      </c>
      <c r="AF85" s="1159">
        <f>-'Genera - Updates'!F7</f>
        <v>-34288638.684478603</v>
      </c>
      <c r="AG85" s="369">
        <v>0</v>
      </c>
      <c r="AH85" s="369">
        <v>0</v>
      </c>
      <c r="AI85" s="369">
        <v>0</v>
      </c>
      <c r="AJ85" s="368"/>
      <c r="AK85" s="369">
        <f t="shared" ref="AK85:AK87" si="94">+SUM(AE85:AI85)</f>
        <v>-34288638.684478603</v>
      </c>
      <c r="AL85" s="369">
        <f>AC85+AK85</f>
        <v>165894944.5577639</v>
      </c>
      <c r="AM85" s="368"/>
      <c r="AN85" s="369"/>
      <c r="AO85" s="377">
        <v>8502694.1737267859</v>
      </c>
      <c r="AP85" s="369"/>
      <c r="AQ85" s="369"/>
      <c r="AR85" s="369">
        <f>'C-2 - OPTIMAL'!AG82</f>
        <v>188690476.6468811</v>
      </c>
      <c r="AS85" s="368"/>
      <c r="AT85" s="370">
        <f t="shared" ref="AT85" si="95">SUM(AN85:AR85)</f>
        <v>197193170.8206079</v>
      </c>
      <c r="AU85" s="368"/>
      <c r="AV85" s="369">
        <v>0</v>
      </c>
      <c r="AW85" s="1159">
        <f>-'Genera - Updates'!G7</f>
        <v>-8502694.1737267897</v>
      </c>
      <c r="AX85" s="369">
        <v>0</v>
      </c>
      <c r="AY85" s="369">
        <v>0</v>
      </c>
      <c r="AZ85" s="369">
        <v>0</v>
      </c>
      <c r="BA85" s="368"/>
      <c r="BB85" s="369">
        <f>+SUM(AV85:AZ85)</f>
        <v>-8502694.1737267897</v>
      </c>
      <c r="BC85" s="368"/>
      <c r="BD85" s="369">
        <f t="shared" si="83"/>
        <v>188690476.6468811</v>
      </c>
    </row>
    <row r="86" spans="1:56">
      <c r="A86" s="91">
        <f>IF(C85&lt;&gt;"",MAX(A83:A85)+1,"")</f>
        <v>69</v>
      </c>
      <c r="C86" s="80" t="s">
        <v>340</v>
      </c>
      <c r="D86" s="80"/>
      <c r="F86" s="369"/>
      <c r="G86" s="377">
        <f>G83+G61</f>
        <v>455502126.12800002</v>
      </c>
      <c r="H86" s="377">
        <f t="shared" ref="H86:I86" si="96">H83+H61</f>
        <v>14132400</v>
      </c>
      <c r="I86" s="377">
        <f t="shared" si="96"/>
        <v>64338348.571428567</v>
      </c>
      <c r="J86" s="377">
        <f>J83+J61</f>
        <v>1206632705.8923125</v>
      </c>
      <c r="K86" s="368"/>
      <c r="L86" s="370">
        <f>L33+L56+L83</f>
        <v>1785927782.817481</v>
      </c>
      <c r="M86" s="368"/>
      <c r="N86" s="369">
        <v>0</v>
      </c>
      <c r="O86" s="369">
        <v>0</v>
      </c>
      <c r="P86" s="369">
        <v>0</v>
      </c>
      <c r="Q86" s="369">
        <v>0</v>
      </c>
      <c r="R86" s="369">
        <v>0</v>
      </c>
      <c r="S86" s="368"/>
      <c r="T86" s="369">
        <f t="shared" si="76"/>
        <v>0</v>
      </c>
      <c r="U86" s="369">
        <f t="shared" si="77"/>
        <v>1785927782.817481</v>
      </c>
      <c r="V86" s="368"/>
      <c r="W86" s="369"/>
      <c r="X86" s="377">
        <f>X83+X61</f>
        <v>425606809.81624997</v>
      </c>
      <c r="Y86" s="369"/>
      <c r="Z86" s="369"/>
      <c r="AA86" s="377">
        <f>AA83+AA61</f>
        <v>1459248559.9740262</v>
      </c>
      <c r="AB86" s="368"/>
      <c r="AC86" s="370">
        <f>AC33+AC56+AC83</f>
        <v>1989001311.8400059</v>
      </c>
      <c r="AD86" s="368"/>
      <c r="AE86" s="369">
        <v>0</v>
      </c>
      <c r="AF86" s="369">
        <v>0</v>
      </c>
      <c r="AG86" s="369">
        <v>0</v>
      </c>
      <c r="AH86" s="369">
        <v>0</v>
      </c>
      <c r="AI86" s="369">
        <v>0</v>
      </c>
      <c r="AJ86" s="368"/>
      <c r="AK86" s="369">
        <f t="shared" si="94"/>
        <v>0</v>
      </c>
      <c r="AL86" s="369">
        <f>AC86+AK86</f>
        <v>1989001311.8400059</v>
      </c>
      <c r="AM86" s="368"/>
      <c r="AN86" s="369"/>
      <c r="AO86" s="377">
        <f>AO83+AO61</f>
        <v>431718916.50106251</v>
      </c>
      <c r="AP86" s="369"/>
      <c r="AQ86" s="369"/>
      <c r="AR86" s="377">
        <f>AR83+AR61</f>
        <v>1629865529.1214263</v>
      </c>
      <c r="AS86" s="368"/>
      <c r="AT86" s="370">
        <f>AT33+AT56+AT83</f>
        <v>2153343279.8717809</v>
      </c>
      <c r="AU86" s="368"/>
      <c r="AV86" s="369">
        <v>0</v>
      </c>
      <c r="AW86" s="369">
        <v>0</v>
      </c>
      <c r="AX86" s="369">
        <v>0</v>
      </c>
      <c r="AY86" s="369">
        <v>0</v>
      </c>
      <c r="AZ86" s="369">
        <v>0</v>
      </c>
      <c r="BA86" s="368"/>
      <c r="BB86" s="369">
        <f>+SUM(AV86:AZ86)</f>
        <v>0</v>
      </c>
      <c r="BC86" s="368"/>
      <c r="BD86" s="369">
        <f t="shared" si="83"/>
        <v>2153343279.8717809</v>
      </c>
    </row>
    <row r="87" spans="1:56">
      <c r="A87" s="91">
        <f>IF(C86&lt;&gt;"",MAX(A86:A86)+1,"")</f>
        <v>70</v>
      </c>
      <c r="C87" s="792" t="s">
        <v>341</v>
      </c>
      <c r="D87" s="874"/>
      <c r="E87" s="2"/>
      <c r="F87" s="779">
        <f t="shared" ref="F87:L87" si="97">F61+F73+F83</f>
        <v>2566670734.4212894</v>
      </c>
      <c r="G87" s="779">
        <f t="shared" si="97"/>
        <v>482087280.59441984</v>
      </c>
      <c r="H87" s="779">
        <f t="shared" si="97"/>
        <v>14132400</v>
      </c>
      <c r="I87" s="779">
        <f t="shared" si="97"/>
        <v>64338348.571428567</v>
      </c>
      <c r="J87" s="779">
        <f t="shared" si="97"/>
        <v>1490132620.6385174</v>
      </c>
      <c r="K87" s="779">
        <f t="shared" si="97"/>
        <v>0</v>
      </c>
      <c r="L87" s="779">
        <f t="shared" si="97"/>
        <v>4669025586.451395</v>
      </c>
      <c r="M87" s="779"/>
      <c r="N87" s="779">
        <f t="shared" ref="N87:S87" si="98">N61+N73+N83</f>
        <v>27074981.774259999</v>
      </c>
      <c r="O87" s="779">
        <f t="shared" si="98"/>
        <v>-19330000</v>
      </c>
      <c r="P87" s="779">
        <f t="shared" si="98"/>
        <v>10862549.441185609</v>
      </c>
      <c r="Q87" s="779">
        <f t="shared" si="98"/>
        <v>310012697.29508138</v>
      </c>
      <c r="R87" s="779">
        <f t="shared" si="98"/>
        <v>-930000</v>
      </c>
      <c r="S87" s="779">
        <f t="shared" si="98"/>
        <v>0</v>
      </c>
      <c r="T87" s="779">
        <f t="shared" si="76"/>
        <v>327690228.51052701</v>
      </c>
      <c r="U87" s="779">
        <f t="shared" si="77"/>
        <v>4996715814.9619217</v>
      </c>
      <c r="V87" s="791"/>
      <c r="W87" s="779">
        <f t="shared" ref="W87:AC87" si="99">W61+W73+W83</f>
        <v>2493342888.836628</v>
      </c>
      <c r="X87" s="779">
        <f t="shared" si="99"/>
        <v>453228139.39272487</v>
      </c>
      <c r="Y87" s="779">
        <f t="shared" si="99"/>
        <v>14839020</v>
      </c>
      <c r="Z87" s="779">
        <f t="shared" si="99"/>
        <v>65037500.714285716</v>
      </c>
      <c r="AA87" s="779">
        <f t="shared" si="99"/>
        <v>1712144562.8492324</v>
      </c>
      <c r="AB87" s="779">
        <f t="shared" si="99"/>
        <v>0</v>
      </c>
      <c r="AC87" s="779">
        <f t="shared" si="99"/>
        <v>4769520633.128315</v>
      </c>
      <c r="AD87" s="779"/>
      <c r="AE87" s="779">
        <f t="shared" ref="AE87:AJ87" si="100">AE61+AE73+AE83</f>
        <v>12428571</v>
      </c>
      <c r="AF87" s="779">
        <f t="shared" si="100"/>
        <v>16795000</v>
      </c>
      <c r="AG87" s="779">
        <f t="shared" si="100"/>
        <v>7343977.2546309009</v>
      </c>
      <c r="AH87" s="779">
        <f t="shared" si="100"/>
        <v>292795435.35916013</v>
      </c>
      <c r="AI87" s="779">
        <f t="shared" si="100"/>
        <v>834577</v>
      </c>
      <c r="AJ87" s="779">
        <f t="shared" si="100"/>
        <v>0</v>
      </c>
      <c r="AK87" s="779">
        <f t="shared" si="94"/>
        <v>330197560.61379105</v>
      </c>
      <c r="AL87" s="779">
        <f>AC87+AK87</f>
        <v>5099718193.7421064</v>
      </c>
      <c r="AM87" s="368"/>
      <c r="AN87" s="779">
        <f t="shared" ref="AN87:AT87" si="101">AN61+AN73+AN83</f>
        <v>125148055.9329</v>
      </c>
      <c r="AO87" s="779">
        <f t="shared" si="101"/>
        <v>460416806.84192646</v>
      </c>
      <c r="AP87" s="779">
        <f>AP61+AP73+AP83</f>
        <v>15580971</v>
      </c>
      <c r="AQ87" s="779">
        <f t="shared" si="101"/>
        <v>67878867.692857146</v>
      </c>
      <c r="AR87" s="779">
        <f t="shared" si="101"/>
        <v>1800180281.3303752</v>
      </c>
      <c r="AS87" s="779">
        <f t="shared" si="101"/>
        <v>0</v>
      </c>
      <c r="AT87" s="779">
        <f t="shared" si="101"/>
        <v>4797128030.6976624</v>
      </c>
      <c r="AU87" s="779"/>
      <c r="AV87" s="779">
        <f t="shared" ref="AV87:BA87" si="102">AV61+AV73+AV83</f>
        <v>13572272</v>
      </c>
      <c r="AW87" s="779">
        <f t="shared" si="102"/>
        <v>11751108</v>
      </c>
      <c r="AX87" s="779">
        <f t="shared" si="102"/>
        <v>6678671.4348689448</v>
      </c>
      <c r="AY87" s="779">
        <f t="shared" si="102"/>
        <v>287309114.56219727</v>
      </c>
      <c r="AZ87" s="779">
        <f t="shared" si="102"/>
        <v>920531</v>
      </c>
      <c r="BA87" s="779">
        <f t="shared" si="102"/>
        <v>0</v>
      </c>
      <c r="BB87" s="779">
        <f>+SUM(AV87:AZ87)</f>
        <v>320231696.9970662</v>
      </c>
      <c r="BC87" s="779"/>
      <c r="BD87" s="779">
        <f t="shared" si="83"/>
        <v>5117359727.6947289</v>
      </c>
    </row>
    <row r="88" spans="1:56">
      <c r="A88" s="91"/>
      <c r="C88" s="29"/>
      <c r="D88" s="29"/>
      <c r="F88" s="653"/>
      <c r="G88" s="653"/>
      <c r="H88" s="653"/>
      <c r="I88" s="653"/>
      <c r="J88" s="653"/>
      <c r="K88" s="368"/>
      <c r="L88" s="877"/>
      <c r="M88" s="368"/>
      <c r="N88" s="653"/>
      <c r="O88" s="653"/>
      <c r="P88" s="653"/>
      <c r="Q88" s="653"/>
      <c r="R88" s="653"/>
      <c r="S88" s="368"/>
      <c r="T88" s="653"/>
      <c r="U88" s="653"/>
      <c r="V88" s="368"/>
      <c r="W88" s="653"/>
      <c r="X88" s="653"/>
      <c r="Y88" s="653"/>
      <c r="Z88" s="653"/>
      <c r="AA88" s="653"/>
      <c r="AB88" s="368"/>
      <c r="AC88" s="877"/>
      <c r="AD88" s="368"/>
      <c r="AE88" s="653"/>
      <c r="AF88" s="653"/>
      <c r="AG88" s="653"/>
      <c r="AH88" s="653"/>
      <c r="AI88" s="653"/>
      <c r="AJ88" s="368"/>
      <c r="AK88" s="653"/>
      <c r="AL88" s="653"/>
      <c r="AM88" s="368"/>
      <c r="AN88" s="653"/>
      <c r="AO88" s="653"/>
      <c r="AP88" s="653"/>
      <c r="AQ88" s="653"/>
      <c r="AR88" s="653"/>
      <c r="AS88" s="368"/>
      <c r="AT88" s="877"/>
      <c r="AU88" s="368"/>
      <c r="AV88" s="653"/>
      <c r="AW88" s="653"/>
      <c r="AX88" s="653"/>
      <c r="AY88" s="653"/>
      <c r="AZ88" s="653"/>
      <c r="BA88" s="368"/>
      <c r="BB88" s="653"/>
      <c r="BC88" s="368"/>
      <c r="BD88" s="653"/>
    </row>
    <row r="89" spans="1:56">
      <c r="A89" s="91" t="str">
        <f>IF(C88&lt;&gt;"",MAX(A86:A88)+1,"")</f>
        <v/>
      </c>
      <c r="C89" s="80"/>
      <c r="D89" s="80"/>
      <c r="E89" s="2"/>
      <c r="F89" s="369"/>
      <c r="G89" s="369"/>
      <c r="H89" s="369"/>
      <c r="I89" s="369"/>
      <c r="J89" s="369"/>
      <c r="K89" s="368"/>
      <c r="L89" s="370"/>
      <c r="M89" s="368"/>
      <c r="N89" s="369"/>
      <c r="O89" s="369"/>
      <c r="P89" s="369"/>
      <c r="Q89" s="369"/>
      <c r="R89" s="369"/>
      <c r="S89" s="368"/>
      <c r="T89" s="369"/>
      <c r="U89" s="369"/>
      <c r="V89" s="791"/>
      <c r="W89" s="369"/>
      <c r="X89" s="369"/>
      <c r="Y89" s="369"/>
      <c r="Z89" s="369"/>
      <c r="AA89" s="369"/>
      <c r="AB89" s="368"/>
      <c r="AC89" s="369"/>
      <c r="AD89" s="368"/>
      <c r="AE89" s="369"/>
      <c r="AF89" s="369"/>
      <c r="AG89" s="369"/>
      <c r="AH89" s="369"/>
      <c r="AI89" s="369"/>
      <c r="AJ89" s="368"/>
      <c r="AK89" s="369"/>
      <c r="AL89" s="369"/>
      <c r="AM89" s="368"/>
      <c r="AN89" s="369"/>
      <c r="AO89" s="369"/>
      <c r="AP89" s="369"/>
      <c r="AQ89" s="369"/>
      <c r="AR89" s="369"/>
      <c r="AS89" s="368"/>
      <c r="AT89" s="369"/>
      <c r="AU89" s="368"/>
      <c r="AV89" s="369"/>
      <c r="AW89" s="369"/>
      <c r="AX89" s="369"/>
      <c r="AY89" s="369"/>
      <c r="AZ89" s="369"/>
      <c r="BA89" s="368"/>
      <c r="BB89" s="369"/>
      <c r="BC89" s="368"/>
      <c r="BD89" s="369"/>
    </row>
    <row r="90" spans="1:56">
      <c r="A90" s="91"/>
      <c r="F90" s="368"/>
      <c r="G90" s="368"/>
      <c r="H90" s="368"/>
      <c r="I90" s="368"/>
      <c r="J90" s="368"/>
      <c r="K90" s="368"/>
      <c r="L90" s="861"/>
      <c r="M90" s="368"/>
      <c r="N90" s="368"/>
      <c r="O90" s="368"/>
      <c r="P90" s="368"/>
      <c r="Q90" s="368"/>
      <c r="R90" s="368"/>
      <c r="S90" s="368"/>
      <c r="T90" s="368"/>
      <c r="U90" s="368"/>
      <c r="V90" s="368"/>
      <c r="W90" s="368"/>
      <c r="X90" s="368"/>
      <c r="Y90" s="368"/>
      <c r="Z90" s="368"/>
      <c r="AA90" s="368"/>
      <c r="AB90" s="368"/>
      <c r="AC90" s="368"/>
      <c r="AD90" s="368"/>
      <c r="AE90" s="368"/>
      <c r="AF90" s="368"/>
      <c r="AG90" s="368"/>
      <c r="AH90" s="368"/>
      <c r="AI90" s="368"/>
      <c r="AJ90" s="368"/>
      <c r="AK90" s="368"/>
      <c r="AL90" s="368"/>
      <c r="AM90" s="368"/>
      <c r="AN90" s="368"/>
      <c r="AO90" s="368"/>
      <c r="AP90" s="368"/>
      <c r="AQ90" s="368"/>
      <c r="AR90" s="368"/>
      <c r="AS90" s="368"/>
      <c r="AT90" s="368"/>
      <c r="AU90" s="368"/>
      <c r="AV90" s="368"/>
      <c r="AW90" s="368"/>
      <c r="AX90" s="368"/>
      <c r="AY90" s="368"/>
      <c r="AZ90" s="368"/>
      <c r="BA90" s="368"/>
      <c r="BB90" s="368"/>
      <c r="BC90" s="368"/>
      <c r="BD90" s="368"/>
    </row>
    <row r="91" spans="1:56">
      <c r="A91" s="91"/>
      <c r="C91" s="80"/>
      <c r="D91" s="80"/>
      <c r="E91" s="2"/>
      <c r="F91" s="369"/>
      <c r="G91" s="369"/>
      <c r="H91" s="369"/>
      <c r="I91" s="369"/>
      <c r="J91" s="369"/>
      <c r="K91" s="368"/>
      <c r="L91" s="370"/>
      <c r="M91" s="368"/>
      <c r="N91" s="369"/>
      <c r="O91" s="369"/>
      <c r="P91" s="369"/>
      <c r="Q91" s="369"/>
      <c r="R91" s="369"/>
      <c r="S91" s="368"/>
      <c r="T91" s="369"/>
      <c r="U91" s="369"/>
      <c r="V91" s="791"/>
      <c r="W91" s="369"/>
      <c r="X91" s="369"/>
      <c r="Y91" s="369"/>
      <c r="Z91" s="369"/>
      <c r="AA91" s="369"/>
      <c r="AB91" s="368"/>
      <c r="AC91" s="369"/>
      <c r="AD91" s="368"/>
      <c r="AE91" s="369"/>
      <c r="AF91" s="369"/>
      <c r="AG91" s="369"/>
      <c r="AH91" s="369"/>
      <c r="AI91" s="369"/>
      <c r="AJ91" s="368"/>
      <c r="AK91" s="369"/>
      <c r="AL91" s="369"/>
      <c r="AM91" s="368"/>
      <c r="AN91" s="369"/>
      <c r="AO91" s="369"/>
      <c r="AP91" s="369"/>
      <c r="AQ91" s="369"/>
      <c r="AR91" s="369"/>
      <c r="AS91" s="368"/>
      <c r="AT91" s="369"/>
      <c r="AU91" s="368"/>
      <c r="AV91" s="369"/>
      <c r="AW91" s="369"/>
      <c r="AX91" s="369"/>
      <c r="AY91" s="369"/>
      <c r="AZ91" s="369"/>
      <c r="BA91" s="368"/>
      <c r="BB91" s="369"/>
      <c r="BC91" s="368"/>
      <c r="BD91" s="369"/>
    </row>
    <row r="92" spans="1:56">
      <c r="A92" s="91"/>
    </row>
    <row r="93" spans="1:56">
      <c r="A93" s="77"/>
    </row>
    <row r="94" spans="1:56">
      <c r="A94" s="77"/>
      <c r="J94" s="768"/>
      <c r="L94" s="882"/>
      <c r="R94" s="768"/>
      <c r="AA94" s="768"/>
      <c r="AI94" s="768"/>
      <c r="AR94" s="768"/>
      <c r="AZ94" s="768"/>
    </row>
    <row r="95" spans="1:56">
      <c r="A95" s="77"/>
    </row>
    <row r="96" spans="1:56">
      <c r="A96" s="77"/>
    </row>
    <row r="97" spans="1:12">
      <c r="A97" s="77"/>
    </row>
    <row r="98" spans="1:12">
      <c r="A98" s="77"/>
    </row>
    <row r="99" spans="1:12">
      <c r="A99" s="77"/>
    </row>
    <row r="100" spans="1:12">
      <c r="A100" s="77"/>
    </row>
    <row r="101" spans="1:12">
      <c r="A101" s="77"/>
    </row>
    <row r="102" spans="1:12">
      <c r="A102" s="77"/>
    </row>
    <row r="103" spans="1:12">
      <c r="A103" s="77"/>
    </row>
    <row r="104" spans="1:12">
      <c r="A104" s="77"/>
    </row>
    <row r="105" spans="1:12">
      <c r="A105" s="77"/>
      <c r="L105"/>
    </row>
    <row r="106" spans="1:12">
      <c r="L106"/>
    </row>
    <row r="107" spans="1:12">
      <c r="L107"/>
    </row>
    <row r="108" spans="1:12">
      <c r="L108"/>
    </row>
  </sheetData>
  <mergeCells count="3">
    <mergeCell ref="F1:T1"/>
    <mergeCell ref="W1:AL1"/>
    <mergeCell ref="AN1:BD1"/>
  </mergeCells>
  <pageMargins left="0.7" right="0.7" top="0.75" bottom="0.75" header="0.3" footer="0.3"/>
  <pageSetup scale="40" orientation="portrait" r:id="rId1"/>
  <headerFooter>
    <oddHeader>&amp;LPuerto Rico Electric Power Authority   
Docket NEPR-AP-2023-0003
Rate Year Result of Operations &amp;RSchedule C-2.1 (Constrained)
Page &amp;P of &amp;N</oddHeader>
  </headerFooter>
  <colBreaks count="2" manualBreakCount="2">
    <brk id="12" max="1048575" man="1"/>
    <brk id="29"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D685E-7ED7-475E-933A-CF70C2E1A82C}">
  <sheetPr>
    <tabColor rgb="FFFFC000"/>
  </sheetPr>
  <dimension ref="A1:FG88"/>
  <sheetViews>
    <sheetView tabSelected="1" topLeftCell="CE22" zoomScale="80" zoomScaleNormal="80" workbookViewId="0">
      <selection activeCell="EL50" sqref="EL50"/>
    </sheetView>
    <sheetView topLeftCell="H28" zoomScale="70" zoomScaleNormal="85" workbookViewId="1">
      <selection activeCell="BT46" sqref="BT46"/>
    </sheetView>
    <sheetView topLeftCell="A19" workbookViewId="2">
      <selection activeCell="EA50" sqref="EA50"/>
    </sheetView>
  </sheetViews>
  <sheetFormatPr defaultColWidth="8.85546875" defaultRowHeight="15" outlineLevelRow="1" outlineLevelCol="1"/>
  <cols>
    <col min="1" max="1" width="3.85546875" style="914" customWidth="1"/>
    <col min="2" max="2" width="8.85546875" style="914"/>
    <col min="3" max="3" width="41.5703125" style="968" hidden="1" customWidth="1" outlineLevel="1"/>
    <col min="4" max="4" width="8.85546875" style="914" hidden="1" customWidth="1" outlineLevel="1"/>
    <col min="5" max="5" width="0.85546875" style="914" customWidth="1" collapsed="1"/>
    <col min="6" max="6" width="0.85546875" style="914" customWidth="1"/>
    <col min="7" max="7" width="3.5703125" style="914" customWidth="1"/>
    <col min="8" max="8" width="62.140625" style="914" customWidth="1"/>
    <col min="9" max="9" width="25.42578125" style="914" customWidth="1"/>
    <col min="10" max="10" width="0.85546875" style="914" hidden="1" customWidth="1" outlineLevel="1"/>
    <col min="11" max="11" width="18.5703125" style="914" hidden="1" customWidth="1" outlineLevel="1"/>
    <col min="12" max="12" width="0.85546875" style="914" hidden="1" customWidth="1" outlineLevel="1"/>
    <col min="13" max="13" width="18.5703125" style="914" hidden="1" customWidth="1" outlineLevel="1"/>
    <col min="14" max="14" width="0.85546875" style="914" hidden="1" customWidth="1" outlineLevel="1"/>
    <col min="15" max="15" width="18.5703125" style="914" hidden="1" customWidth="1" outlineLevel="1"/>
    <col min="16" max="16" width="0.85546875" style="914" hidden="1" customWidth="1" outlineLevel="1"/>
    <col min="17" max="17" width="18.5703125" style="914" hidden="1" customWidth="1" outlineLevel="1"/>
    <col min="18" max="18" width="0.85546875" style="914" hidden="1" customWidth="1" outlineLevel="1"/>
    <col min="19" max="19" width="18.5703125" style="914" hidden="1" customWidth="1" outlineLevel="1"/>
    <col min="20" max="20" width="0.85546875" style="914" hidden="1" customWidth="1" outlineLevel="1"/>
    <col min="21" max="21" width="18.5703125" style="914" hidden="1" customWidth="1" outlineLevel="1"/>
    <col min="22" max="22" width="0.85546875" style="914" hidden="1" customWidth="1" outlineLevel="1"/>
    <col min="23" max="23" width="18.5703125" style="914" hidden="1" customWidth="1" outlineLevel="1"/>
    <col min="24" max="24" width="0.85546875" style="914" hidden="1" customWidth="1" outlineLevel="1"/>
    <col min="25" max="25" width="18.5703125" style="914" hidden="1" customWidth="1" outlineLevel="1"/>
    <col min="26" max="26" width="0.85546875" style="914" hidden="1" customWidth="1" outlineLevel="1"/>
    <col min="27" max="27" width="18.5703125" style="914" hidden="1" customWidth="1" outlineLevel="1"/>
    <col min="28" max="28" width="0.85546875" style="914" hidden="1" customWidth="1" outlineLevel="1"/>
    <col min="29" max="29" width="18.5703125" style="914" hidden="1" customWidth="1" outlineLevel="1"/>
    <col min="30" max="30" width="0.85546875" style="914" hidden="1" customWidth="1" outlineLevel="1"/>
    <col min="31" max="31" width="18.5703125" style="914" hidden="1" customWidth="1" outlineLevel="1"/>
    <col min="32" max="32" width="0.85546875" style="914" hidden="1" customWidth="1" outlineLevel="1"/>
    <col min="33" max="33" width="18.5703125" style="914" hidden="1" customWidth="1" outlineLevel="1"/>
    <col min="34" max="34" width="0.85546875" style="914" hidden="1" customWidth="1" outlineLevel="1"/>
    <col min="35" max="35" width="18.5703125" style="914" hidden="1" customWidth="1" outlineLevel="1"/>
    <col min="36" max="36" width="0.85546875" style="914" hidden="1" customWidth="1" outlineLevel="1"/>
    <col min="37" max="37" width="18.5703125" style="914" hidden="1" customWidth="1" outlineLevel="1"/>
    <col min="38" max="38" width="0.85546875" style="914" hidden="1" customWidth="1" outlineLevel="1"/>
    <col min="39" max="39" width="18.5703125" style="914" hidden="1" customWidth="1" outlineLevel="1"/>
    <col min="40" max="40" width="0.85546875" style="914" hidden="1" customWidth="1" outlineLevel="1"/>
    <col min="41" max="41" width="18.5703125" style="914" hidden="1" customWidth="1" outlineLevel="1"/>
    <col min="42" max="42" width="0.85546875" style="914" hidden="1" customWidth="1" outlineLevel="1"/>
    <col min="43" max="43" width="18.5703125" style="914" hidden="1" customWidth="1" outlineLevel="1"/>
    <col min="44" max="44" width="0.85546875" style="914" hidden="1" customWidth="1" outlineLevel="1"/>
    <col min="45" max="45" width="18.5703125" style="914" hidden="1" customWidth="1" outlineLevel="1"/>
    <col min="46" max="46" width="0.85546875" style="914" hidden="1" customWidth="1" outlineLevel="1"/>
    <col min="47" max="47" width="18.5703125" style="914" hidden="1" customWidth="1" outlineLevel="1"/>
    <col min="48" max="48" width="0.85546875" style="914" hidden="1" customWidth="1" outlineLevel="1"/>
    <col min="49" max="49" width="18.5703125" style="914" hidden="1" customWidth="1" outlineLevel="1"/>
    <col min="50" max="50" width="0.85546875" style="914" hidden="1" customWidth="1" outlineLevel="1"/>
    <col min="51" max="51" width="18.5703125" style="914" hidden="1" customWidth="1" outlineLevel="1"/>
    <col min="52" max="52" width="0.85546875" style="914" hidden="1" customWidth="1" outlineLevel="1"/>
    <col min="53" max="53" width="18.5703125" style="914" hidden="1" customWidth="1" outlineLevel="1"/>
    <col min="54" max="54" width="0.85546875" style="914" hidden="1" customWidth="1" outlineLevel="1"/>
    <col min="55" max="55" width="18.5703125" style="914" hidden="1" customWidth="1" outlineLevel="1"/>
    <col min="56" max="56" width="0.85546875" style="914" hidden="1" customWidth="1" outlineLevel="1"/>
    <col min="57" max="57" width="18.5703125" style="914" hidden="1" customWidth="1" outlineLevel="1"/>
    <col min="58" max="58" width="0.85546875" style="914" hidden="1" customWidth="1" outlineLevel="1"/>
    <col min="59" max="59" width="18.5703125" style="914" hidden="1" customWidth="1" outlineLevel="1"/>
    <col min="60" max="60" width="0.85546875" style="914" hidden="1" customWidth="1" outlineLevel="1"/>
    <col min="61" max="61" width="18.5703125" style="914" hidden="1" customWidth="1" outlineLevel="1"/>
    <col min="62" max="62" width="0.85546875" style="914" hidden="1" customWidth="1" outlineLevel="1"/>
    <col min="63" max="63" width="18.5703125" style="914" hidden="1" customWidth="1" outlineLevel="1"/>
    <col min="64" max="64" width="0.85546875" style="914" hidden="1" customWidth="1" outlineLevel="1"/>
    <col min="65" max="65" width="18.5703125" style="914" hidden="1" customWidth="1" outlineLevel="1"/>
    <col min="66" max="66" width="0.85546875" style="914" hidden="1" customWidth="1" outlineLevel="1"/>
    <col min="67" max="67" width="18.5703125" style="914" hidden="1" customWidth="1" outlineLevel="1"/>
    <col min="68" max="68" width="0.85546875" style="914" hidden="1" customWidth="1" outlineLevel="1"/>
    <col min="69" max="69" width="18.5703125" style="914" hidden="1" customWidth="1" outlineLevel="1"/>
    <col min="70" max="70" width="0.85546875" style="914" customWidth="1" collapsed="1"/>
    <col min="71" max="71" width="0.85546875" style="914" customWidth="1"/>
    <col min="72" max="72" width="22.140625" style="914" customWidth="1"/>
    <col min="73" max="73" width="0.85546875" style="914" customWidth="1"/>
    <col min="74" max="74" width="0.85546875" style="914" hidden="1" customWidth="1" outlineLevel="1"/>
    <col min="75" max="75" width="18.5703125" style="914" hidden="1" customWidth="1" outlineLevel="1"/>
    <col min="76" max="76" width="0.85546875" style="914" hidden="1" customWidth="1" outlineLevel="1"/>
    <col min="77" max="77" width="18.5703125" style="914" hidden="1" customWidth="1" outlineLevel="1"/>
    <col min="78" max="78" width="0.85546875" style="914" hidden="1" customWidth="1" outlineLevel="1"/>
    <col min="79" max="79" width="18.5703125" style="914" hidden="1" customWidth="1" outlineLevel="1"/>
    <col min="80" max="80" width="0.85546875" style="914" customWidth="1" collapsed="1"/>
    <col min="81" max="81" width="0.85546875" style="914" customWidth="1"/>
    <col min="82" max="82" width="22.140625" style="914" customWidth="1"/>
    <col min="83" max="84" width="0.85546875" style="914" customWidth="1"/>
    <col min="85" max="85" width="18.5703125" style="914" hidden="1" customWidth="1" outlineLevel="1"/>
    <col min="86" max="86" width="0.85546875" style="914" hidden="1" customWidth="1" outlineLevel="1"/>
    <col min="87" max="87" width="18.5703125" style="914" hidden="1" customWidth="1" outlineLevel="1"/>
    <col min="88" max="88" width="0.85546875" style="914" hidden="1" customWidth="1" outlineLevel="1"/>
    <col min="89" max="89" width="18.5703125" style="914" hidden="1" customWidth="1" outlineLevel="1"/>
    <col min="90" max="90" width="0.85546875" style="914" hidden="1" customWidth="1" outlineLevel="1"/>
    <col min="91" max="91" width="18.5703125" style="914" hidden="1" customWidth="1" outlineLevel="1"/>
    <col min="92" max="92" width="0.85546875" style="914" hidden="1" customWidth="1" outlineLevel="1"/>
    <col min="93" max="93" width="18.5703125" style="914" hidden="1" customWidth="1" outlineLevel="1"/>
    <col min="94" max="94" width="0.85546875" style="914" hidden="1" customWidth="1" outlineLevel="1"/>
    <col min="95" max="95" width="18.5703125" style="914" hidden="1" customWidth="1" outlineLevel="1"/>
    <col min="96" max="96" width="0.85546875" style="914" hidden="1" customWidth="1" outlineLevel="1"/>
    <col min="97" max="97" width="18.5703125" style="914" hidden="1" customWidth="1" outlineLevel="1"/>
    <col min="98" max="98" width="0.85546875" style="914" hidden="1" customWidth="1" outlineLevel="1"/>
    <col min="99" max="99" width="18.5703125" style="914" hidden="1" customWidth="1" outlineLevel="1"/>
    <col min="100" max="100" width="0.85546875" style="914" hidden="1" customWidth="1" outlineLevel="1"/>
    <col min="101" max="101" width="18.5703125" style="914" hidden="1" customWidth="1" outlineLevel="1"/>
    <col min="102" max="102" width="0.85546875" style="914" hidden="1" customWidth="1" outlineLevel="1"/>
    <col min="103" max="103" width="18.5703125" style="914" hidden="1" customWidth="1" outlineLevel="1"/>
    <col min="104" max="104" width="0.85546875" style="914" hidden="1" customWidth="1" outlineLevel="1"/>
    <col min="105" max="105" width="18.5703125" style="914" hidden="1" customWidth="1" outlineLevel="1"/>
    <col min="106" max="106" width="0.85546875" style="914" hidden="1" customWidth="1" outlineLevel="1"/>
    <col min="107" max="107" width="18.5703125" style="914" hidden="1" customWidth="1" outlineLevel="1"/>
    <col min="108" max="108" width="0.85546875" style="914" hidden="1" customWidth="1" outlineLevel="1"/>
    <col min="109" max="109" width="18.5703125" style="914" hidden="1" customWidth="1" outlineLevel="1"/>
    <col min="110" max="110" width="0.85546875" style="914" hidden="1" customWidth="1" outlineLevel="1"/>
    <col min="111" max="111" width="18.5703125" style="914" hidden="1" customWidth="1" outlineLevel="1"/>
    <col min="112" max="112" width="0.85546875" style="914" hidden="1" customWidth="1" outlineLevel="1"/>
    <col min="113" max="113" width="18.5703125" style="914" hidden="1" customWidth="1" outlineLevel="1"/>
    <col min="114" max="114" width="0.85546875" style="914" hidden="1" customWidth="1" outlineLevel="1"/>
    <col min="115" max="115" width="0.85546875" style="914" customWidth="1" collapsed="1"/>
    <col min="116" max="116" width="22.140625" style="914" customWidth="1"/>
    <col min="117" max="119" width="0.85546875" style="914" customWidth="1"/>
    <col min="120" max="120" width="22.140625" style="914" customWidth="1"/>
    <col min="121" max="124" width="0.85546875" style="914" customWidth="1"/>
    <col min="125" max="125" width="22.140625" style="914" customWidth="1" outlineLevel="1"/>
    <col min="126" max="126" width="0.85546875" style="914" customWidth="1" outlineLevel="1"/>
    <col min="127" max="127" width="22.140625" style="914" customWidth="1" outlineLevel="1"/>
    <col min="128" max="128" width="0.85546875" style="914" customWidth="1" outlineLevel="1"/>
    <col min="129" max="129" width="22.140625" style="914" customWidth="1" outlineLevel="1"/>
    <col min="130" max="130" width="0.85546875" style="914" customWidth="1" outlineLevel="1"/>
    <col min="131" max="131" width="22.140625" style="914" customWidth="1"/>
    <col min="132" max="134" width="0.85546875" style="914" customWidth="1"/>
    <col min="135" max="135" width="22.140625" style="914" customWidth="1" outlineLevel="1"/>
    <col min="136" max="136" width="0.85546875" style="914" customWidth="1" outlineLevel="1"/>
    <col min="137" max="137" width="22.140625" style="914" customWidth="1" outlineLevel="1"/>
    <col min="138" max="138" width="0.85546875" style="914" customWidth="1" outlineLevel="1"/>
    <col min="139" max="139" width="22.140625" style="914" customWidth="1" outlineLevel="1"/>
    <col min="140" max="140" width="0.85546875" style="914" customWidth="1" outlineLevel="1"/>
    <col min="141" max="141" width="22.140625" style="914" bestFit="1" customWidth="1"/>
    <col min="142" max="144" width="0.85546875" style="914" customWidth="1"/>
    <col min="145" max="145" width="11.140625" style="914" bestFit="1" customWidth="1"/>
    <col min="146" max="146" width="8.85546875" style="914" customWidth="1" outlineLevel="1"/>
    <col min="147" max="147" width="15" style="917" customWidth="1" outlineLevel="1"/>
    <col min="148" max="148" width="19.42578125" style="913" customWidth="1" outlineLevel="1"/>
    <col min="149" max="149" width="4.5703125" style="914" customWidth="1" outlineLevel="1"/>
    <col min="150" max="150" width="15" style="917" customWidth="1" outlineLevel="1"/>
    <col min="151" max="151" width="19.42578125" style="913" customWidth="1" outlineLevel="1"/>
    <col min="152" max="152" width="4.5703125" style="914" customWidth="1" outlineLevel="1"/>
    <col min="153" max="153" width="15" style="917" customWidth="1" outlineLevel="1"/>
    <col min="154" max="154" width="19.42578125" style="913" customWidth="1" outlineLevel="1"/>
    <col min="155" max="155" width="4.5703125" style="914" customWidth="1" outlineLevel="1"/>
    <col min="156" max="156" width="19.42578125" style="913" customWidth="1" outlineLevel="1"/>
    <col min="157" max="157" width="4.5703125" style="914" customWidth="1" outlineLevel="1"/>
    <col min="158" max="159" width="19.42578125" style="913" customWidth="1" outlineLevel="1"/>
    <col min="160" max="160" width="4.5703125" style="914" customWidth="1" outlineLevel="1"/>
    <col min="161" max="162" width="19.42578125" style="913" customWidth="1" outlineLevel="1"/>
    <col min="163" max="163" width="8.85546875" style="914" customWidth="1" outlineLevel="1"/>
    <col min="164" max="16384" width="8.85546875" style="914"/>
  </cols>
  <sheetData>
    <row r="1" spans="1:162" s="912" customFormat="1" hidden="1" outlineLevel="1">
      <c r="A1" s="907"/>
      <c r="B1" s="907"/>
      <c r="C1" s="907"/>
      <c r="D1" s="907"/>
      <c r="E1" s="907"/>
      <c r="F1" s="907"/>
      <c r="G1" s="907"/>
      <c r="H1" s="908" t="s">
        <v>610</v>
      </c>
      <c r="I1" s="908" t="s">
        <v>610</v>
      </c>
      <c r="J1" s="907"/>
      <c r="K1" s="909">
        <v>1</v>
      </c>
      <c r="L1" s="907"/>
      <c r="M1" s="909">
        <v>2</v>
      </c>
      <c r="N1" s="909"/>
      <c r="O1" s="909">
        <v>3</v>
      </c>
      <c r="P1" s="909"/>
      <c r="Q1" s="909">
        <v>4</v>
      </c>
      <c r="R1" s="909"/>
      <c r="S1" s="909">
        <v>12</v>
      </c>
      <c r="T1" s="909"/>
      <c r="U1" s="909">
        <v>14</v>
      </c>
      <c r="V1" s="909"/>
      <c r="W1" s="909">
        <v>15</v>
      </c>
      <c r="X1" s="909"/>
      <c r="Y1" s="909">
        <v>22</v>
      </c>
      <c r="Z1" s="909"/>
      <c r="AA1" s="909">
        <v>50</v>
      </c>
      <c r="AB1" s="909"/>
      <c r="AC1" s="909">
        <v>67</v>
      </c>
      <c r="AD1" s="909"/>
      <c r="AE1" s="909">
        <v>118</v>
      </c>
      <c r="AF1" s="909"/>
      <c r="AG1" s="909">
        <v>172</v>
      </c>
      <c r="AH1" s="909"/>
      <c r="AI1" s="909">
        <v>176</v>
      </c>
      <c r="AJ1" s="909"/>
      <c r="AK1" s="909">
        <v>183</v>
      </c>
      <c r="AL1" s="909"/>
      <c r="AM1" s="909">
        <v>195</v>
      </c>
      <c r="AN1" s="909"/>
      <c r="AO1" s="909">
        <v>218</v>
      </c>
      <c r="AP1" s="909"/>
      <c r="AQ1" s="909">
        <v>241</v>
      </c>
      <c r="AR1" s="909"/>
      <c r="AS1" s="909">
        <v>272</v>
      </c>
      <c r="AT1" s="909"/>
      <c r="AU1" s="909">
        <v>651</v>
      </c>
      <c r="AV1" s="909"/>
      <c r="AW1" s="909">
        <v>666</v>
      </c>
      <c r="AX1" s="910"/>
      <c r="AY1" s="910"/>
      <c r="AZ1" s="910"/>
      <c r="BA1" s="910"/>
      <c r="BB1" s="910"/>
      <c r="BC1" s="910"/>
      <c r="BD1" s="910"/>
      <c r="BE1" s="910"/>
      <c r="BF1" s="907"/>
      <c r="BG1" s="907"/>
      <c r="BH1" s="907"/>
      <c r="BI1" s="907"/>
      <c r="BJ1" s="907"/>
      <c r="BK1" s="907"/>
      <c r="BL1" s="907"/>
      <c r="BM1" s="907"/>
      <c r="BN1" s="907"/>
      <c r="BO1" s="907"/>
      <c r="BP1" s="907"/>
      <c r="BQ1" s="907"/>
      <c r="BR1" s="907"/>
      <c r="BS1" s="907"/>
      <c r="BT1" s="907"/>
      <c r="BU1" s="907"/>
      <c r="BV1" s="907"/>
      <c r="BW1" s="911">
        <v>16</v>
      </c>
      <c r="BX1" s="907"/>
      <c r="BY1" s="910"/>
      <c r="BZ1" s="910"/>
      <c r="CA1" s="907"/>
      <c r="CB1" s="907"/>
      <c r="CC1" s="907"/>
      <c r="CD1" s="911"/>
      <c r="CE1" s="907"/>
      <c r="CF1" s="907"/>
      <c r="CG1" s="911">
        <v>169</v>
      </c>
      <c r="CH1" s="911"/>
      <c r="CI1" s="911">
        <v>287</v>
      </c>
      <c r="CJ1" s="911"/>
      <c r="CK1" s="911">
        <v>289</v>
      </c>
      <c r="CL1" s="911"/>
      <c r="CM1" s="911">
        <v>306</v>
      </c>
      <c r="CN1" s="911"/>
      <c r="CO1" s="911">
        <v>308</v>
      </c>
      <c r="CP1" s="911"/>
      <c r="CQ1" s="911">
        <v>310</v>
      </c>
      <c r="CR1" s="911"/>
      <c r="CS1" s="911">
        <v>315</v>
      </c>
      <c r="CT1" s="911"/>
      <c r="CU1" s="911"/>
      <c r="CV1" s="911"/>
      <c r="CW1" s="910"/>
      <c r="CX1" s="910"/>
      <c r="CY1" s="910"/>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Q1" s="913"/>
      <c r="ER1" s="913"/>
      <c r="ET1" s="913"/>
      <c r="EU1" s="913"/>
      <c r="EW1" s="913"/>
      <c r="EX1" s="913"/>
      <c r="EZ1" s="913"/>
      <c r="FB1" s="913"/>
      <c r="FC1" s="913"/>
      <c r="FE1" s="913"/>
      <c r="FF1" s="913"/>
    </row>
    <row r="2" spans="1:162" hidden="1" outlineLevel="1">
      <c r="C2" s="915"/>
      <c r="AX2" s="916"/>
      <c r="AY2" s="916"/>
      <c r="AZ2" s="916"/>
      <c r="BA2" s="916"/>
      <c r="BB2" s="916"/>
      <c r="BC2" s="916"/>
      <c r="BD2" s="916"/>
      <c r="BE2" s="916"/>
      <c r="BY2" s="916"/>
      <c r="BZ2" s="916"/>
      <c r="CW2" s="916"/>
      <c r="CX2" s="916"/>
      <c r="CY2" s="916"/>
    </row>
    <row r="3" spans="1:162" collapsed="1">
      <c r="C3" s="915"/>
      <c r="AX3" s="916"/>
      <c r="AY3" s="916"/>
      <c r="AZ3" s="916"/>
      <c r="BA3" s="916"/>
      <c r="BB3" s="916"/>
      <c r="BC3" s="916"/>
      <c r="BD3" s="916"/>
      <c r="BE3" s="916"/>
      <c r="BY3" s="916"/>
      <c r="BZ3" s="916"/>
      <c r="CW3" s="916"/>
      <c r="CX3" s="916"/>
      <c r="CY3" s="916"/>
    </row>
    <row r="4" spans="1:162">
      <c r="C4" s="915"/>
      <c r="AX4" s="916"/>
      <c r="AY4" s="916"/>
      <c r="AZ4" s="916"/>
      <c r="BA4" s="916"/>
      <c r="BB4" s="916"/>
      <c r="BC4" s="916"/>
      <c r="BD4" s="916"/>
      <c r="BE4" s="916"/>
      <c r="BY4" s="916"/>
      <c r="BZ4" s="916"/>
      <c r="CW4" s="916"/>
      <c r="CX4" s="916"/>
      <c r="CY4" s="916"/>
    </row>
    <row r="5" spans="1:162">
      <c r="C5" s="915"/>
      <c r="F5" s="918" t="s">
        <v>611</v>
      </c>
      <c r="AX5" s="916"/>
      <c r="AZ5" s="916"/>
      <c r="BB5" s="916"/>
      <c r="BD5" s="916"/>
      <c r="BZ5" s="916"/>
      <c r="CX5" s="916"/>
    </row>
    <row r="6" spans="1:162" s="912" customFormat="1" ht="15.75" thickBot="1">
      <c r="C6" s="907"/>
      <c r="E6" s="914"/>
      <c r="F6" s="919" t="s">
        <v>612</v>
      </c>
      <c r="G6" s="920"/>
      <c r="H6" s="920"/>
      <c r="I6" s="920"/>
      <c r="J6" s="920"/>
      <c r="K6" s="921"/>
      <c r="L6" s="920"/>
      <c r="M6" s="921"/>
      <c r="N6" s="920"/>
      <c r="O6" s="921"/>
      <c r="P6" s="920"/>
      <c r="Q6" s="921"/>
      <c r="R6" s="920"/>
      <c r="S6" s="921"/>
      <c r="T6" s="920"/>
      <c r="U6" s="921"/>
      <c r="V6" s="920"/>
      <c r="W6" s="921"/>
      <c r="X6" s="920"/>
      <c r="Y6" s="921"/>
      <c r="Z6" s="920"/>
      <c r="AA6" s="921"/>
      <c r="AB6" s="920"/>
      <c r="AC6" s="921"/>
      <c r="AD6" s="920"/>
      <c r="AE6" s="921"/>
      <c r="AF6" s="920"/>
      <c r="AG6" s="921"/>
      <c r="AH6" s="920"/>
      <c r="AI6" s="921"/>
      <c r="AJ6" s="920"/>
      <c r="AK6" s="921"/>
      <c r="AL6" s="920"/>
      <c r="AM6" s="921"/>
      <c r="AN6" s="920"/>
      <c r="AO6" s="921"/>
      <c r="AP6" s="920"/>
      <c r="AQ6" s="921"/>
      <c r="AR6" s="920"/>
      <c r="AS6" s="921"/>
      <c r="AT6" s="920"/>
      <c r="AU6" s="921"/>
      <c r="AV6" s="920"/>
      <c r="AW6" s="921"/>
      <c r="AX6" s="922"/>
      <c r="AY6" s="923"/>
      <c r="AZ6" s="922"/>
      <c r="BA6" s="923"/>
      <c r="BB6" s="922"/>
      <c r="BC6" s="923"/>
      <c r="BD6" s="922"/>
      <c r="BE6" s="923"/>
      <c r="BF6" s="920"/>
      <c r="BG6" s="921"/>
      <c r="BH6" s="920"/>
      <c r="BI6" s="921"/>
      <c r="BJ6" s="920"/>
      <c r="BK6" s="921"/>
      <c r="BL6" s="920"/>
      <c r="BM6" s="921"/>
      <c r="BN6" s="920"/>
      <c r="BO6" s="921"/>
      <c r="BP6" s="920"/>
      <c r="BQ6" s="921"/>
      <c r="BR6" s="920"/>
      <c r="BS6" s="920"/>
      <c r="BT6" s="921"/>
      <c r="BU6" s="920"/>
      <c r="BV6" s="920"/>
      <c r="BW6" s="921"/>
      <c r="BX6" s="920"/>
      <c r="BY6" s="923"/>
      <c r="BZ6" s="922"/>
      <c r="CA6" s="921"/>
      <c r="CB6" s="920"/>
      <c r="CC6" s="920"/>
      <c r="CD6" s="921"/>
      <c r="CE6" s="920"/>
      <c r="CF6" s="921"/>
      <c r="CG6" s="921"/>
      <c r="CH6" s="920"/>
      <c r="CI6" s="921"/>
      <c r="CJ6" s="920"/>
      <c r="CK6" s="921"/>
      <c r="CL6" s="920"/>
      <c r="CM6" s="921"/>
      <c r="CN6" s="920"/>
      <c r="CO6" s="921"/>
      <c r="CP6" s="920"/>
      <c r="CQ6" s="921"/>
      <c r="CR6" s="920"/>
      <c r="CS6" s="921"/>
      <c r="CT6" s="920"/>
      <c r="CU6" s="921"/>
      <c r="CV6" s="920"/>
      <c r="CW6" s="923"/>
      <c r="CX6" s="922"/>
      <c r="CY6" s="923"/>
      <c r="CZ6" s="920"/>
      <c r="DA6" s="921"/>
      <c r="DB6" s="920"/>
      <c r="DC6" s="921"/>
      <c r="DD6" s="920"/>
      <c r="DE6" s="921"/>
      <c r="DF6" s="920"/>
      <c r="DG6" s="921"/>
      <c r="DH6" s="920"/>
      <c r="DI6" s="921"/>
      <c r="DJ6" s="920"/>
      <c r="DK6" s="920"/>
      <c r="DL6" s="921"/>
      <c r="DM6" s="920"/>
      <c r="DN6" s="920"/>
      <c r="DO6" s="920"/>
      <c r="DP6" s="921"/>
      <c r="DQ6" s="920"/>
      <c r="DR6" s="921"/>
      <c r="DS6" s="921"/>
      <c r="DT6" s="920"/>
      <c r="DU6" s="921"/>
      <c r="DV6" s="920"/>
      <c r="DW6" s="921"/>
      <c r="DX6" s="920"/>
      <c r="DY6" s="921"/>
      <c r="DZ6" s="920"/>
      <c r="EA6" s="921"/>
      <c r="EB6" s="921"/>
      <c r="EC6" s="921"/>
      <c r="ED6" s="920"/>
      <c r="EE6" s="921"/>
      <c r="EF6" s="920"/>
      <c r="EG6" s="921"/>
      <c r="EH6" s="920"/>
      <c r="EI6" s="921"/>
      <c r="EJ6" s="920"/>
      <c r="EK6" s="921"/>
      <c r="EL6" s="921"/>
      <c r="EM6" s="921"/>
      <c r="EN6" s="924"/>
      <c r="EO6" s="914"/>
      <c r="EQ6" s="913"/>
      <c r="ER6" s="913"/>
      <c r="ET6" s="913"/>
      <c r="EU6" s="913"/>
      <c r="EW6" s="913"/>
      <c r="EX6" s="913"/>
      <c r="EZ6" s="913"/>
      <c r="FB6" s="913"/>
      <c r="FC6" s="913"/>
      <c r="FE6" s="913"/>
      <c r="FF6" s="913"/>
    </row>
    <row r="7" spans="1:162" s="912" customFormat="1" ht="15.75" thickBot="1">
      <c r="C7" s="907"/>
      <c r="E7" s="914"/>
      <c r="F7" s="925"/>
      <c r="K7" s="924"/>
      <c r="M7" s="924"/>
      <c r="O7" s="924"/>
      <c r="Q7" s="924"/>
      <c r="S7" s="924"/>
      <c r="U7" s="924"/>
      <c r="W7" s="924"/>
      <c r="Y7" s="924"/>
      <c r="AA7" s="924"/>
      <c r="AC7" s="924"/>
      <c r="AE7" s="924"/>
      <c r="AG7" s="924"/>
      <c r="AI7" s="924"/>
      <c r="AK7" s="924"/>
      <c r="AM7" s="924"/>
      <c r="AO7" s="924"/>
      <c r="AQ7" s="924"/>
      <c r="AS7" s="924"/>
      <c r="AU7" s="924"/>
      <c r="AW7" s="924"/>
      <c r="AX7" s="926"/>
      <c r="AY7" s="927"/>
      <c r="AZ7" s="926"/>
      <c r="BA7" s="927"/>
      <c r="BB7" s="926"/>
      <c r="BC7" s="927"/>
      <c r="BD7" s="926"/>
      <c r="BE7" s="927"/>
      <c r="BG7" s="924"/>
      <c r="BI7" s="924"/>
      <c r="BK7" s="924"/>
      <c r="BM7" s="924"/>
      <c r="BO7" s="924"/>
      <c r="BQ7" s="924"/>
      <c r="BT7" s="924"/>
      <c r="BW7" s="924"/>
      <c r="BY7" s="927"/>
      <c r="BZ7" s="926"/>
      <c r="CA7" s="924"/>
      <c r="CD7" s="924"/>
      <c r="CF7" s="924"/>
      <c r="CG7" s="924"/>
      <c r="CI7" s="924"/>
      <c r="CK7" s="924"/>
      <c r="CM7" s="924"/>
      <c r="CO7" s="924"/>
      <c r="CQ7" s="924"/>
      <c r="CS7" s="924"/>
      <c r="CU7" s="924"/>
      <c r="CW7" s="927"/>
      <c r="CX7" s="926"/>
      <c r="CY7" s="927"/>
      <c r="DA7" s="924"/>
      <c r="DC7" s="924"/>
      <c r="DE7" s="924"/>
      <c r="DG7" s="924"/>
      <c r="DI7" s="924"/>
      <c r="DL7" s="924"/>
      <c r="DP7" s="924"/>
      <c r="DR7" s="924"/>
      <c r="DS7" s="924"/>
      <c r="DU7" s="924"/>
      <c r="DW7" s="924"/>
      <c r="DY7" s="924"/>
      <c r="EA7" s="924"/>
      <c r="EB7" s="924"/>
      <c r="EC7" s="924"/>
      <c r="EE7" s="924"/>
      <c r="EG7" s="924"/>
      <c r="EI7" s="924"/>
      <c r="EK7" s="924"/>
      <c r="EL7" s="924"/>
      <c r="EM7" s="924"/>
      <c r="EN7" s="924"/>
      <c r="EO7" s="914"/>
      <c r="EQ7" s="913"/>
      <c r="ER7" s="913"/>
      <c r="ET7" s="913"/>
      <c r="EU7" s="913"/>
      <c r="EW7" s="913"/>
      <c r="EX7" s="913"/>
      <c r="EZ7" s="913"/>
      <c r="FB7" s="913"/>
      <c r="FC7" s="913"/>
      <c r="FE7" s="913"/>
      <c r="FF7" s="913"/>
    </row>
    <row r="8" spans="1:162" s="912" customFormat="1" ht="5.0999999999999996" customHeight="1">
      <c r="C8" s="907"/>
      <c r="E8" s="914"/>
      <c r="F8" s="925"/>
      <c r="K8" s="924"/>
      <c r="M8" s="924"/>
      <c r="O8" s="924"/>
      <c r="Q8" s="924"/>
      <c r="S8" s="924"/>
      <c r="U8" s="924"/>
      <c r="W8" s="924"/>
      <c r="Y8" s="924"/>
      <c r="AA8" s="924"/>
      <c r="AC8" s="924"/>
      <c r="AE8" s="924"/>
      <c r="AG8" s="924"/>
      <c r="AI8" s="924"/>
      <c r="AK8" s="924"/>
      <c r="AM8" s="924"/>
      <c r="AO8" s="924"/>
      <c r="AQ8" s="924"/>
      <c r="AS8" s="924"/>
      <c r="AU8" s="924"/>
      <c r="AW8" s="924"/>
      <c r="AX8" s="926"/>
      <c r="AY8" s="927"/>
      <c r="AZ8" s="926"/>
      <c r="BA8" s="927"/>
      <c r="BB8" s="926"/>
      <c r="BC8" s="927"/>
      <c r="BD8" s="926"/>
      <c r="BE8" s="927"/>
      <c r="BG8" s="924"/>
      <c r="BI8" s="924"/>
      <c r="BK8" s="924"/>
      <c r="BM8" s="924"/>
      <c r="BO8" s="924"/>
      <c r="BQ8" s="924"/>
      <c r="BS8" s="928"/>
      <c r="BT8" s="1055"/>
      <c r="BU8" s="929"/>
      <c r="BW8" s="924"/>
      <c r="BY8" s="927"/>
      <c r="BZ8" s="926"/>
      <c r="CA8" s="924"/>
      <c r="CC8" s="928"/>
      <c r="CD8" s="1055"/>
      <c r="CE8" s="929"/>
      <c r="CF8" s="924"/>
      <c r="CG8" s="924"/>
      <c r="CI8" s="924"/>
      <c r="CK8" s="924"/>
      <c r="CM8" s="924"/>
      <c r="CO8" s="924"/>
      <c r="CQ8" s="924"/>
      <c r="CS8" s="924"/>
      <c r="CU8" s="924"/>
      <c r="CW8" s="927"/>
      <c r="CX8" s="926"/>
      <c r="CY8" s="927"/>
      <c r="DA8" s="924"/>
      <c r="DC8" s="924"/>
      <c r="DE8" s="924"/>
      <c r="DG8" s="924"/>
      <c r="DI8" s="924"/>
      <c r="DK8" s="928"/>
      <c r="DL8" s="1055"/>
      <c r="DM8" s="929"/>
      <c r="DO8" s="930"/>
      <c r="DP8" s="931"/>
      <c r="DQ8" s="932"/>
      <c r="DR8" s="924"/>
      <c r="DS8" s="924"/>
      <c r="DT8" s="933"/>
      <c r="DU8" s="934"/>
      <c r="DV8" s="935"/>
      <c r="DW8" s="934"/>
      <c r="DX8" s="935"/>
      <c r="DY8" s="934"/>
      <c r="DZ8" s="935"/>
      <c r="EA8" s="934"/>
      <c r="EB8" s="936"/>
      <c r="EC8" s="924"/>
      <c r="ED8" s="933"/>
      <c r="EE8" s="934"/>
      <c r="EF8" s="935"/>
      <c r="EG8" s="934"/>
      <c r="EH8" s="935"/>
      <c r="EI8" s="934"/>
      <c r="EJ8" s="935"/>
      <c r="EK8" s="934"/>
      <c r="EL8" s="936"/>
      <c r="EM8" s="924"/>
      <c r="EN8" s="924"/>
      <c r="EO8" s="937"/>
      <c r="EQ8" s="913"/>
      <c r="ER8" s="913"/>
      <c r="ET8" s="913"/>
      <c r="EU8" s="913"/>
      <c r="EW8" s="913"/>
      <c r="EX8" s="913"/>
      <c r="EZ8" s="913"/>
      <c r="FB8" s="913"/>
      <c r="FC8" s="913"/>
      <c r="FE8" s="913"/>
      <c r="FF8" s="913"/>
    </row>
    <row r="9" spans="1:162" ht="17.25">
      <c r="C9" s="915"/>
      <c r="G9" s="938"/>
      <c r="H9" s="938"/>
      <c r="I9" s="1071"/>
      <c r="K9" s="939" t="s">
        <v>613</v>
      </c>
      <c r="L9" s="1076"/>
      <c r="M9" s="939" t="s">
        <v>614</v>
      </c>
      <c r="N9" s="1076"/>
      <c r="O9" s="939" t="s">
        <v>615</v>
      </c>
      <c r="P9" s="940"/>
      <c r="Q9" s="939" t="s">
        <v>616</v>
      </c>
      <c r="R9" s="940"/>
      <c r="S9" s="939" t="s">
        <v>617</v>
      </c>
      <c r="T9" s="940"/>
      <c r="U9" s="939" t="s">
        <v>618</v>
      </c>
      <c r="V9" s="940"/>
      <c r="W9" s="939" t="s">
        <v>619</v>
      </c>
      <c r="X9" s="940"/>
      <c r="Y9" s="939" t="s">
        <v>620</v>
      </c>
      <c r="Z9" s="940"/>
      <c r="AA9" s="939" t="s">
        <v>621</v>
      </c>
      <c r="AB9" s="940"/>
      <c r="AC9" s="939" t="s">
        <v>622</v>
      </c>
      <c r="AD9" s="940"/>
      <c r="AE9" s="939" t="s">
        <v>623</v>
      </c>
      <c r="AF9" s="940"/>
      <c r="AG9" s="939" t="s">
        <v>624</v>
      </c>
      <c r="AH9" s="940"/>
      <c r="AI9" s="939" t="s">
        <v>625</v>
      </c>
      <c r="AJ9" s="940"/>
      <c r="AK9" s="939" t="s">
        <v>626</v>
      </c>
      <c r="AL9" s="940"/>
      <c r="AM9" s="939" t="s">
        <v>627</v>
      </c>
      <c r="AN9" s="940"/>
      <c r="AO9" s="939" t="s">
        <v>628</v>
      </c>
      <c r="AP9" s="940"/>
      <c r="AQ9" s="939" t="s">
        <v>629</v>
      </c>
      <c r="AR9" s="940"/>
      <c r="AS9" s="939" t="s">
        <v>630</v>
      </c>
      <c r="AT9" s="940"/>
      <c r="AU9" s="939" t="s">
        <v>631</v>
      </c>
      <c r="AV9" s="940"/>
      <c r="AW9" s="939" t="s">
        <v>632</v>
      </c>
      <c r="AX9" s="940"/>
      <c r="AY9" s="939" t="s">
        <v>633</v>
      </c>
      <c r="AZ9" s="940"/>
      <c r="BA9" s="939" t="s">
        <v>634</v>
      </c>
      <c r="BB9" s="940"/>
      <c r="BC9" s="939" t="s">
        <v>635</v>
      </c>
      <c r="BD9" s="940"/>
      <c r="BE9" s="939" t="s">
        <v>636</v>
      </c>
      <c r="BF9" s="940"/>
      <c r="BG9" s="939" t="s">
        <v>637</v>
      </c>
      <c r="BH9" s="940"/>
      <c r="BI9" s="939" t="s">
        <v>638</v>
      </c>
      <c r="BJ9" s="941"/>
      <c r="BK9" s="939" t="s">
        <v>639</v>
      </c>
      <c r="BL9" s="941"/>
      <c r="BM9" s="939" t="s">
        <v>640</v>
      </c>
      <c r="BN9" s="941"/>
      <c r="BO9" s="939"/>
      <c r="BP9" s="941"/>
      <c r="BQ9" s="939"/>
      <c r="BS9" s="942"/>
      <c r="BT9" s="1056" t="s">
        <v>641</v>
      </c>
      <c r="BU9" s="943"/>
      <c r="BV9" s="941"/>
      <c r="BW9" s="944" t="s">
        <v>642</v>
      </c>
      <c r="BX9" s="941"/>
      <c r="BY9" s="944" t="s">
        <v>643</v>
      </c>
      <c r="BZ9" s="940"/>
      <c r="CA9" s="944"/>
      <c r="CC9" s="942"/>
      <c r="CD9" s="1056" t="s">
        <v>641</v>
      </c>
      <c r="CE9" s="943"/>
      <c r="CG9" s="945" t="s">
        <v>644</v>
      </c>
      <c r="CH9" s="941"/>
      <c r="CI9" s="945" t="s">
        <v>645</v>
      </c>
      <c r="CJ9" s="941"/>
      <c r="CK9" s="945" t="s">
        <v>646</v>
      </c>
      <c r="CL9" s="941"/>
      <c r="CM9" s="945" t="s">
        <v>647</v>
      </c>
      <c r="CN9" s="941"/>
      <c r="CO9" s="945" t="s">
        <v>648</v>
      </c>
      <c r="CP9" s="941"/>
      <c r="CQ9" s="945" t="s">
        <v>649</v>
      </c>
      <c r="CR9" s="941"/>
      <c r="CS9" s="945" t="s">
        <v>650</v>
      </c>
      <c r="CT9" s="941"/>
      <c r="CU9" s="945" t="s">
        <v>632</v>
      </c>
      <c r="CV9" s="941"/>
      <c r="CW9" s="945" t="s">
        <v>635</v>
      </c>
      <c r="CX9" s="941"/>
      <c r="CY9" s="945" t="s">
        <v>636</v>
      </c>
      <c r="CZ9" s="941"/>
      <c r="DA9" s="945" t="s">
        <v>637</v>
      </c>
      <c r="DB9" s="941"/>
      <c r="DC9" s="945" t="s">
        <v>638</v>
      </c>
      <c r="DD9" s="941"/>
      <c r="DE9" s="945" t="s">
        <v>651</v>
      </c>
      <c r="DF9" s="941"/>
      <c r="DG9" s="945"/>
      <c r="DH9" s="941"/>
      <c r="DI9" s="945"/>
      <c r="DK9" s="942"/>
      <c r="DL9" s="1056" t="s">
        <v>641</v>
      </c>
      <c r="DM9" s="943"/>
      <c r="DO9" s="946"/>
      <c r="DP9" s="947" t="s">
        <v>652</v>
      </c>
      <c r="DQ9" s="948"/>
      <c r="DT9" s="949"/>
      <c r="DU9" s="950" t="s">
        <v>653</v>
      </c>
      <c r="DW9" s="950" t="s">
        <v>653</v>
      </c>
      <c r="DY9" s="950" t="s">
        <v>653</v>
      </c>
      <c r="EA9" s="951" t="s">
        <v>653</v>
      </c>
      <c r="EB9" s="952"/>
      <c r="ED9" s="949"/>
      <c r="EE9" s="950" t="s">
        <v>654</v>
      </c>
      <c r="EG9" s="950" t="s">
        <v>654</v>
      </c>
      <c r="EI9" s="950" t="s">
        <v>654</v>
      </c>
      <c r="EK9" s="951" t="s">
        <v>654</v>
      </c>
      <c r="EL9" s="952"/>
      <c r="EQ9" s="953" t="s">
        <v>258</v>
      </c>
      <c r="ER9" s="953"/>
      <c r="ET9" s="953" t="s">
        <v>655</v>
      </c>
      <c r="EU9" s="953"/>
      <c r="EW9" s="953" t="s">
        <v>253</v>
      </c>
      <c r="EX9" s="953"/>
      <c r="EZ9" s="953" t="s">
        <v>656</v>
      </c>
      <c r="FB9" s="953" t="s">
        <v>657</v>
      </c>
      <c r="FC9" s="953" t="s">
        <v>657</v>
      </c>
      <c r="FE9" s="953" t="s">
        <v>658</v>
      </c>
      <c r="FF9" s="953" t="s">
        <v>658</v>
      </c>
    </row>
    <row r="10" spans="1:162" ht="60">
      <c r="C10" s="954" t="s">
        <v>610</v>
      </c>
      <c r="G10" s="955" t="s">
        <v>659</v>
      </c>
      <c r="H10" s="956" t="s">
        <v>5</v>
      </c>
      <c r="I10" s="1070" t="s">
        <v>660</v>
      </c>
      <c r="K10" s="957" t="s">
        <v>661</v>
      </c>
      <c r="L10" s="1077"/>
      <c r="M10" s="957" t="s">
        <v>662</v>
      </c>
      <c r="N10" s="1077"/>
      <c r="O10" s="957" t="s">
        <v>663</v>
      </c>
      <c r="P10" s="958"/>
      <c r="Q10" s="957" t="s">
        <v>664</v>
      </c>
      <c r="R10" s="958"/>
      <c r="S10" s="957" t="s">
        <v>665</v>
      </c>
      <c r="T10" s="958"/>
      <c r="U10" s="957" t="s">
        <v>666</v>
      </c>
      <c r="V10" s="958"/>
      <c r="W10" s="957" t="s">
        <v>667</v>
      </c>
      <c r="X10" s="958"/>
      <c r="Y10" s="957" t="s">
        <v>668</v>
      </c>
      <c r="Z10" s="958"/>
      <c r="AA10" s="957" t="s">
        <v>669</v>
      </c>
      <c r="AB10" s="958"/>
      <c r="AC10" s="957" t="s">
        <v>670</v>
      </c>
      <c r="AD10" s="958"/>
      <c r="AE10" s="957" t="s">
        <v>671</v>
      </c>
      <c r="AF10" s="958"/>
      <c r="AG10" s="957" t="s">
        <v>672</v>
      </c>
      <c r="AH10" s="958"/>
      <c r="AI10" s="957" t="s">
        <v>673</v>
      </c>
      <c r="AJ10" s="958"/>
      <c r="AK10" s="957" t="s">
        <v>674</v>
      </c>
      <c r="AL10" s="958"/>
      <c r="AM10" s="957" t="s">
        <v>675</v>
      </c>
      <c r="AN10" s="958"/>
      <c r="AO10" s="957" t="s">
        <v>676</v>
      </c>
      <c r="AP10" s="958"/>
      <c r="AQ10" s="957" t="s">
        <v>677</v>
      </c>
      <c r="AR10" s="958"/>
      <c r="AS10" s="957" t="s">
        <v>678</v>
      </c>
      <c r="AT10" s="958"/>
      <c r="AU10" s="957" t="s">
        <v>679</v>
      </c>
      <c r="AV10" s="958"/>
      <c r="AW10" s="957" t="s">
        <v>680</v>
      </c>
      <c r="AX10" s="958"/>
      <c r="AY10" s="957" t="s">
        <v>681</v>
      </c>
      <c r="AZ10" s="958"/>
      <c r="BA10" s="957" t="s">
        <v>682</v>
      </c>
      <c r="BB10" s="958"/>
      <c r="BC10" s="957" t="s">
        <v>309</v>
      </c>
      <c r="BD10" s="958"/>
      <c r="BE10" s="957" t="s">
        <v>683</v>
      </c>
      <c r="BF10" s="958"/>
      <c r="BG10" s="957" t="s">
        <v>684</v>
      </c>
      <c r="BH10" s="958"/>
      <c r="BI10" s="957" t="s">
        <v>685</v>
      </c>
      <c r="BJ10" s="959"/>
      <c r="BK10" s="957" t="s">
        <v>686</v>
      </c>
      <c r="BL10" s="959"/>
      <c r="BM10" s="957" t="s">
        <v>687</v>
      </c>
      <c r="BN10" s="959"/>
      <c r="BO10" s="957" t="s">
        <v>688</v>
      </c>
      <c r="BP10" s="959"/>
      <c r="BQ10" s="957" t="s">
        <v>689</v>
      </c>
      <c r="BS10" s="942"/>
      <c r="BT10" s="1057" t="s">
        <v>258</v>
      </c>
      <c r="BU10" s="943"/>
      <c r="BV10" s="959"/>
      <c r="BW10" s="960" t="s">
        <v>690</v>
      </c>
      <c r="BX10" s="959"/>
      <c r="BY10" s="960" t="s">
        <v>691</v>
      </c>
      <c r="BZ10" s="958"/>
      <c r="CA10" s="960" t="s">
        <v>692</v>
      </c>
      <c r="CC10" s="942"/>
      <c r="CD10" s="1057" t="s">
        <v>655</v>
      </c>
      <c r="CE10" s="943"/>
      <c r="CG10" s="961" t="s">
        <v>693</v>
      </c>
      <c r="CH10" s="959"/>
      <c r="CI10" s="961" t="s">
        <v>694</v>
      </c>
      <c r="CJ10" s="959"/>
      <c r="CK10" s="961" t="s">
        <v>695</v>
      </c>
      <c r="CL10" s="959"/>
      <c r="CM10" s="961" t="s">
        <v>696</v>
      </c>
      <c r="CN10" s="959"/>
      <c r="CO10" s="961" t="s">
        <v>697</v>
      </c>
      <c r="CP10" s="959"/>
      <c r="CQ10" s="961" t="s">
        <v>698</v>
      </c>
      <c r="CR10" s="959"/>
      <c r="CS10" s="961" t="s">
        <v>699</v>
      </c>
      <c r="CT10" s="959"/>
      <c r="CU10" s="961" t="s">
        <v>680</v>
      </c>
      <c r="CV10" s="959"/>
      <c r="CW10" s="961" t="s">
        <v>309</v>
      </c>
      <c r="CX10" s="959"/>
      <c r="CY10" s="961" t="s">
        <v>683</v>
      </c>
      <c r="CZ10" s="959"/>
      <c r="DA10" s="961" t="s">
        <v>684</v>
      </c>
      <c r="DB10" s="959"/>
      <c r="DC10" s="961" t="s">
        <v>685</v>
      </c>
      <c r="DD10" s="959"/>
      <c r="DE10" s="961" t="s">
        <v>700</v>
      </c>
      <c r="DF10" s="959"/>
      <c r="DG10" s="961" t="s">
        <v>701</v>
      </c>
      <c r="DH10" s="959"/>
      <c r="DI10" s="961" t="s">
        <v>702</v>
      </c>
      <c r="DK10" s="942"/>
      <c r="DL10" s="1057" t="s">
        <v>253</v>
      </c>
      <c r="DM10" s="943"/>
      <c r="DO10" s="946"/>
      <c r="DP10" s="962" t="s">
        <v>703</v>
      </c>
      <c r="DQ10" s="948"/>
      <c r="DT10" s="949"/>
      <c r="DU10" s="963" t="s">
        <v>258</v>
      </c>
      <c r="DW10" s="963" t="s">
        <v>655</v>
      </c>
      <c r="DY10" s="963" t="s">
        <v>253</v>
      </c>
      <c r="EA10" s="964" t="s">
        <v>703</v>
      </c>
      <c r="EB10" s="952"/>
      <c r="ED10" s="949"/>
      <c r="EE10" s="963" t="s">
        <v>258</v>
      </c>
      <c r="EG10" s="963" t="s">
        <v>655</v>
      </c>
      <c r="EI10" s="963" t="s">
        <v>253</v>
      </c>
      <c r="EK10" s="964" t="s">
        <v>703</v>
      </c>
      <c r="EL10" s="952"/>
      <c r="EQ10" s="965" t="s">
        <v>704</v>
      </c>
      <c r="ER10" s="966" t="s">
        <v>705</v>
      </c>
      <c r="ET10" s="965" t="s">
        <v>704</v>
      </c>
      <c r="EU10" s="966" t="s">
        <v>705</v>
      </c>
      <c r="EW10" s="965" t="s">
        <v>704</v>
      </c>
      <c r="EX10" s="966" t="s">
        <v>705</v>
      </c>
      <c r="EZ10" s="966" t="s">
        <v>706</v>
      </c>
      <c r="FB10" s="967" t="s">
        <v>707</v>
      </c>
      <c r="FC10" s="966" t="s">
        <v>706</v>
      </c>
      <c r="FE10" s="967" t="s">
        <v>707</v>
      </c>
      <c r="FF10" s="966" t="s">
        <v>706</v>
      </c>
    </row>
    <row r="11" spans="1:162" ht="3.2" customHeight="1">
      <c r="AX11" s="916"/>
      <c r="AY11" s="916"/>
      <c r="AZ11" s="916"/>
      <c r="BA11" s="916"/>
      <c r="BB11" s="916"/>
      <c r="BC11" s="916"/>
      <c r="BD11" s="916"/>
      <c r="BE11" s="916"/>
      <c r="BS11" s="942"/>
      <c r="BU11" s="943"/>
      <c r="BY11" s="916"/>
      <c r="BZ11" s="916"/>
      <c r="CC11" s="942"/>
      <c r="CE11" s="943"/>
      <c r="CW11" s="916"/>
      <c r="CX11" s="916"/>
      <c r="CY11" s="916"/>
      <c r="DK11" s="942"/>
      <c r="DM11" s="943"/>
      <c r="DO11" s="946"/>
      <c r="DQ11" s="948"/>
      <c r="DT11" s="949"/>
      <c r="EB11" s="952"/>
      <c r="ED11" s="949"/>
      <c r="EL11" s="952"/>
    </row>
    <row r="12" spans="1:162" s="918" customFormat="1">
      <c r="C12" s="968" t="s">
        <v>708</v>
      </c>
      <c r="G12" s="978">
        <v>1</v>
      </c>
      <c r="H12" s="979" t="s">
        <v>708</v>
      </c>
      <c r="I12" s="971"/>
      <c r="J12" s="980"/>
      <c r="K12" s="981">
        <f>'[21]FY26_Labor Operating Expenses'!G13</f>
        <v>2</v>
      </c>
      <c r="L12" s="981"/>
      <c r="M12" s="981">
        <f>'[21]FY26_Labor Operating Expenses'!I13</f>
        <v>7</v>
      </c>
      <c r="N12" s="982"/>
      <c r="O12" s="981">
        <f>'[21]FY26_Labor Operating Expenses'!K13</f>
        <v>2</v>
      </c>
      <c r="P12" s="982"/>
      <c r="Q12" s="981">
        <f>'[21]FY26_Labor Operating Expenses'!M13</f>
        <v>2</v>
      </c>
      <c r="R12" s="982"/>
      <c r="S12" s="981">
        <f>'[21]FY26_Labor Operating Expenses'!O13</f>
        <v>1</v>
      </c>
      <c r="T12" s="982"/>
      <c r="U12" s="981">
        <f>'[21]FY26_Labor Operating Expenses'!Q13</f>
        <v>1</v>
      </c>
      <c r="V12" s="982"/>
      <c r="W12" s="981">
        <f>'[21]FY26_Labor Operating Expenses'!S13</f>
        <v>3</v>
      </c>
      <c r="X12" s="982"/>
      <c r="Y12" s="981">
        <f>'[21]FY26_Labor Operating Expenses'!U13</f>
        <v>10</v>
      </c>
      <c r="Z12" s="982"/>
      <c r="AA12" s="981">
        <f>'[21]FY26_Labor Operating Expenses'!W13</f>
        <v>4</v>
      </c>
      <c r="AB12" s="982"/>
      <c r="AC12" s="981">
        <f>'[21]FY26_Labor Operating Expenses'!Y13</f>
        <v>4</v>
      </c>
      <c r="AD12" s="982"/>
      <c r="AE12" s="981">
        <f>'[21]FY26_Labor Operating Expenses'!AA13</f>
        <v>9</v>
      </c>
      <c r="AF12" s="982"/>
      <c r="AG12" s="981">
        <f>'[21]FY26_Labor Operating Expenses'!AC13</f>
        <v>1</v>
      </c>
      <c r="AH12" s="982"/>
      <c r="AI12" s="981">
        <f>'[21]FY26_Labor Operating Expenses'!AE13</f>
        <v>3</v>
      </c>
      <c r="AJ12" s="982"/>
      <c r="AK12" s="981">
        <f>'[21]FY26_Labor Operating Expenses'!AG13</f>
        <v>5</v>
      </c>
      <c r="AL12" s="982"/>
      <c r="AM12" s="981">
        <f>'[21]FY26_Labor Operating Expenses'!AI13</f>
        <v>1</v>
      </c>
      <c r="AN12" s="982"/>
      <c r="AO12" s="981">
        <f>'[21]FY26_Labor Operating Expenses'!AK13</f>
        <v>3</v>
      </c>
      <c r="AP12" s="982"/>
      <c r="AQ12" s="981">
        <f>'[21]FY26_Labor Operating Expenses'!AM13</f>
        <v>10</v>
      </c>
      <c r="AR12" s="982"/>
      <c r="AS12" s="981">
        <f>'[21]FY26_Labor Operating Expenses'!AO13</f>
        <v>1</v>
      </c>
      <c r="AT12" s="982"/>
      <c r="AU12" s="981">
        <f>'[21]FY26_Labor Operating Expenses'!AQ13</f>
        <v>2</v>
      </c>
      <c r="AV12" s="982"/>
      <c r="AW12" s="981">
        <f>'[21]FY26_Labor Operating Expenses'!AS13</f>
        <v>4</v>
      </c>
      <c r="AX12" s="983"/>
      <c r="AY12" s="984"/>
      <c r="AZ12" s="983"/>
      <c r="BA12" s="984"/>
      <c r="BB12" s="983"/>
      <c r="BC12" s="984"/>
      <c r="BD12" s="983"/>
      <c r="BE12" s="984"/>
      <c r="BF12" s="985"/>
      <c r="BG12" s="984"/>
      <c r="BH12" s="985"/>
      <c r="BI12" s="984"/>
      <c r="BJ12" s="985"/>
      <c r="BK12" s="984"/>
      <c r="BL12" s="985"/>
      <c r="BM12" s="984"/>
      <c r="BN12" s="982"/>
      <c r="BO12" s="981" t="s">
        <v>709</v>
      </c>
      <c r="BP12" s="982"/>
      <c r="BQ12" s="986">
        <f>'[21]FY26_Labor Operating Expenses'!AY13</f>
        <v>30</v>
      </c>
      <c r="BR12" s="914"/>
      <c r="BS12" s="972"/>
      <c r="BT12" s="989">
        <f>SUM(K12:BQ12)</f>
        <v>105</v>
      </c>
      <c r="BU12" s="973"/>
      <c r="BV12" s="914"/>
      <c r="BW12" s="987">
        <f>'[21]FY26_Labor Operating Expenses'!I36</f>
        <v>22</v>
      </c>
      <c r="BX12" s="982"/>
      <c r="BY12" s="984"/>
      <c r="BZ12" s="983"/>
      <c r="CA12" s="988">
        <f>'[21]FY26_Labor Operating Expenses'!K36</f>
        <v>3</v>
      </c>
      <c r="CB12" s="914"/>
      <c r="CC12" s="972"/>
      <c r="CD12" s="989">
        <f>SUM(BW12:CA12)</f>
        <v>25</v>
      </c>
      <c r="CE12" s="973"/>
      <c r="CG12" s="981">
        <f>'[21]FY26_Labor Operating Expenses'!G59</f>
        <v>1</v>
      </c>
      <c r="CH12" s="982"/>
      <c r="CI12" s="981">
        <f>'[21]FY26_Labor Operating Expenses'!I59</f>
        <v>7</v>
      </c>
      <c r="CJ12" s="982"/>
      <c r="CK12" s="981">
        <f>'[21]FY26_Labor Operating Expenses'!K59</f>
        <v>1</v>
      </c>
      <c r="CL12" s="982"/>
      <c r="CM12" s="981">
        <f>'[21]FY26_Labor Operating Expenses'!M59</f>
        <v>14</v>
      </c>
      <c r="CN12" s="982"/>
      <c r="CO12" s="981">
        <f>'[21]FY26_Labor Operating Expenses'!O59</f>
        <v>6</v>
      </c>
      <c r="CP12" s="982"/>
      <c r="CQ12" s="981">
        <f>'[21]FY26_Labor Operating Expenses'!Q59</f>
        <v>14</v>
      </c>
      <c r="CR12" s="982"/>
      <c r="CS12" s="981">
        <f>'[21]FY26_Labor Operating Expenses'!S59</f>
        <v>7</v>
      </c>
      <c r="CT12" s="982"/>
      <c r="CU12" s="984"/>
      <c r="CV12" s="984"/>
      <c r="CW12" s="984"/>
      <c r="CX12" s="983"/>
      <c r="CY12" s="984"/>
      <c r="CZ12" s="985"/>
      <c r="DA12" s="984"/>
      <c r="DB12" s="985"/>
      <c r="DC12" s="984"/>
      <c r="DD12" s="985"/>
      <c r="DE12" s="984"/>
      <c r="DF12" s="982"/>
      <c r="DG12" s="981" t="s">
        <v>709</v>
      </c>
      <c r="DH12" s="982"/>
      <c r="DI12" s="986">
        <f>'[21]FY26_Labor Operating Expenses'!Y59</f>
        <v>67</v>
      </c>
      <c r="DJ12" s="914"/>
      <c r="DK12" s="972"/>
      <c r="DL12" s="989">
        <f>SUM(CG12:DI12)</f>
        <v>117</v>
      </c>
      <c r="DM12" s="973"/>
      <c r="DO12" s="974"/>
      <c r="DP12" s="989">
        <f>SUM(BT12,CD12,DL12)</f>
        <v>247</v>
      </c>
      <c r="DQ12" s="975"/>
      <c r="DT12" s="976"/>
      <c r="DU12" s="989">
        <f>'[21]FY26-FY28_HoldCo Budget Proj'!AD14</f>
        <v>105</v>
      </c>
      <c r="DW12" s="989">
        <f>'[21]FY26-FY28_Retiro Budget Proj'!AD14</f>
        <v>25</v>
      </c>
      <c r="DY12" s="989">
        <f>'[21]FY26-FY28_HydroCo Budget Proj'!AD14</f>
        <v>117</v>
      </c>
      <c r="EA12" s="989">
        <f>SUM(DU12,DW12,DY12)</f>
        <v>247</v>
      </c>
      <c r="EB12" s="977"/>
      <c r="ED12" s="976"/>
      <c r="EE12" s="989">
        <f>'[21]FY26-FY28_HoldCo Budget Proj'!AF14</f>
        <v>105</v>
      </c>
      <c r="EG12" s="989">
        <f>'[21]FY26-FY28_Retiro Budget Proj'!AF14</f>
        <v>25</v>
      </c>
      <c r="EI12" s="989">
        <f>'[21]FY26-FY28_HydroCo Budget Proj'!AF14</f>
        <v>117</v>
      </c>
      <c r="EK12" s="989">
        <f>SUM(EE12,EG12,EI12)</f>
        <v>247</v>
      </c>
      <c r="EL12" s="977"/>
      <c r="EQ12" s="917">
        <f>'[21]FY26_Labor Operating Expenses'!BA13-BT12</f>
        <v>0</v>
      </c>
      <c r="ER12" s="990" t="s">
        <v>709</v>
      </c>
      <c r="ET12" s="917">
        <f>'[21]FY26_Labor Operating Expenses'!M36-CD12</f>
        <v>0</v>
      </c>
      <c r="EU12" s="913">
        <f>SUM(BW12:CA12)-CD12</f>
        <v>0</v>
      </c>
      <c r="EW12" s="917">
        <f>'[21]FY26_Labor Operating Expenses'!AA59-DL12</f>
        <v>0</v>
      </c>
      <c r="EX12" s="990" t="s">
        <v>709</v>
      </c>
      <c r="EZ12" s="990"/>
      <c r="FB12" s="990"/>
      <c r="FC12" s="990"/>
      <c r="FE12" s="990"/>
      <c r="FF12" s="990"/>
    </row>
    <row r="13" spans="1:162" s="918" customFormat="1" ht="17.25">
      <c r="C13" s="969"/>
      <c r="G13" s="970" t="str">
        <f>IF(I13&gt;0,MAX($G$12:G12)+1,"")</f>
        <v/>
      </c>
      <c r="H13" s="971" t="s">
        <v>710</v>
      </c>
      <c r="I13" s="979"/>
      <c r="AX13" s="970"/>
      <c r="AY13" s="970"/>
      <c r="AZ13" s="970"/>
      <c r="BA13" s="970"/>
      <c r="BB13" s="970"/>
      <c r="BC13" s="970"/>
      <c r="BD13" s="970"/>
      <c r="BE13" s="970"/>
      <c r="BR13" s="914"/>
      <c r="BS13" s="972"/>
      <c r="BU13" s="973"/>
      <c r="BY13" s="970"/>
      <c r="BZ13" s="970"/>
      <c r="CB13" s="914"/>
      <c r="CC13" s="972"/>
      <c r="CE13" s="973"/>
      <c r="CU13" s="970"/>
      <c r="CW13" s="970"/>
      <c r="CX13" s="970"/>
      <c r="CY13" s="970"/>
      <c r="DJ13" s="914"/>
      <c r="DK13" s="972"/>
      <c r="DM13" s="973"/>
      <c r="DO13" s="974"/>
      <c r="DQ13" s="975"/>
      <c r="DT13" s="976"/>
      <c r="EB13" s="977"/>
      <c r="ED13" s="976"/>
      <c r="EL13" s="977"/>
      <c r="EQ13" s="917"/>
      <c r="ER13" s="990"/>
      <c r="ET13" s="917"/>
      <c r="EU13" s="990"/>
      <c r="EW13" s="917"/>
      <c r="EX13" s="990"/>
      <c r="EZ13" s="990"/>
      <c r="FB13" s="990"/>
      <c r="FC13" s="990"/>
      <c r="FE13" s="990"/>
      <c r="FF13" s="990"/>
    </row>
    <row r="14" spans="1:162">
      <c r="C14" s="968" t="s">
        <v>299</v>
      </c>
      <c r="G14" s="916" t="e">
        <f>IF(#REF!&gt;0,MAX($G$12:G13)+1,"")</f>
        <v>#REF!</v>
      </c>
      <c r="H14" s="991" t="s">
        <v>299</v>
      </c>
      <c r="I14" s="80" t="s">
        <v>299</v>
      </c>
      <c r="K14" s="992">
        <f>'[21]FY26_Labor Operating Expenses'!G15/10^3</f>
        <v>212.7645</v>
      </c>
      <c r="M14" s="992">
        <f>'[21]FY26_Labor Operating Expenses'!I15/10^3</f>
        <v>632.80444499999999</v>
      </c>
      <c r="O14" s="992">
        <f>'[21]FY26_Labor Operating Expenses'!K15/10^3</f>
        <v>154.81049999999999</v>
      </c>
      <c r="Q14" s="992">
        <f>'[21]FY26_Labor Operating Expenses'!M15/10^3</f>
        <v>228.15</v>
      </c>
      <c r="S14" s="992">
        <f>'[21]FY26_Labor Operating Expenses'!O15/10^3</f>
        <v>64.934999999999988</v>
      </c>
      <c r="U14" s="992">
        <f>'[21]FY26_Labor Operating Expenses'!Q15/10^3</f>
        <v>124.8</v>
      </c>
      <c r="W14" s="992">
        <f>'[21]FY26_Labor Operating Expenses'!S15/10^3</f>
        <v>235.50149999999999</v>
      </c>
      <c r="Y14" s="992">
        <f>'[21]FY26_Labor Operating Expenses'!U15/10^3</f>
        <v>609.70650000000001</v>
      </c>
      <c r="AA14" s="992">
        <f>'[21]FY26_Labor Operating Expenses'!W15/10^3</f>
        <v>329.19900000000001</v>
      </c>
      <c r="AC14" s="992">
        <f>'[21]FY26_Labor Operating Expenses'!Y15/10^3</f>
        <v>245.25149999999999</v>
      </c>
      <c r="AE14" s="992">
        <f>'[21]FY26_Labor Operating Expenses'!AA15/10^3</f>
        <v>647.41949999999997</v>
      </c>
      <c r="AG14" s="992">
        <f>'[21]FY26_Labor Operating Expenses'!AC15/10^3</f>
        <v>73.066500000000005</v>
      </c>
      <c r="AI14" s="992">
        <f>'[21]FY26_Labor Operating Expenses'!AE15/10^3</f>
        <v>204.75</v>
      </c>
      <c r="AK14" s="992">
        <f>'[21]FY26_Labor Operating Expenses'!AG15/10^3</f>
        <v>337.779</v>
      </c>
      <c r="AM14" s="992">
        <f>'[21]FY26_Labor Operating Expenses'!AI15/10^3</f>
        <v>78</v>
      </c>
      <c r="AO14" s="992">
        <f>'[21]FY26_Labor Operating Expenses'!AK15/10^3</f>
        <v>120.8805</v>
      </c>
      <c r="AQ14" s="992">
        <f>'[21]FY26_Labor Operating Expenses'!AM15/10^3</f>
        <v>667.54349999999999</v>
      </c>
      <c r="AS14" s="992">
        <f>'[21]FY26_Labor Operating Expenses'!AO15/10^3</f>
        <v>87.75</v>
      </c>
      <c r="AU14" s="992">
        <f>'[21]FY26_Labor Operating Expenses'!AQ15/10^3</f>
        <v>131.25450000000001</v>
      </c>
      <c r="AW14" s="992">
        <f>'[21]FY26_Labor Operating Expenses'!AS15/10^3</f>
        <v>256.89299999999997</v>
      </c>
      <c r="AX14" s="993"/>
      <c r="AY14" s="994"/>
      <c r="AZ14" s="1078"/>
      <c r="BA14" s="994"/>
      <c r="BB14" s="995"/>
      <c r="BC14" s="994"/>
      <c r="BD14" s="995"/>
      <c r="BE14" s="994"/>
      <c r="BF14" s="996"/>
      <c r="BG14" s="997"/>
      <c r="BH14" s="996"/>
      <c r="BI14" s="997"/>
      <c r="BJ14" s="996"/>
      <c r="BK14" s="997"/>
      <c r="BL14" s="996"/>
      <c r="BM14" s="997"/>
      <c r="BO14" s="998">
        <f>'[21]FY26_Labor Operating Expenses'!AW15/10^3</f>
        <v>94.549750000000003</v>
      </c>
      <c r="BQ14" s="998">
        <f>'[21]FY26_Labor Operating Expenses'!AY15/10^3</f>
        <v>1869.8805</v>
      </c>
      <c r="BS14" s="942"/>
      <c r="BT14" s="999">
        <v>7407.689695</v>
      </c>
      <c r="BU14" s="943"/>
      <c r="BW14" s="992">
        <v>970.78800000000001</v>
      </c>
      <c r="BY14" s="994"/>
      <c r="BZ14" s="995"/>
      <c r="CA14" s="992">
        <v>126</v>
      </c>
      <c r="CC14" s="942"/>
      <c r="CD14" s="999">
        <v>1096.788</v>
      </c>
      <c r="CE14" s="943"/>
      <c r="CG14" s="992">
        <v>41.047499999999999</v>
      </c>
      <c r="CI14" s="992">
        <v>398.61900000000003</v>
      </c>
      <c r="CK14" s="992">
        <v>72.266999999999996</v>
      </c>
      <c r="CM14" s="992">
        <v>528.39149999999995</v>
      </c>
      <c r="CO14" s="992">
        <v>253.12950000000001</v>
      </c>
      <c r="CQ14" s="992">
        <v>523.04849999999999</v>
      </c>
      <c r="CS14" s="992">
        <v>271.14749999999998</v>
      </c>
      <c r="CU14" s="994"/>
      <c r="CV14" s="995"/>
      <c r="CW14" s="994"/>
      <c r="CX14" s="995"/>
      <c r="CY14" s="994"/>
      <c r="CZ14" s="996"/>
      <c r="DA14" s="997"/>
      <c r="DB14" s="996"/>
      <c r="DC14" s="997"/>
      <c r="DD14" s="996"/>
      <c r="DE14" s="997"/>
      <c r="DG14" s="998">
        <v>433.44225</v>
      </c>
      <c r="DI14" s="998">
        <v>2632.2738541666663</v>
      </c>
      <c r="DK14" s="942"/>
      <c r="DL14" s="999">
        <v>5153.3666041666665</v>
      </c>
      <c r="DM14" s="943"/>
      <c r="DO14" s="946"/>
      <c r="DP14" s="999">
        <v>13657.844299166667</v>
      </c>
      <c r="DQ14" s="948"/>
      <c r="DT14" s="949"/>
      <c r="DU14" s="999">
        <v>7528.6011705132414</v>
      </c>
      <c r="DW14" s="999">
        <v>1114.6902422462874</v>
      </c>
      <c r="DY14" s="999">
        <v>5237.4820552216725</v>
      </c>
      <c r="EA14" s="999">
        <v>13880.773467981202</v>
      </c>
      <c r="EB14" s="952"/>
      <c r="ED14" s="949"/>
      <c r="EE14" s="999">
        <v>7655.9028608187609</v>
      </c>
      <c r="EG14" s="999">
        <v>1133.5386244080094</v>
      </c>
      <c r="EI14" s="999">
        <v>5326.0430379957261</v>
      </c>
      <c r="EK14" s="999">
        <v>14115.484523222498</v>
      </c>
      <c r="EL14" s="952"/>
      <c r="EO14" s="1000"/>
      <c r="EP14" s="937"/>
      <c r="EQ14" s="917">
        <f>('[21]FY26_Labor Operating Expenses'!BA15/10^3)-BT14</f>
        <v>0</v>
      </c>
      <c r="ER14" s="990" t="s">
        <v>709</v>
      </c>
      <c r="ET14" s="917">
        <f>('[21]FY26_Labor Operating Expenses'!M38/10^3)-CD14</f>
        <v>0</v>
      </c>
      <c r="EU14" s="990" t="s">
        <v>709</v>
      </c>
      <c r="EW14" s="917">
        <f>('[21]FY26_Labor Operating Expenses'!AA61/10^3)-DL14</f>
        <v>0</v>
      </c>
      <c r="EX14" s="990" t="s">
        <v>709</v>
      </c>
      <c r="EZ14" s="990"/>
      <c r="FB14" s="990"/>
      <c r="FC14" s="990"/>
      <c r="FE14" s="990"/>
      <c r="FF14" s="990"/>
    </row>
    <row r="15" spans="1:162">
      <c r="C15" s="968" t="s">
        <v>300</v>
      </c>
      <c r="G15" s="916" t="e">
        <f>IF(I14&gt;0,MAX($G$12:G14)+1,"")</f>
        <v>#REF!</v>
      </c>
      <c r="H15" s="991" t="s">
        <v>711</v>
      </c>
      <c r="I15" s="80" t="s">
        <v>300</v>
      </c>
      <c r="K15" s="1001">
        <f>'[21]FY26_Labor Operating Expenses'!G16/10^3</f>
        <v>53.191125</v>
      </c>
      <c r="M15" s="1001">
        <f>'[21]FY26_Labor Operating Expenses'!I16/10^3</f>
        <v>158.20111125</v>
      </c>
      <c r="O15" s="1001">
        <f>'[21]FY26_Labor Operating Expenses'!K16/10^3</f>
        <v>38.702624999999998</v>
      </c>
      <c r="Q15" s="1001">
        <f>'[21]FY26_Labor Operating Expenses'!M16/10^3</f>
        <v>57.037500000000001</v>
      </c>
      <c r="S15" s="1001">
        <f>'[21]FY26_Labor Operating Expenses'!O16/10^3</f>
        <v>16.233749999999997</v>
      </c>
      <c r="U15" s="1001">
        <f>'[21]FY26_Labor Operating Expenses'!Q16/10^3</f>
        <v>31.2</v>
      </c>
      <c r="W15" s="1001">
        <f>'[21]FY26_Labor Operating Expenses'!S16/10^3</f>
        <v>58.875374999999998</v>
      </c>
      <c r="Y15" s="1001">
        <f>'[21]FY26_Labor Operating Expenses'!U16/10^3</f>
        <v>152.426625</v>
      </c>
      <c r="AA15" s="1001">
        <f>'[21]FY26_Labor Operating Expenses'!W16/10^3</f>
        <v>82.299750000000003</v>
      </c>
      <c r="AC15" s="1001">
        <f>'[21]FY26_Labor Operating Expenses'!Y16/10^3</f>
        <v>61.312874999999998</v>
      </c>
      <c r="AE15" s="1001">
        <f>'[21]FY26_Labor Operating Expenses'!AA16/10^3</f>
        <v>161.85487499999999</v>
      </c>
      <c r="AG15" s="1001">
        <f>'[21]FY26_Labor Operating Expenses'!AC16/10^3</f>
        <v>18.266625000000001</v>
      </c>
      <c r="AI15" s="1001">
        <f>'[21]FY26_Labor Operating Expenses'!AE16/10^3</f>
        <v>51.1875</v>
      </c>
      <c r="AK15" s="1001">
        <f>'[21]FY26_Labor Operating Expenses'!AG16/10^3</f>
        <v>84.444749999999999</v>
      </c>
      <c r="AM15" s="1001">
        <f>'[21]FY26_Labor Operating Expenses'!AI16/10^3</f>
        <v>19.5</v>
      </c>
      <c r="AO15" s="1001">
        <f>'[21]FY26_Labor Operating Expenses'!AK16/10^3</f>
        <v>30.220124999999999</v>
      </c>
      <c r="AQ15" s="1001">
        <f>'[21]FY26_Labor Operating Expenses'!AM16/10^3</f>
        <v>166.885875</v>
      </c>
      <c r="AS15" s="1001">
        <f>'[21]FY26_Labor Operating Expenses'!AO16/10^3</f>
        <v>21.9375</v>
      </c>
      <c r="AU15" s="1001">
        <f>'[21]FY26_Labor Operating Expenses'!AQ16/10^3</f>
        <v>32.813625000000002</v>
      </c>
      <c r="AW15" s="1001">
        <f>'[21]FY26_Labor Operating Expenses'!AS16/10^3</f>
        <v>64.223249999999993</v>
      </c>
      <c r="AX15" s="1002"/>
      <c r="AY15" s="1003"/>
      <c r="AZ15" s="1078"/>
      <c r="BA15" s="1003"/>
      <c r="BB15" s="995"/>
      <c r="BC15" s="1003"/>
      <c r="BD15" s="995"/>
      <c r="BE15" s="1003"/>
      <c r="BF15" s="996"/>
      <c r="BG15" s="1004"/>
      <c r="BH15" s="996"/>
      <c r="BI15" s="1004"/>
      <c r="BJ15" s="996"/>
      <c r="BK15" s="1004"/>
      <c r="BL15" s="996"/>
      <c r="BM15" s="1004"/>
      <c r="BO15" s="1005">
        <f>'[21]FY26_Labor Operating Expenses'!AW16/10^3</f>
        <v>23.637437500000001</v>
      </c>
      <c r="BQ15" s="1005">
        <f>'[21]FY26_Labor Operating Expenses'!AY16/10^3</f>
        <v>467.470125</v>
      </c>
      <c r="BS15" s="942"/>
      <c r="BT15" s="1006">
        <v>1851.92242375</v>
      </c>
      <c r="BU15" s="943"/>
      <c r="BW15" s="1001">
        <v>242.697</v>
      </c>
      <c r="BY15" s="1003"/>
      <c r="BZ15" s="995"/>
      <c r="CA15" s="1001">
        <v>31.5</v>
      </c>
      <c r="CC15" s="942"/>
      <c r="CD15" s="1006">
        <v>274.197</v>
      </c>
      <c r="CE15" s="943"/>
      <c r="CG15" s="1001">
        <v>10.261875</v>
      </c>
      <c r="CI15" s="1001">
        <v>99.654750000000007</v>
      </c>
      <c r="CK15" s="1001">
        <v>18.066749999999999</v>
      </c>
      <c r="CM15" s="1001">
        <v>132.09787499999999</v>
      </c>
      <c r="CO15" s="1001">
        <v>63.282375000000002</v>
      </c>
      <c r="CQ15" s="1001">
        <v>130.762125</v>
      </c>
      <c r="CS15" s="1001">
        <v>67.786874999999995</v>
      </c>
      <c r="CU15" s="1003"/>
      <c r="CV15" s="995"/>
      <c r="CW15" s="1003"/>
      <c r="CX15" s="995"/>
      <c r="CY15" s="1003"/>
      <c r="CZ15" s="996"/>
      <c r="DA15" s="1004"/>
      <c r="DB15" s="996"/>
      <c r="DC15" s="1004"/>
      <c r="DD15" s="996"/>
      <c r="DE15" s="1004"/>
      <c r="DG15" s="1005">
        <v>108.3605625</v>
      </c>
      <c r="DI15" s="1005">
        <v>658.06846354166657</v>
      </c>
      <c r="DK15" s="942"/>
      <c r="DL15" s="1006">
        <v>1288.3416510416666</v>
      </c>
      <c r="DM15" s="943"/>
      <c r="DO15" s="946"/>
      <c r="DP15" s="1006">
        <v>3414.4610747916668</v>
      </c>
      <c r="DQ15" s="948"/>
      <c r="DT15" s="949"/>
      <c r="DU15" s="1006">
        <v>1882.1502926283104</v>
      </c>
      <c r="DW15" s="1006">
        <v>278.67256056157186</v>
      </c>
      <c r="DY15" s="1006">
        <v>1309.3705138054181</v>
      </c>
      <c r="EA15" s="1006">
        <v>3470.1933669953005</v>
      </c>
      <c r="EB15" s="952"/>
      <c r="ED15" s="949"/>
      <c r="EE15" s="1006">
        <v>1913.9757152046902</v>
      </c>
      <c r="EG15" s="1006">
        <v>283.38465610200234</v>
      </c>
      <c r="EI15" s="1006">
        <v>1331.5107594989315</v>
      </c>
      <c r="EK15" s="1006">
        <v>3528.8711308056245</v>
      </c>
      <c r="EL15" s="952"/>
      <c r="EO15" s="1000"/>
      <c r="EP15" s="937"/>
      <c r="EQ15" s="917">
        <f>('[21]FY26_Labor Operating Expenses'!BA16/10^3)-BT15</f>
        <v>0</v>
      </c>
      <c r="ER15" s="990" t="s">
        <v>709</v>
      </c>
      <c r="ET15" s="917">
        <f>('[21]FY26_Labor Operating Expenses'!M39/10^3)-CD15</f>
        <v>0</v>
      </c>
      <c r="EU15" s="990" t="s">
        <v>709</v>
      </c>
      <c r="EW15" s="917">
        <f>('[21]FY26_Labor Operating Expenses'!AA62/10^3)-DL15</f>
        <v>0</v>
      </c>
      <c r="EX15" s="990" t="s">
        <v>709</v>
      </c>
      <c r="EZ15" s="990"/>
      <c r="FB15" s="990"/>
      <c r="FC15" s="990"/>
      <c r="FE15" s="990"/>
      <c r="FF15" s="990"/>
    </row>
    <row r="16" spans="1:162">
      <c r="C16" s="968" t="s">
        <v>712</v>
      </c>
      <c r="G16" s="916" t="e">
        <f>IF(I15&gt;0,MAX($G$12:G15)+1,"")</f>
        <v>#REF!</v>
      </c>
      <c r="H16" s="991" t="s">
        <v>712</v>
      </c>
      <c r="I16" s="80" t="s">
        <v>301</v>
      </c>
      <c r="K16" s="1001">
        <f>'[21]FY26_Labor Operating Expenses'!G17/10^3</f>
        <v>0</v>
      </c>
      <c r="M16" s="1001">
        <f>'[21]FY26_Labor Operating Expenses'!I17/10^3</f>
        <v>0</v>
      </c>
      <c r="O16" s="1001">
        <f>'[21]FY26_Labor Operating Expenses'!K17/10^3</f>
        <v>0</v>
      </c>
      <c r="Q16" s="1001">
        <f>'[21]FY26_Labor Operating Expenses'!M17/10^3</f>
        <v>0</v>
      </c>
      <c r="S16" s="1001">
        <f>'[21]FY26_Labor Operating Expenses'!O17/10^3</f>
        <v>0</v>
      </c>
      <c r="U16" s="1001">
        <f>'[21]FY26_Labor Operating Expenses'!Q17/10^3</f>
        <v>0</v>
      </c>
      <c r="W16" s="1001">
        <f>'[21]FY26_Labor Operating Expenses'!S17/10^3</f>
        <v>0</v>
      </c>
      <c r="Y16" s="1001">
        <f>'[21]FY26_Labor Operating Expenses'!U17/10^3</f>
        <v>19.868550000000003</v>
      </c>
      <c r="AA16" s="1001">
        <f>'[21]FY26_Labor Operating Expenses'!W17/10^3</f>
        <v>0</v>
      </c>
      <c r="AC16" s="1001">
        <f>'[21]FY26_Labor Operating Expenses'!Y17/10^3</f>
        <v>0</v>
      </c>
      <c r="AE16" s="1001">
        <f>'[21]FY26_Labor Operating Expenses'!AA17/10^3</f>
        <v>0</v>
      </c>
      <c r="AG16" s="1001">
        <f>'[21]FY26_Labor Operating Expenses'!AC17/10^3</f>
        <v>0</v>
      </c>
      <c r="AI16" s="1001">
        <f>'[21]FY26_Labor Operating Expenses'!AE17/10^3</f>
        <v>0</v>
      </c>
      <c r="AK16" s="1001">
        <f>'[21]FY26_Labor Operating Expenses'!AG17/10^3</f>
        <v>0</v>
      </c>
      <c r="AM16" s="1001">
        <f>'[21]FY26_Labor Operating Expenses'!AI17/10^3</f>
        <v>0</v>
      </c>
      <c r="AO16" s="1001">
        <f>'[21]FY26_Labor Operating Expenses'!AK17/10^3</f>
        <v>8.4123000000000019</v>
      </c>
      <c r="AQ16" s="1001">
        <f>'[21]FY26_Labor Operating Expenses'!AM17/10^3</f>
        <v>0</v>
      </c>
      <c r="AS16" s="1001">
        <f>'[21]FY26_Labor Operating Expenses'!AO17/10^3</f>
        <v>0</v>
      </c>
      <c r="AU16" s="1001">
        <f>'[21]FY26_Labor Operating Expenses'!AQ17/10^3</f>
        <v>0</v>
      </c>
      <c r="AW16" s="1001">
        <f>'[21]FY26_Labor Operating Expenses'!AS17/10^3</f>
        <v>16.716699999999996</v>
      </c>
      <c r="AX16" s="1002"/>
      <c r="AY16" s="1003"/>
      <c r="AZ16" s="1078"/>
      <c r="BA16" s="1003"/>
      <c r="BB16" s="995"/>
      <c r="BC16" s="1003"/>
      <c r="BD16" s="995"/>
      <c r="BE16" s="1003"/>
      <c r="BF16" s="996"/>
      <c r="BG16" s="1004"/>
      <c r="BH16" s="996"/>
      <c r="BI16" s="1004"/>
      <c r="BJ16" s="996"/>
      <c r="BK16" s="1004"/>
      <c r="BL16" s="996"/>
      <c r="BM16" s="1004"/>
      <c r="BO16" s="1005">
        <f>'[21]FY26_Labor Operating Expenses'!AW17/10^3</f>
        <v>0</v>
      </c>
      <c r="BQ16" s="1005">
        <f>'[21]FY26_Labor Operating Expenses'!AY17/10^3</f>
        <v>67.315697999999998</v>
      </c>
      <c r="BS16" s="942"/>
      <c r="BT16" s="1006">
        <v>112.313248</v>
      </c>
      <c r="BU16" s="943"/>
      <c r="BW16" s="1001">
        <v>72.485400000000013</v>
      </c>
      <c r="BY16" s="1003"/>
      <c r="BZ16" s="995"/>
      <c r="CA16" s="1001">
        <v>4.5359999999999996</v>
      </c>
      <c r="CC16" s="942"/>
      <c r="CD16" s="1006">
        <v>77.021400000000014</v>
      </c>
      <c r="CE16" s="943"/>
      <c r="CG16" s="1001">
        <v>7.3885499999999995</v>
      </c>
      <c r="CI16" s="1001">
        <v>14.155829999999998</v>
      </c>
      <c r="CK16" s="1001">
        <v>0</v>
      </c>
      <c r="CM16" s="1001">
        <v>81.807570000000013</v>
      </c>
      <c r="CO16" s="1001">
        <v>45.563309999999994</v>
      </c>
      <c r="CQ16" s="1001">
        <v>80.972189999999998</v>
      </c>
      <c r="CS16" s="1001">
        <v>42.190199999999997</v>
      </c>
      <c r="CU16" s="1003"/>
      <c r="CV16" s="995"/>
      <c r="CW16" s="1003"/>
      <c r="CX16" s="995"/>
      <c r="CY16" s="1003"/>
      <c r="CZ16" s="996"/>
      <c r="DA16" s="1004"/>
      <c r="DB16" s="996"/>
      <c r="DC16" s="1004"/>
      <c r="DD16" s="996"/>
      <c r="DE16" s="1004"/>
      <c r="DG16" s="1005">
        <v>0</v>
      </c>
      <c r="DI16" s="1005">
        <v>419.96732855113629</v>
      </c>
      <c r="DK16" s="942"/>
      <c r="DL16" s="1006">
        <v>692.0449785511363</v>
      </c>
      <c r="DM16" s="943"/>
      <c r="DO16" s="946"/>
      <c r="DP16" s="1006">
        <v>881.37962655113631</v>
      </c>
      <c r="DQ16" s="948"/>
      <c r="DT16" s="949"/>
      <c r="DU16" s="1006">
        <v>114.14647281023075</v>
      </c>
      <c r="DW16" s="1006">
        <v>78.278576191705426</v>
      </c>
      <c r="DY16" s="1006">
        <v>703.34083230897215</v>
      </c>
      <c r="EA16" s="1006">
        <v>895.7658813109083</v>
      </c>
      <c r="EB16" s="952"/>
      <c r="ED16" s="949"/>
      <c r="EE16" s="1006">
        <v>116.07658420835715</v>
      </c>
      <c r="EG16" s="1006">
        <v>79.602194595472469</v>
      </c>
      <c r="EI16" s="1006">
        <v>715.23367598416962</v>
      </c>
      <c r="EK16" s="1006">
        <v>910.9124547879992</v>
      </c>
      <c r="EL16" s="952"/>
      <c r="EO16" s="1000"/>
      <c r="EP16" s="937"/>
      <c r="EQ16" s="917">
        <f>('[21]FY26_Labor Operating Expenses'!BA17/10^3)-BT16</f>
        <v>0</v>
      </c>
      <c r="ER16" s="990" t="s">
        <v>709</v>
      </c>
      <c r="ET16" s="917">
        <f>('[21]FY26_Labor Operating Expenses'!M40/10^3)-CD16</f>
        <v>0</v>
      </c>
      <c r="EU16" s="990" t="s">
        <v>709</v>
      </c>
      <c r="EW16" s="917">
        <f>('[21]FY26_Labor Operating Expenses'!AA63/10^3)-DL16</f>
        <v>0</v>
      </c>
      <c r="EX16" s="990" t="s">
        <v>709</v>
      </c>
      <c r="EZ16" s="990"/>
      <c r="FB16" s="990"/>
      <c r="FC16" s="990"/>
      <c r="FE16" s="990"/>
      <c r="FF16" s="990"/>
    </row>
    <row r="17" spans="1:162">
      <c r="C17" s="968" t="s">
        <v>302</v>
      </c>
      <c r="G17" s="916" t="e">
        <f>IF(I16&gt;0,MAX($G$12:G16)+1,"")</f>
        <v>#REF!</v>
      </c>
      <c r="H17" s="991" t="s">
        <v>302</v>
      </c>
      <c r="I17" s="80" t="s">
        <v>302</v>
      </c>
      <c r="K17" s="1001">
        <f>'[21]FY26_Labor Operating Expenses'!G18/10^3</f>
        <v>0</v>
      </c>
      <c r="M17" s="1001">
        <f>'[21]FY26_Labor Operating Expenses'!I18/10^3</f>
        <v>0</v>
      </c>
      <c r="O17" s="1001">
        <f>'[21]FY26_Labor Operating Expenses'!K18/10^3</f>
        <v>0</v>
      </c>
      <c r="Q17" s="1001">
        <f>'[21]FY26_Labor Operating Expenses'!M18/10^3</f>
        <v>0</v>
      </c>
      <c r="S17" s="1001">
        <f>'[21]FY26_Labor Operating Expenses'!O18/10^3</f>
        <v>0</v>
      </c>
      <c r="U17" s="1001">
        <f>'[21]FY26_Labor Operating Expenses'!Q18/10^3</f>
        <v>0</v>
      </c>
      <c r="W17" s="1001">
        <f>'[21]FY26_Labor Operating Expenses'!S18/10^3</f>
        <v>0</v>
      </c>
      <c r="Y17" s="1001">
        <f>'[21]FY26_Labor Operating Expenses'!U18/10^3</f>
        <v>2.384226</v>
      </c>
      <c r="AA17" s="1001">
        <f>'[21]FY26_Labor Operating Expenses'!W18/10^3</f>
        <v>0</v>
      </c>
      <c r="AC17" s="1001">
        <f>'[21]FY26_Labor Operating Expenses'!Y18/10^3</f>
        <v>0</v>
      </c>
      <c r="AE17" s="1001">
        <f>'[21]FY26_Labor Operating Expenses'!AA18/10^3</f>
        <v>0</v>
      </c>
      <c r="AG17" s="1001">
        <f>'[21]FY26_Labor Operating Expenses'!AC18/10^3</f>
        <v>0</v>
      </c>
      <c r="AI17" s="1001">
        <f>'[21]FY26_Labor Operating Expenses'!AE18/10^3</f>
        <v>0</v>
      </c>
      <c r="AK17" s="1001">
        <f>'[21]FY26_Labor Operating Expenses'!AG18/10^3</f>
        <v>0</v>
      </c>
      <c r="AM17" s="1001">
        <f>'[21]FY26_Labor Operating Expenses'!AI18/10^3</f>
        <v>0</v>
      </c>
      <c r="AO17" s="1001">
        <f>'[21]FY26_Labor Operating Expenses'!AK18/10^3</f>
        <v>1.009476</v>
      </c>
      <c r="AQ17" s="1001">
        <f>'[21]FY26_Labor Operating Expenses'!AM18/10^3</f>
        <v>0</v>
      </c>
      <c r="AS17" s="1001">
        <f>'[21]FY26_Labor Operating Expenses'!AO18/10^3</f>
        <v>0</v>
      </c>
      <c r="AU17" s="1001">
        <f>'[21]FY26_Labor Operating Expenses'!AQ18/10^3</f>
        <v>0</v>
      </c>
      <c r="AW17" s="1001">
        <f>'[21]FY26_Labor Operating Expenses'!AS18/10^3</f>
        <v>0.85971600000000004</v>
      </c>
      <c r="AX17" s="1002"/>
      <c r="AY17" s="1003"/>
      <c r="AZ17" s="1078"/>
      <c r="BA17" s="1003"/>
      <c r="BB17" s="995"/>
      <c r="BC17" s="1003"/>
      <c r="BD17" s="995"/>
      <c r="BE17" s="1003"/>
      <c r="BF17" s="996"/>
      <c r="BG17" s="1004"/>
      <c r="BH17" s="996"/>
      <c r="BI17" s="1004"/>
      <c r="BJ17" s="996"/>
      <c r="BK17" s="1004"/>
      <c r="BL17" s="996"/>
      <c r="BM17" s="1004"/>
      <c r="BO17" s="1005">
        <f>'[21]FY26_Labor Operating Expenses'!AW18/10^3</f>
        <v>0</v>
      </c>
      <c r="BQ17" s="1005">
        <f>'[21]FY26_Labor Operating Expenses'!AY18/10^3</f>
        <v>8.0778837600000006</v>
      </c>
      <c r="BS17" s="942"/>
      <c r="BT17" s="1006">
        <v>12.331301760000001</v>
      </c>
      <c r="BU17" s="943"/>
      <c r="BW17" s="1001">
        <v>8.6982480000000013</v>
      </c>
      <c r="BY17" s="1003"/>
      <c r="BZ17" s="995"/>
      <c r="CA17" s="1001">
        <v>0.54431999999999992</v>
      </c>
      <c r="CC17" s="942"/>
      <c r="CD17" s="1006">
        <v>9.2425680000000021</v>
      </c>
      <c r="CE17" s="943"/>
      <c r="CG17" s="1001">
        <v>0.88662599999999991</v>
      </c>
      <c r="CI17" s="1001">
        <v>1.6986995999999999</v>
      </c>
      <c r="CK17" s="1001">
        <v>0</v>
      </c>
      <c r="CM17" s="1001">
        <v>9.8169083999999991</v>
      </c>
      <c r="CO17" s="1001">
        <v>5.4675971999999993</v>
      </c>
      <c r="CQ17" s="1001">
        <v>9.7166627999999999</v>
      </c>
      <c r="CS17" s="1001">
        <v>5.062824</v>
      </c>
      <c r="CU17" s="1003"/>
      <c r="CV17" s="995"/>
      <c r="CW17" s="1003"/>
      <c r="CX17" s="995"/>
      <c r="CY17" s="1003"/>
      <c r="CZ17" s="996"/>
      <c r="DA17" s="1004"/>
      <c r="DB17" s="996"/>
      <c r="DC17" s="1004"/>
      <c r="DD17" s="996"/>
      <c r="DE17" s="1004"/>
      <c r="DG17" s="1005">
        <v>0</v>
      </c>
      <c r="DI17" s="1005">
        <v>50.396079426136353</v>
      </c>
      <c r="DK17" s="942"/>
      <c r="DL17" s="1006">
        <v>83.045397426136361</v>
      </c>
      <c r="DM17" s="943"/>
      <c r="DO17" s="946"/>
      <c r="DP17" s="1006">
        <v>104.61926718613637</v>
      </c>
      <c r="DQ17" s="948"/>
      <c r="DT17" s="949"/>
      <c r="DU17" s="1006">
        <v>12.532578534836698</v>
      </c>
      <c r="DW17" s="1006">
        <v>9.393429143004651</v>
      </c>
      <c r="DY17" s="1006">
        <v>84.400899877076654</v>
      </c>
      <c r="EA17" s="1006">
        <v>106.32690755491799</v>
      </c>
      <c r="EB17" s="952"/>
      <c r="ED17" s="949"/>
      <c r="EE17" s="1006">
        <v>12.744492859322374</v>
      </c>
      <c r="EG17" s="1006">
        <v>9.5522633514566966</v>
      </c>
      <c r="EI17" s="1006">
        <v>85.828041118100359</v>
      </c>
      <c r="EK17" s="1006">
        <v>108.12479732887942</v>
      </c>
      <c r="EL17" s="952"/>
      <c r="EO17" s="1000"/>
      <c r="EP17" s="937"/>
      <c r="EQ17" s="917">
        <f>('[21]FY26_Labor Operating Expenses'!BA18/10^3)-BT17</f>
        <v>0</v>
      </c>
      <c r="ER17" s="990" t="s">
        <v>709</v>
      </c>
      <c r="ET17" s="917">
        <f>('[21]FY26_Labor Operating Expenses'!M41/10^3)-CD17</f>
        <v>0</v>
      </c>
      <c r="EU17" s="990" t="s">
        <v>709</v>
      </c>
      <c r="EW17" s="917">
        <f>('[21]FY26_Labor Operating Expenses'!AA64/10^3)-DL17</f>
        <v>0</v>
      </c>
      <c r="EX17" s="990" t="s">
        <v>709</v>
      </c>
      <c r="EZ17" s="990"/>
      <c r="FB17" s="990"/>
      <c r="FC17" s="990"/>
      <c r="FE17" s="990"/>
      <c r="FF17" s="990"/>
    </row>
    <row r="18" spans="1:162" s="918" customFormat="1">
      <c r="C18" s="969"/>
      <c r="G18" s="970" t="e">
        <f>IF(I17&gt;0,MAX($G$12:G17)+1,"")</f>
        <v>#REF!</v>
      </c>
      <c r="H18" s="971" t="s">
        <v>303</v>
      </c>
      <c r="I18" s="971"/>
      <c r="K18" s="1007">
        <f>SUM(K14:K17)</f>
        <v>265.955625</v>
      </c>
      <c r="M18" s="1007">
        <f>SUM(M14:M17)</f>
        <v>791.00555624999993</v>
      </c>
      <c r="O18" s="1007">
        <f>SUM(O14:O17)</f>
        <v>193.513125</v>
      </c>
      <c r="Q18" s="1007">
        <f>SUM(Q14:Q17)</f>
        <v>285.1875</v>
      </c>
      <c r="S18" s="1007">
        <f>SUM(S14:S17)</f>
        <v>81.168749999999989</v>
      </c>
      <c r="U18" s="1007">
        <f>SUM(U14:U17)</f>
        <v>156</v>
      </c>
      <c r="W18" s="1007">
        <f>SUM(W14:W17)</f>
        <v>294.37687499999998</v>
      </c>
      <c r="Y18" s="1007">
        <f>SUM(Y14:Y17)</f>
        <v>784.3859010000001</v>
      </c>
      <c r="AA18" s="1007">
        <f>SUM(AA14:AA17)</f>
        <v>411.49875000000003</v>
      </c>
      <c r="AC18" s="1007">
        <f>SUM(AC14:AC17)</f>
        <v>306.56437499999998</v>
      </c>
      <c r="AE18" s="1007">
        <f>SUM(AE14:AE17)</f>
        <v>809.27437499999996</v>
      </c>
      <c r="AG18" s="1007">
        <f>SUM(AG14:AG17)</f>
        <v>91.33312500000001</v>
      </c>
      <c r="AI18" s="1007">
        <f>SUM(AI14:AI17)</f>
        <v>255.9375</v>
      </c>
      <c r="AK18" s="1007">
        <f>SUM(AK14:AK17)</f>
        <v>422.22375</v>
      </c>
      <c r="AM18" s="1007">
        <f>SUM(AM14:AM17)</f>
        <v>97.5</v>
      </c>
      <c r="AO18" s="1007">
        <f>SUM(AO14:AO17)</f>
        <v>160.522401</v>
      </c>
      <c r="AQ18" s="1007">
        <f>SUM(AQ14:AQ17)</f>
        <v>834.42937499999994</v>
      </c>
      <c r="AS18" s="1007">
        <f>SUM(AS14:AS17)</f>
        <v>109.6875</v>
      </c>
      <c r="AU18" s="1007">
        <f>SUM(AU14:AU17)</f>
        <v>164.06812500000001</v>
      </c>
      <c r="AW18" s="1007">
        <f>SUM(AW14:AW17)</f>
        <v>338.69266599999997</v>
      </c>
      <c r="AX18" s="916"/>
      <c r="AY18" s="1008"/>
      <c r="AZ18" s="1078"/>
      <c r="BA18" s="1008"/>
      <c r="BB18" s="1009"/>
      <c r="BC18" s="1008"/>
      <c r="BD18" s="1009"/>
      <c r="BE18" s="1008"/>
      <c r="BF18" s="1010"/>
      <c r="BG18" s="1011"/>
      <c r="BH18" s="1010"/>
      <c r="BI18" s="1011"/>
      <c r="BJ18" s="1010"/>
      <c r="BK18" s="1011"/>
      <c r="BL18" s="1010"/>
      <c r="BM18" s="1011"/>
      <c r="BO18" s="1007">
        <f>SUM(BO14:BO17)</f>
        <v>118.18718750000001</v>
      </c>
      <c r="BQ18" s="1007">
        <f>SUM(BQ14:BQ17)</f>
        <v>2412.74420676</v>
      </c>
      <c r="BS18" s="972"/>
      <c r="BT18" s="1007">
        <f>SUM(BT14:BT17)</f>
        <v>9384.2566685099991</v>
      </c>
      <c r="BU18" s="973"/>
      <c r="BW18" s="1007">
        <f>SUM(BW14:BW17)</f>
        <v>1294.6686480000001</v>
      </c>
      <c r="BY18" s="1008"/>
      <c r="BZ18" s="1009"/>
      <c r="CA18" s="1007">
        <f>SUM(CA14:CA17)</f>
        <v>162.58032</v>
      </c>
      <c r="CC18" s="972"/>
      <c r="CD18" s="1007">
        <f>SUM(CD14:CD17)</f>
        <v>1457.2489680000001</v>
      </c>
      <c r="CE18" s="973"/>
      <c r="CG18" s="1007">
        <f>SUM(CG14:CG17)</f>
        <v>59.584551000000005</v>
      </c>
      <c r="CI18" s="1007">
        <f>SUM(CI14:CI17)</f>
        <v>514.12827960000016</v>
      </c>
      <c r="CK18" s="1007">
        <f>SUM(CK14:CK17)</f>
        <v>90.333749999999995</v>
      </c>
      <c r="CM18" s="1007">
        <f>SUM(CM14:CM17)</f>
        <v>752.11385339999993</v>
      </c>
      <c r="CO18" s="1007">
        <f>SUM(CO14:CO17)</f>
        <v>367.44278220000001</v>
      </c>
      <c r="CQ18" s="1007">
        <f>SUM(CQ14:CQ17)</f>
        <v>744.49947779999991</v>
      </c>
      <c r="CS18" s="1007">
        <f>SUM(CS14:CS17)</f>
        <v>386.18739899999997</v>
      </c>
      <c r="CU18" s="1008"/>
      <c r="CV18" s="1009"/>
      <c r="CW18" s="1008"/>
      <c r="CX18" s="1009"/>
      <c r="CY18" s="1008"/>
      <c r="CZ18" s="1010"/>
      <c r="DA18" s="1011"/>
      <c r="DB18" s="1010"/>
      <c r="DC18" s="1011"/>
      <c r="DD18" s="1010"/>
      <c r="DE18" s="1011"/>
      <c r="DG18" s="1007">
        <f>SUM(DG14:DG17)</f>
        <v>541.80281249999996</v>
      </c>
      <c r="DI18" s="1007">
        <f>SUM(DI14:DI17)</f>
        <v>3760.7057256856056</v>
      </c>
      <c r="DK18" s="972"/>
      <c r="DL18" s="1007">
        <f>SUM(DL14:DL17)</f>
        <v>7216.7986311856057</v>
      </c>
      <c r="DM18" s="973"/>
      <c r="DO18" s="974"/>
      <c r="DP18" s="1007">
        <f>SUM(BT18,CD18,DL18)</f>
        <v>18058.304267695603</v>
      </c>
      <c r="DQ18" s="975"/>
      <c r="DT18" s="976"/>
      <c r="DU18" s="1007">
        <f>SUM(DU14:DU17)</f>
        <v>9537.4305144866194</v>
      </c>
      <c r="DW18" s="1007">
        <f>SUM(DW14:DW17)</f>
        <v>1481.0348081425693</v>
      </c>
      <c r="DY18" s="1007">
        <f>SUM(DY14:DY17)</f>
        <v>7334.5943012131402</v>
      </c>
      <c r="EA18" s="1007">
        <f t="shared" ref="EA18" si="0">SUM(DU18,DW18,DY18)</f>
        <v>18353.059623842328</v>
      </c>
      <c r="EB18" s="977"/>
      <c r="ED18" s="976"/>
      <c r="EE18" s="1007">
        <f>SUM(EE14:EE17)</f>
        <v>9698.699653091131</v>
      </c>
      <c r="EG18" s="1007">
        <f>SUM(EG14:EG17)</f>
        <v>1506.0777384569408</v>
      </c>
      <c r="EI18" s="1007">
        <f>SUM(EI14:EI17)</f>
        <v>7458.6155145969278</v>
      </c>
      <c r="EK18" s="1007">
        <f t="shared" ref="EK18" si="1">SUM(EE18,EG18,EI18)</f>
        <v>18663.392906145</v>
      </c>
      <c r="EL18" s="977"/>
      <c r="EO18" s="1000"/>
      <c r="EP18" s="937"/>
      <c r="EQ18" s="917">
        <f>('[21]FY26_Labor Operating Expenses'!BA19/10^3)-BT18</f>
        <v>0</v>
      </c>
      <c r="ER18" s="913">
        <f>SUM(K18:BQ18)-BT18</f>
        <v>0</v>
      </c>
      <c r="ET18" s="917">
        <f>('[21]FY26_Labor Operating Expenses'!M42/10^3)-CD18</f>
        <v>0</v>
      </c>
      <c r="EU18" s="913">
        <f>SUM(BW18:CA18)-CD18</f>
        <v>0</v>
      </c>
      <c r="EW18" s="917">
        <f>('[21]FY26_Labor Operating Expenses'!AA65/10^3)-DL18</f>
        <v>0</v>
      </c>
      <c r="EX18" s="913">
        <f>SUM(CG18:DI18)-DL18</f>
        <v>0</v>
      </c>
      <c r="EZ18" s="913"/>
      <c r="FB18" s="913">
        <f>SUM('[21]FY26-FY28_HoldCo Budget Proj'!AD20,'[21]FY26-FY28_Retiro Budget Proj'!AD20,'[21]FY26-FY28_HydroCo Budget Proj'!AD20)-EA18</f>
        <v>0</v>
      </c>
      <c r="FC18" s="913">
        <f>SUM(EA14:EA17)-EA18</f>
        <v>0</v>
      </c>
      <c r="FE18" s="913">
        <f>SUM('[21]FY26-FY28_HoldCo Budget Proj'!AF20,'[21]FY26-FY28_Retiro Budget Proj'!AF20,'[21]FY26-FY28_HydroCo Budget Proj'!AF20)-EK18</f>
        <v>0</v>
      </c>
      <c r="FF18" s="913">
        <f>SUM(EK14:EK17)-EK18</f>
        <v>0</v>
      </c>
    </row>
    <row r="19" spans="1:162">
      <c r="G19" s="970" t="str">
        <f>IF(I18&gt;0,MAX($G$12:G18)+1,"")</f>
        <v/>
      </c>
      <c r="H19" s="971" t="s">
        <v>454</v>
      </c>
      <c r="I19" s="971"/>
      <c r="AX19" s="916"/>
      <c r="AY19" s="916"/>
      <c r="AZ19" s="916"/>
      <c r="BA19" s="916"/>
      <c r="BB19" s="916"/>
      <c r="BC19" s="916"/>
      <c r="BD19" s="916"/>
      <c r="BE19" s="916"/>
      <c r="BS19" s="942"/>
      <c r="BU19" s="943"/>
      <c r="BY19" s="916"/>
      <c r="BZ19" s="916"/>
      <c r="CC19" s="942"/>
      <c r="CE19" s="943"/>
      <c r="CU19" s="916"/>
      <c r="CW19" s="916"/>
      <c r="CX19" s="916"/>
      <c r="CY19" s="916"/>
      <c r="DK19" s="942"/>
      <c r="DM19" s="943"/>
      <c r="DO19" s="946"/>
      <c r="DQ19" s="948"/>
      <c r="DT19" s="949"/>
      <c r="EB19" s="952"/>
      <c r="ED19" s="949"/>
      <c r="EL19" s="952"/>
      <c r="EP19" s="937"/>
    </row>
    <row r="20" spans="1:162">
      <c r="A20" s="1012"/>
      <c r="C20" s="968" t="s">
        <v>305</v>
      </c>
      <c r="G20" s="916" t="str">
        <f>IF(I19&gt;0,MAX($G$12:G19)+1,"")</f>
        <v/>
      </c>
      <c r="H20" s="991" t="s">
        <v>305</v>
      </c>
      <c r="I20" s="80" t="s">
        <v>305</v>
      </c>
      <c r="K20" s="1013" t="e">
        <f>SUMIFS('[21]Consolid_FY26 Budget Requests'!$P:$P,'[21]Consolid_FY26 Budget Requests'!$D:$D,K$1,'[21]Consolid_FY26 Budget Requests'!$K:$K,$C20)/10^3</f>
        <v>#VALUE!</v>
      </c>
      <c r="M20" s="1013" t="e">
        <f>SUMIFS('[21]Consolid_FY26 Budget Requests'!$P:$P,'[21]Consolid_FY26 Budget Requests'!$D:$D,M$1,'[21]Consolid_FY26 Budget Requests'!$K:$K,$C20)/10^3</f>
        <v>#VALUE!</v>
      </c>
      <c r="O20" s="1013" t="e">
        <f>SUMIFS('[21]Consolid_FY26 Budget Requests'!$P:$P,'[21]Consolid_FY26 Budget Requests'!$D:$D,O$1,'[21]Consolid_FY26 Budget Requests'!$K:$K,$C20)/10^3</f>
        <v>#VALUE!</v>
      </c>
      <c r="Q20" s="1013" t="e">
        <f>SUMIFS('[21]Consolid_FY26 Budget Requests'!$P:$P,'[21]Consolid_FY26 Budget Requests'!$D:$D,Q$1,'[21]Consolid_FY26 Budget Requests'!$K:$K,$C20)/10^3</f>
        <v>#VALUE!</v>
      </c>
      <c r="S20" s="1013" t="e">
        <f>SUMIFS('[21]Consolid_FY26 Budget Requests'!$P:$P,'[21]Consolid_FY26 Budget Requests'!$D:$D,S$1,'[21]Consolid_FY26 Budget Requests'!$K:$K,$C20)/10^3</f>
        <v>#VALUE!</v>
      </c>
      <c r="U20" s="1013" t="e">
        <f>SUMIFS('[21]Consolid_FY26 Budget Requests'!$P:$P,'[21]Consolid_FY26 Budget Requests'!$D:$D,U$1,'[21]Consolid_FY26 Budget Requests'!$K:$K,$C20)/10^3</f>
        <v>#VALUE!</v>
      </c>
      <c r="W20" s="1013" t="e">
        <f>SUMIFS('[21]Consolid_FY26 Budget Requests'!$P:$P,'[21]Consolid_FY26 Budget Requests'!$D:$D,W$1,'[21]Consolid_FY26 Budget Requests'!$K:$K,$C20)/10^3</f>
        <v>#VALUE!</v>
      </c>
      <c r="Y20" s="1013" t="e">
        <f>SUMIFS('[21]Consolid_FY26 Budget Requests'!$P:$P,'[21]Consolid_FY26 Budget Requests'!$D:$D,Y$1,'[21]Consolid_FY26 Budget Requests'!$K:$K,$C20)/10^3</f>
        <v>#VALUE!</v>
      </c>
      <c r="AA20" s="1013" t="e">
        <f>SUMIFS('[21]Consolid_FY26 Budget Requests'!$P:$P,'[21]Consolid_FY26 Budget Requests'!$D:$D,AA$1,'[21]Consolid_FY26 Budget Requests'!$K:$K,$C20)/10^3</f>
        <v>#VALUE!</v>
      </c>
      <c r="AC20" s="1013" t="e">
        <f>SUMIFS('[21]Consolid_FY26 Budget Requests'!$P:$P,'[21]Consolid_FY26 Budget Requests'!$D:$D,AC$1,'[21]Consolid_FY26 Budget Requests'!$K:$K,$C20)/10^3</f>
        <v>#VALUE!</v>
      </c>
      <c r="AE20" s="1013" t="e">
        <f>SUMIFS('[21]Consolid_FY26 Budget Requests'!$P:$P,'[21]Consolid_FY26 Budget Requests'!$D:$D,AE$1,'[21]Consolid_FY26 Budget Requests'!$K:$K,$C20)/10^3</f>
        <v>#VALUE!</v>
      </c>
      <c r="AG20" s="1013" t="e">
        <f>SUMIFS('[21]Consolid_FY26 Budget Requests'!$P:$P,'[21]Consolid_FY26 Budget Requests'!$D:$D,AG$1,'[21]Consolid_FY26 Budget Requests'!$K:$K,$C20)/10^3</f>
        <v>#VALUE!</v>
      </c>
      <c r="AI20" s="1013" t="e">
        <f>SUMIFS('[21]Consolid_FY26 Budget Requests'!$P:$P,'[21]Consolid_FY26 Budget Requests'!$D:$D,AI$1,'[21]Consolid_FY26 Budget Requests'!$K:$K,$C20)/10^3</f>
        <v>#VALUE!</v>
      </c>
      <c r="AK20" s="1013" t="e">
        <f>SUMIFS('[21]Consolid_FY26 Budget Requests'!$P:$P,'[21]Consolid_FY26 Budget Requests'!$D:$D,AK$1,'[21]Consolid_FY26 Budget Requests'!$K:$K,$C20)/10^3</f>
        <v>#VALUE!</v>
      </c>
      <c r="AM20" s="1013" t="e">
        <f>SUMIFS('[21]Consolid_FY26 Budget Requests'!$P:$P,'[21]Consolid_FY26 Budget Requests'!$D:$D,AM$1,'[21]Consolid_FY26 Budget Requests'!$K:$K,$C20)/10^3</f>
        <v>#VALUE!</v>
      </c>
      <c r="AO20" s="1013" t="e">
        <f>SUMIFS('[21]Consolid_FY26 Budget Requests'!$P:$P,'[21]Consolid_FY26 Budget Requests'!$D:$D,AO$1,'[21]Consolid_FY26 Budget Requests'!$K:$K,$C20)/10^3</f>
        <v>#VALUE!</v>
      </c>
      <c r="AQ20" s="1013" t="e">
        <f>SUMIFS('[21]Consolid_FY26 Budget Requests'!$P:$P,'[21]Consolid_FY26 Budget Requests'!$D:$D,AQ$1,'[21]Consolid_FY26 Budget Requests'!$K:$K,$C20)/10^3</f>
        <v>#VALUE!</v>
      </c>
      <c r="AS20" s="1013" t="e">
        <f>SUMIFS('[21]Consolid_FY26 Budget Requests'!$P:$P,'[21]Consolid_FY26 Budget Requests'!$D:$D,AS$1,'[21]Consolid_FY26 Budget Requests'!$K:$K,$C20)/10^3</f>
        <v>#VALUE!</v>
      </c>
      <c r="AU20" s="1013" t="e">
        <f>SUMIFS('[21]Consolid_FY26 Budget Requests'!$P:$P,'[21]Consolid_FY26 Budget Requests'!$D:$D,AU$1,'[21]Consolid_FY26 Budget Requests'!$K:$K,$C20)/10^3</f>
        <v>#VALUE!</v>
      </c>
      <c r="AW20" s="1013" t="e">
        <f>SUMIFS('[21]Consolid_FY26 Budget Requests'!$P:$P,'[21]Consolid_FY26 Budget Requests'!$D:$D,AW$1,'[21]Consolid_FY26 Budget Requests'!$K:$K,$C20)/10^3</f>
        <v>#VALUE!</v>
      </c>
      <c r="AX20" s="916"/>
      <c r="AY20" s="1078"/>
      <c r="AZ20" s="1078"/>
      <c r="BA20" s="1078"/>
      <c r="BB20" s="1078"/>
      <c r="BC20" s="1078"/>
      <c r="BD20" s="1078"/>
      <c r="BE20" s="1078"/>
      <c r="BF20" s="1078"/>
      <c r="BG20" s="1078"/>
      <c r="BH20" s="1078"/>
      <c r="BI20" s="1078"/>
      <c r="BJ20" s="1078"/>
      <c r="BK20" s="1078"/>
      <c r="BL20" s="1078"/>
      <c r="BM20" s="1078"/>
      <c r="BN20" s="1078"/>
      <c r="BO20" s="1078"/>
      <c r="BP20" s="1078"/>
      <c r="BQ20" s="1078"/>
      <c r="BS20" s="942"/>
      <c r="BT20" s="1014">
        <v>364.57123000000007</v>
      </c>
      <c r="BU20" s="943"/>
      <c r="BW20" s="1013">
        <v>33.6</v>
      </c>
      <c r="BX20" s="1078"/>
      <c r="BY20" s="1078"/>
      <c r="BZ20" s="1078"/>
      <c r="CA20" s="1078"/>
      <c r="CC20" s="942"/>
      <c r="CD20" s="1014">
        <v>33.6</v>
      </c>
      <c r="CE20" s="943"/>
      <c r="CG20" s="1013">
        <v>50.962510000000002</v>
      </c>
      <c r="CI20" s="1013">
        <v>16.0473</v>
      </c>
      <c r="CK20" s="1013">
        <v>5.5252799999999995</v>
      </c>
      <c r="CM20" s="1013">
        <v>406.07306</v>
      </c>
      <c r="CO20" s="1013">
        <v>182.12298999999999</v>
      </c>
      <c r="CQ20" s="1013">
        <v>354.11821999999995</v>
      </c>
      <c r="CS20" s="1013">
        <v>411.75448999999998</v>
      </c>
      <c r="CU20" s="1078"/>
      <c r="CV20" s="1078"/>
      <c r="CW20" s="1078"/>
      <c r="CX20" s="1078"/>
      <c r="CY20" s="1078"/>
      <c r="CZ20" s="1078"/>
      <c r="DA20" s="1078"/>
      <c r="DB20" s="1078"/>
      <c r="DC20" s="1078"/>
      <c r="DD20" s="1078"/>
      <c r="DE20" s="1078"/>
      <c r="DF20" s="1078"/>
      <c r="DG20" s="1078"/>
      <c r="DH20" s="1078"/>
      <c r="DI20" s="1078"/>
      <c r="DK20" s="942"/>
      <c r="DL20" s="1014">
        <v>1426.60385</v>
      </c>
      <c r="DM20" s="943"/>
      <c r="DO20" s="946"/>
      <c r="DP20" s="1014">
        <v>1824.7750800000001</v>
      </c>
      <c r="DQ20" s="948"/>
      <c r="DT20" s="949"/>
      <c r="DU20" s="1014">
        <v>370.52191734840909</v>
      </c>
      <c r="DW20" s="1014">
        <v>34.148433552769781</v>
      </c>
      <c r="DY20" s="1014">
        <v>1449.889487436028</v>
      </c>
      <c r="EA20" s="1014">
        <v>1854.5598383372069</v>
      </c>
      <c r="EB20" s="952"/>
      <c r="ED20" s="949"/>
      <c r="EE20" s="1014">
        <v>376.78710065476275</v>
      </c>
      <c r="EG20" s="1014">
        <v>34.725852015256478</v>
      </c>
      <c r="EI20" s="1014">
        <v>1474.4057791516411</v>
      </c>
      <c r="EK20" s="1014">
        <v>1885.9187318216605</v>
      </c>
      <c r="EL20" s="952"/>
      <c r="EO20" s="991"/>
      <c r="EP20" s="937"/>
      <c r="EQ20" s="917">
        <f>'[21]FY26-FY28_HoldCo Budget Proj'!P22-BT20</f>
        <v>0</v>
      </c>
      <c r="ER20" s="990" t="s">
        <v>709</v>
      </c>
      <c r="ET20" s="917">
        <f>'[21]FY26-FY28_Retiro Budget Proj'!P22-CD20</f>
        <v>0</v>
      </c>
      <c r="EU20" s="990" t="s">
        <v>709</v>
      </c>
      <c r="EW20" s="917">
        <f>'[21]FY26-FY28_HydroCo Budget Proj'!P22-DL20</f>
        <v>0</v>
      </c>
      <c r="EX20" s="990" t="s">
        <v>709</v>
      </c>
      <c r="EZ20" s="990"/>
      <c r="FB20" s="990"/>
      <c r="FC20" s="990"/>
      <c r="FE20" s="990"/>
      <c r="FF20" s="990"/>
    </row>
    <row r="21" spans="1:162">
      <c r="A21" s="1012"/>
      <c r="C21" s="968" t="s">
        <v>306</v>
      </c>
      <c r="G21" s="916" t="e">
        <f>IF(I20&gt;0,MAX($G$12:G20)+1,"")</f>
        <v>#REF!</v>
      </c>
      <c r="H21" s="991" t="s">
        <v>306</v>
      </c>
      <c r="I21" s="80" t="s">
        <v>306</v>
      </c>
      <c r="K21" s="1015" t="e">
        <f>SUMIFS('[21]Consolid_FY26 Budget Requests'!$P:$P,'[21]Consolid_FY26 Budget Requests'!$D:$D,K$1,'[21]Consolid_FY26 Budget Requests'!$K:$K,$C21)/10^3</f>
        <v>#VALUE!</v>
      </c>
      <c r="M21" s="1015" t="e">
        <f>SUMIFS('[21]Consolid_FY26 Budget Requests'!$P:$P,'[21]Consolid_FY26 Budget Requests'!$D:$D,M$1,'[21]Consolid_FY26 Budget Requests'!$K:$K,$C21)/10^3</f>
        <v>#VALUE!</v>
      </c>
      <c r="O21" s="1015" t="e">
        <f>SUMIFS('[21]Consolid_FY26 Budget Requests'!$P:$P,'[21]Consolid_FY26 Budget Requests'!$D:$D,O$1,'[21]Consolid_FY26 Budget Requests'!$K:$K,$C21)/10^3</f>
        <v>#VALUE!</v>
      </c>
      <c r="Q21" s="1015" t="e">
        <f>SUMIFS('[21]Consolid_FY26 Budget Requests'!$P:$P,'[21]Consolid_FY26 Budget Requests'!$D:$D,Q$1,'[21]Consolid_FY26 Budget Requests'!$K:$K,$C21)/10^3</f>
        <v>#VALUE!</v>
      </c>
      <c r="S21" s="1015" t="e">
        <f>SUMIFS('[21]Consolid_FY26 Budget Requests'!$P:$P,'[21]Consolid_FY26 Budget Requests'!$D:$D,S$1,'[21]Consolid_FY26 Budget Requests'!$K:$K,$C21)/10^3</f>
        <v>#VALUE!</v>
      </c>
      <c r="U21" s="1015" t="e">
        <f>SUMIFS('[21]Consolid_FY26 Budget Requests'!$P:$P,'[21]Consolid_FY26 Budget Requests'!$D:$D,U$1,'[21]Consolid_FY26 Budget Requests'!$K:$K,$C21)/10^3</f>
        <v>#VALUE!</v>
      </c>
      <c r="W21" s="1015" t="e">
        <f>SUMIFS('[21]Consolid_FY26 Budget Requests'!$P:$P,'[21]Consolid_FY26 Budget Requests'!$D:$D,W$1,'[21]Consolid_FY26 Budget Requests'!$K:$K,$C21)/10^3</f>
        <v>#VALUE!</v>
      </c>
      <c r="Y21" s="1015" t="e">
        <f>SUMIFS('[21]Consolid_FY26 Budget Requests'!$P:$P,'[21]Consolid_FY26 Budget Requests'!$D:$D,Y$1,'[21]Consolid_FY26 Budget Requests'!$K:$K,$C21)/10^3</f>
        <v>#VALUE!</v>
      </c>
      <c r="AA21" s="1015" t="e">
        <f>SUMIFS('[21]Consolid_FY26 Budget Requests'!$P:$P,'[21]Consolid_FY26 Budget Requests'!$D:$D,AA$1,'[21]Consolid_FY26 Budget Requests'!$K:$K,$C21)/10^3</f>
        <v>#VALUE!</v>
      </c>
      <c r="AC21" s="1015" t="e">
        <f>SUMIFS('[21]Consolid_FY26 Budget Requests'!$P:$P,'[21]Consolid_FY26 Budget Requests'!$D:$D,AC$1,'[21]Consolid_FY26 Budget Requests'!$K:$K,$C21)/10^3</f>
        <v>#VALUE!</v>
      </c>
      <c r="AE21" s="1015" t="e">
        <f>SUMIFS('[21]Consolid_FY26 Budget Requests'!$P:$P,'[21]Consolid_FY26 Budget Requests'!$D:$D,AE$1,'[21]Consolid_FY26 Budget Requests'!$K:$K,$C21)/10^3</f>
        <v>#VALUE!</v>
      </c>
      <c r="AG21" s="1015" t="e">
        <f>SUMIFS('[21]Consolid_FY26 Budget Requests'!$P:$P,'[21]Consolid_FY26 Budget Requests'!$D:$D,AG$1,'[21]Consolid_FY26 Budget Requests'!$K:$K,$C21)/10^3</f>
        <v>#VALUE!</v>
      </c>
      <c r="AI21" s="1015" t="e">
        <f>SUMIFS('[21]Consolid_FY26 Budget Requests'!$P:$P,'[21]Consolid_FY26 Budget Requests'!$D:$D,AI$1,'[21]Consolid_FY26 Budget Requests'!$K:$K,$C21)/10^3</f>
        <v>#VALUE!</v>
      </c>
      <c r="AK21" s="1015" t="e">
        <f>SUMIFS('[21]Consolid_FY26 Budget Requests'!$P:$P,'[21]Consolid_FY26 Budget Requests'!$D:$D,AK$1,'[21]Consolid_FY26 Budget Requests'!$K:$K,$C21)/10^3</f>
        <v>#VALUE!</v>
      </c>
      <c r="AM21" s="1015" t="e">
        <f>SUMIFS('[21]Consolid_FY26 Budget Requests'!$P:$P,'[21]Consolid_FY26 Budget Requests'!$D:$D,AM$1,'[21]Consolid_FY26 Budget Requests'!$K:$K,$C21)/10^3</f>
        <v>#VALUE!</v>
      </c>
      <c r="AO21" s="1015" t="e">
        <f>SUMIFS('[21]Consolid_FY26 Budget Requests'!$P:$P,'[21]Consolid_FY26 Budget Requests'!$D:$D,AO$1,'[21]Consolid_FY26 Budget Requests'!$K:$K,$C21)/10^3</f>
        <v>#VALUE!</v>
      </c>
      <c r="AQ21" s="1015" t="e">
        <f>SUMIFS('[21]Consolid_FY26 Budget Requests'!$P:$P,'[21]Consolid_FY26 Budget Requests'!$D:$D,AQ$1,'[21]Consolid_FY26 Budget Requests'!$K:$K,$C21)/10^3</f>
        <v>#VALUE!</v>
      </c>
      <c r="AS21" s="1015" t="e">
        <f>SUMIFS('[21]Consolid_FY26 Budget Requests'!$P:$P,'[21]Consolid_FY26 Budget Requests'!$D:$D,AS$1,'[21]Consolid_FY26 Budget Requests'!$K:$K,$C21)/10^3</f>
        <v>#VALUE!</v>
      </c>
      <c r="AU21" s="1015" t="e">
        <f>SUMIFS('[21]Consolid_FY26 Budget Requests'!$P:$P,'[21]Consolid_FY26 Budget Requests'!$D:$D,AU$1,'[21]Consolid_FY26 Budget Requests'!$K:$K,$C21)/10^3</f>
        <v>#VALUE!</v>
      </c>
      <c r="AW21" s="1015" t="e">
        <f>SUMIFS('[21]Consolid_FY26 Budget Requests'!$P:$P,'[21]Consolid_FY26 Budget Requests'!$D:$D,AW$1,'[21]Consolid_FY26 Budget Requests'!$K:$K,$C21)/10^3</f>
        <v>#VALUE!</v>
      </c>
      <c r="AX21" s="916"/>
      <c r="AY21" s="1078"/>
      <c r="AZ21" s="1078"/>
      <c r="BA21" s="1078"/>
      <c r="BB21" s="1078"/>
      <c r="BC21" s="1078"/>
      <c r="BD21" s="1078"/>
      <c r="BE21" s="1078"/>
      <c r="BF21" s="1078"/>
      <c r="BG21" s="1078"/>
      <c r="BH21" s="1078"/>
      <c r="BI21" s="1078"/>
      <c r="BJ21" s="1078"/>
      <c r="BK21" s="1078"/>
      <c r="BL21" s="1078"/>
      <c r="BM21" s="1078"/>
      <c r="BN21" s="1078"/>
      <c r="BO21" s="1078"/>
      <c r="BP21" s="1078"/>
      <c r="BQ21" s="1078"/>
      <c r="BS21" s="942"/>
      <c r="BT21" s="1016">
        <v>600.38580000000002</v>
      </c>
      <c r="BU21" s="943"/>
      <c r="BW21" s="1015">
        <v>50.45</v>
      </c>
      <c r="BX21" s="1078"/>
      <c r="BY21" s="1078"/>
      <c r="BZ21" s="1078"/>
      <c r="CA21" s="1078"/>
      <c r="CC21" s="942"/>
      <c r="CD21" s="1016">
        <v>50.45</v>
      </c>
      <c r="CE21" s="943"/>
      <c r="CG21" s="1015">
        <v>12.4116</v>
      </c>
      <c r="CI21" s="1015">
        <v>18.955400000000001</v>
      </c>
      <c r="CK21" s="1015">
        <v>1.9550000000000001</v>
      </c>
      <c r="CM21" s="1015">
        <v>94.927800000000005</v>
      </c>
      <c r="CO21" s="1015">
        <v>90.26039999999999</v>
      </c>
      <c r="CQ21" s="1015">
        <v>88.051450000000003</v>
      </c>
      <c r="CS21" s="1015">
        <v>173.81780000000003</v>
      </c>
      <c r="CU21" s="1078"/>
      <c r="CV21" s="1078"/>
      <c r="CW21" s="1078"/>
      <c r="CX21" s="1078"/>
      <c r="CY21" s="1078"/>
      <c r="CZ21" s="1078"/>
      <c r="DA21" s="1078"/>
      <c r="DB21" s="1078"/>
      <c r="DC21" s="1078"/>
      <c r="DD21" s="1078"/>
      <c r="DE21" s="1078"/>
      <c r="DF21" s="1078"/>
      <c r="DG21" s="1078"/>
      <c r="DH21" s="1078"/>
      <c r="DI21" s="1078"/>
      <c r="DK21" s="942"/>
      <c r="DL21" s="1016">
        <v>480.37945000000002</v>
      </c>
      <c r="DM21" s="943"/>
      <c r="DO21" s="946"/>
      <c r="DP21" s="1016">
        <v>1131.2152500000002</v>
      </c>
      <c r="DQ21" s="948"/>
      <c r="DT21" s="949"/>
      <c r="DU21" s="1016">
        <v>610.1855534918609</v>
      </c>
      <c r="DW21" s="1016">
        <v>51.273466450512956</v>
      </c>
      <c r="DY21" s="1016">
        <v>488.22040858455631</v>
      </c>
      <c r="EA21" s="1016">
        <v>1149.6794285269302</v>
      </c>
      <c r="EB21" s="952"/>
      <c r="ED21" s="949"/>
      <c r="EE21" s="1016">
        <v>620.50322746611221</v>
      </c>
      <c r="EG21" s="1016">
        <v>52.140453397907415</v>
      </c>
      <c r="EI21" s="1016">
        <v>496.47576463899691</v>
      </c>
      <c r="EK21" s="1016">
        <v>1169.1194455030165</v>
      </c>
      <c r="EL21" s="952"/>
      <c r="EO21" s="991"/>
      <c r="EP21" s="937"/>
      <c r="EQ21" s="917">
        <f>'[21]FY26-FY28_HoldCo Budget Proj'!P23-BT21</f>
        <v>0</v>
      </c>
      <c r="ER21" s="990" t="s">
        <v>709</v>
      </c>
      <c r="ET21" s="917">
        <f>'[21]FY26-FY28_Retiro Budget Proj'!P23-CD21</f>
        <v>0</v>
      </c>
      <c r="EU21" s="990" t="s">
        <v>709</v>
      </c>
      <c r="EW21" s="917">
        <f>'[21]FY26-FY28_HydroCo Budget Proj'!P23-DL21</f>
        <v>0</v>
      </c>
      <c r="EX21" s="990" t="s">
        <v>709</v>
      </c>
      <c r="EZ21" s="990"/>
      <c r="FB21" s="990"/>
      <c r="FC21" s="990"/>
      <c r="FE21" s="990"/>
      <c r="FF21" s="990"/>
    </row>
    <row r="22" spans="1:162">
      <c r="A22" s="1012"/>
      <c r="C22" s="968" t="s">
        <v>308</v>
      </c>
      <c r="G22" s="916" t="e">
        <f>IF(I21&gt;0,MAX($G$12:G21)+1,"")</f>
        <v>#REF!</v>
      </c>
      <c r="H22" s="991" t="s">
        <v>308</v>
      </c>
      <c r="I22" s="80" t="s">
        <v>308</v>
      </c>
      <c r="K22" s="1078"/>
      <c r="L22" s="996"/>
      <c r="M22" s="1078"/>
      <c r="N22" s="996"/>
      <c r="O22" s="1078"/>
      <c r="P22" s="996"/>
      <c r="Q22" s="1078"/>
      <c r="R22" s="996"/>
      <c r="S22" s="1078"/>
      <c r="T22" s="996"/>
      <c r="U22" s="1078"/>
      <c r="V22" s="996"/>
      <c r="W22" s="1078"/>
      <c r="X22" s="996"/>
      <c r="Y22" s="1078"/>
      <c r="Z22" s="996"/>
      <c r="AA22" s="1078"/>
      <c r="AB22" s="996"/>
      <c r="AC22" s="1078"/>
      <c r="AD22" s="996"/>
      <c r="AE22" s="1078"/>
      <c r="AF22" s="996"/>
      <c r="AG22" s="1078"/>
      <c r="AH22" s="996"/>
      <c r="AI22" s="1078"/>
      <c r="AJ22" s="996"/>
      <c r="AK22" s="1078"/>
      <c r="AL22" s="996"/>
      <c r="AM22" s="1078"/>
      <c r="AN22" s="996"/>
      <c r="AO22" s="1078"/>
      <c r="AP22" s="996"/>
      <c r="AQ22" s="1078"/>
      <c r="AR22" s="996"/>
      <c r="AS22" s="1078"/>
      <c r="AT22" s="996"/>
      <c r="AU22" s="1078"/>
      <c r="AV22" s="996"/>
      <c r="AW22" s="1078"/>
      <c r="AX22" s="1079"/>
      <c r="AY22" s="1078"/>
      <c r="AZ22" s="1078"/>
      <c r="BA22" s="1078"/>
      <c r="BB22" s="1078"/>
      <c r="BC22" s="1078"/>
      <c r="BD22" s="1078"/>
      <c r="BE22" s="1078"/>
      <c r="BF22" s="1078"/>
      <c r="BG22" s="1078"/>
      <c r="BH22" s="1078"/>
      <c r="BI22" s="1078"/>
      <c r="BJ22" s="1078"/>
      <c r="BK22" s="1078"/>
      <c r="BL22" s="1078"/>
      <c r="BM22" s="1078"/>
      <c r="BN22" s="1078"/>
      <c r="BO22" s="1078"/>
      <c r="BP22" s="1078"/>
      <c r="BQ22" s="1078"/>
      <c r="BS22" s="942"/>
      <c r="BT22" s="1006">
        <v>0</v>
      </c>
      <c r="BU22" s="943"/>
      <c r="BW22" s="1078"/>
      <c r="BX22" s="1078"/>
      <c r="BY22" s="1002">
        <v>7950</v>
      </c>
      <c r="BZ22" s="1078"/>
      <c r="CA22" s="1078"/>
      <c r="CC22" s="942"/>
      <c r="CD22" s="1006">
        <v>7950</v>
      </c>
      <c r="CE22" s="943"/>
      <c r="CG22" s="1078"/>
      <c r="CH22" s="996"/>
      <c r="CI22" s="1078"/>
      <c r="CJ22" s="996"/>
      <c r="CK22" s="1078"/>
      <c r="CL22" s="996"/>
      <c r="CM22" s="1078"/>
      <c r="CN22" s="996"/>
      <c r="CO22" s="1078"/>
      <c r="CP22" s="996"/>
      <c r="CQ22" s="1078"/>
      <c r="CR22" s="996"/>
      <c r="CS22" s="1078"/>
      <c r="CT22" s="996"/>
      <c r="CU22" s="1078"/>
      <c r="CV22" s="1078"/>
      <c r="CW22" s="1078"/>
      <c r="CX22" s="1078"/>
      <c r="CY22" s="1078"/>
      <c r="CZ22" s="1078"/>
      <c r="DA22" s="1078"/>
      <c r="DB22" s="1078"/>
      <c r="DC22" s="1078"/>
      <c r="DD22" s="1078"/>
      <c r="DE22" s="1078"/>
      <c r="DF22" s="1078"/>
      <c r="DG22" s="1078"/>
      <c r="DH22" s="1078"/>
      <c r="DI22" s="1078"/>
      <c r="DK22" s="942"/>
      <c r="DL22" s="1006">
        <v>0</v>
      </c>
      <c r="DM22" s="943"/>
      <c r="DO22" s="946"/>
      <c r="DP22" s="1006">
        <v>7950</v>
      </c>
      <c r="DQ22" s="948"/>
      <c r="DT22" s="949"/>
      <c r="DU22" s="1006">
        <v>0</v>
      </c>
      <c r="DW22" s="1016">
        <v>8347.5</v>
      </c>
      <c r="DY22" s="1016">
        <v>0</v>
      </c>
      <c r="EA22" s="1006">
        <v>8347.5</v>
      </c>
      <c r="EB22" s="952"/>
      <c r="ED22" s="949"/>
      <c r="EE22" s="1006">
        <v>0</v>
      </c>
      <c r="EG22" s="1016">
        <v>8764.875</v>
      </c>
      <c r="EI22" s="1006">
        <v>0</v>
      </c>
      <c r="EK22" s="1006">
        <v>8764.875</v>
      </c>
      <c r="EL22" s="952"/>
      <c r="EO22" s="991"/>
      <c r="EP22" s="937"/>
      <c r="EQ22" s="990" t="s">
        <v>709</v>
      </c>
      <c r="ER22" s="990" t="s">
        <v>709</v>
      </c>
      <c r="ET22" s="990">
        <f>'[21]FY26-FY28_Retiro Budget Proj'!P24-BY22</f>
        <v>0</v>
      </c>
      <c r="EU22" s="990" t="s">
        <v>709</v>
      </c>
      <c r="EW22" s="990" t="s">
        <v>709</v>
      </c>
      <c r="EX22" s="990" t="s">
        <v>709</v>
      </c>
      <c r="EZ22" s="990"/>
      <c r="FB22" s="990"/>
      <c r="FC22" s="990"/>
      <c r="FE22" s="990"/>
      <c r="FF22" s="990"/>
    </row>
    <row r="23" spans="1:162">
      <c r="A23" s="1012"/>
      <c r="C23" s="968" t="s">
        <v>309</v>
      </c>
      <c r="G23" s="916" t="e">
        <f>IF(I22&gt;0,MAX($G$12:G22)+1,"")</f>
        <v>#REF!</v>
      </c>
      <c r="H23" s="991" t="s">
        <v>309</v>
      </c>
      <c r="I23" s="80" t="s">
        <v>309</v>
      </c>
      <c r="K23" s="1078"/>
      <c r="L23" s="996"/>
      <c r="M23" s="1078"/>
      <c r="N23" s="996"/>
      <c r="O23" s="1078"/>
      <c r="P23" s="996"/>
      <c r="Q23" s="1078"/>
      <c r="R23" s="996"/>
      <c r="S23" s="1078"/>
      <c r="T23" s="996"/>
      <c r="U23" s="1078"/>
      <c r="V23" s="996"/>
      <c r="W23" s="1078"/>
      <c r="X23" s="996"/>
      <c r="Y23" s="1078"/>
      <c r="Z23" s="996"/>
      <c r="AA23" s="1078"/>
      <c r="AB23" s="996"/>
      <c r="AC23" s="1078"/>
      <c r="AD23" s="996"/>
      <c r="AE23" s="1078"/>
      <c r="AF23" s="996"/>
      <c r="AG23" s="1078"/>
      <c r="AH23" s="996"/>
      <c r="AI23" s="1078"/>
      <c r="AJ23" s="996"/>
      <c r="AK23" s="1078"/>
      <c r="AL23" s="996"/>
      <c r="AM23" s="1078"/>
      <c r="AN23" s="996"/>
      <c r="AO23" s="1078"/>
      <c r="AP23" s="996"/>
      <c r="AQ23" s="1078"/>
      <c r="AR23" s="996"/>
      <c r="AS23" s="1078"/>
      <c r="AT23" s="996"/>
      <c r="AU23" s="1078"/>
      <c r="AV23" s="996"/>
      <c r="AW23" s="1078"/>
      <c r="AX23" s="1079"/>
      <c r="AY23" s="1078"/>
      <c r="AZ23" s="1078"/>
      <c r="BA23" s="1078"/>
      <c r="BB23" s="1078"/>
      <c r="BC23" s="1002">
        <f>'[21]FY26_Corporate Responsibilities'!G56/10^3</f>
        <v>1601.7429999999999</v>
      </c>
      <c r="BD23" s="916"/>
      <c r="BE23" s="1078"/>
      <c r="BF23" s="1078"/>
      <c r="BG23" s="1078"/>
      <c r="BH23" s="1078"/>
      <c r="BI23" s="1078"/>
      <c r="BJ23" s="1078"/>
      <c r="BK23" s="1078"/>
      <c r="BL23" s="1078"/>
      <c r="BM23" s="1078"/>
      <c r="BN23" s="1078"/>
      <c r="BO23" s="1078"/>
      <c r="BP23" s="1078"/>
      <c r="BQ23" s="1078"/>
      <c r="BS23" s="942"/>
      <c r="BT23" s="1006">
        <v>1601.7429999999999</v>
      </c>
      <c r="BU23" s="943"/>
      <c r="BW23" s="1078"/>
      <c r="BX23" s="1078"/>
      <c r="BY23" s="1078"/>
      <c r="BZ23" s="1078"/>
      <c r="CA23" s="1078"/>
      <c r="CC23" s="942"/>
      <c r="CD23" s="1006">
        <v>0</v>
      </c>
      <c r="CE23" s="943"/>
      <c r="CG23" s="1078"/>
      <c r="CH23" s="996"/>
      <c r="CI23" s="1078"/>
      <c r="CJ23" s="996"/>
      <c r="CK23" s="1078"/>
      <c r="CL23" s="996"/>
      <c r="CM23" s="1078"/>
      <c r="CN23" s="996"/>
      <c r="CO23" s="1078"/>
      <c r="CP23" s="996"/>
      <c r="CQ23" s="1078"/>
      <c r="CR23" s="996"/>
      <c r="CS23" s="1078"/>
      <c r="CT23" s="996"/>
      <c r="CU23" s="1078"/>
      <c r="CV23" s="1078"/>
      <c r="CW23" s="1002">
        <v>2104.6460000000002</v>
      </c>
      <c r="CX23" s="1078"/>
      <c r="CY23" s="1078"/>
      <c r="CZ23" s="1078"/>
      <c r="DA23" s="1078"/>
      <c r="DB23" s="1078"/>
      <c r="DC23" s="1078"/>
      <c r="DD23" s="1078"/>
      <c r="DE23" s="1078"/>
      <c r="DF23" s="1078"/>
      <c r="DG23" s="1078"/>
      <c r="DH23" s="1078"/>
      <c r="DI23" s="1078"/>
      <c r="DK23" s="942"/>
      <c r="DL23" s="1006">
        <v>2104.6460000000002</v>
      </c>
      <c r="DM23" s="943"/>
      <c r="DO23" s="946"/>
      <c r="DP23" s="1006">
        <v>3706.3890000000001</v>
      </c>
      <c r="DQ23" s="948"/>
      <c r="DT23" s="949"/>
      <c r="DU23" s="1006">
        <v>1426.1343400000001</v>
      </c>
      <c r="DW23" s="1016">
        <v>0</v>
      </c>
      <c r="DY23" s="1006">
        <v>2033.5127600000003</v>
      </c>
      <c r="EA23" s="1006">
        <v>3459.6471000000001</v>
      </c>
      <c r="EB23" s="952"/>
      <c r="ED23" s="949"/>
      <c r="EE23" s="1006">
        <v>1461.082216</v>
      </c>
      <c r="EG23" s="1016">
        <v>0</v>
      </c>
      <c r="EI23" s="1006">
        <v>2083.6451040000002</v>
      </c>
      <c r="EK23" s="1006">
        <v>3544.72732</v>
      </c>
      <c r="EL23" s="952"/>
      <c r="EO23" s="991"/>
      <c r="EP23" s="937"/>
      <c r="EQ23" s="917">
        <f>'[21]FY26-FY28_HoldCo Budget Proj'!P24-BT23</f>
        <v>0</v>
      </c>
      <c r="ER23" s="990" t="s">
        <v>709</v>
      </c>
      <c r="ET23" s="990" t="s">
        <v>709</v>
      </c>
      <c r="EU23" s="990" t="s">
        <v>709</v>
      </c>
      <c r="EW23" s="917">
        <f>'[21]FY26-FY28_HydroCo Budget Proj'!P24-DL23</f>
        <v>0</v>
      </c>
      <c r="EX23" s="990" t="s">
        <v>709</v>
      </c>
      <c r="EZ23" s="990"/>
      <c r="FB23" s="990"/>
      <c r="FC23" s="990"/>
      <c r="FE23" s="990"/>
      <c r="FF23" s="990"/>
    </row>
    <row r="24" spans="1:162">
      <c r="A24" s="1012"/>
      <c r="C24" s="968" t="s">
        <v>312</v>
      </c>
      <c r="G24" s="916" t="e">
        <f>IF(I23&gt;0,MAX($G$12:G23)+1,"")</f>
        <v>#REF!</v>
      </c>
      <c r="H24" s="991" t="s">
        <v>312</v>
      </c>
      <c r="I24" s="80" t="s">
        <v>312</v>
      </c>
      <c r="K24" s="1078"/>
      <c r="L24" s="996"/>
      <c r="M24" s="1078"/>
      <c r="N24" s="996"/>
      <c r="O24" s="1078"/>
      <c r="P24" s="996"/>
      <c r="Q24" s="1078"/>
      <c r="R24" s="996"/>
      <c r="S24" s="1078"/>
      <c r="T24" s="996"/>
      <c r="U24" s="1078"/>
      <c r="V24" s="996"/>
      <c r="W24" s="1078"/>
      <c r="X24" s="996"/>
      <c r="Y24" s="1078"/>
      <c r="Z24" s="996"/>
      <c r="AA24" s="1078"/>
      <c r="AB24" s="996"/>
      <c r="AC24" s="1078"/>
      <c r="AD24" s="996"/>
      <c r="AE24" s="1078"/>
      <c r="AF24" s="996"/>
      <c r="AG24" s="1078"/>
      <c r="AH24" s="996"/>
      <c r="AI24" s="1078"/>
      <c r="AJ24" s="996"/>
      <c r="AK24" s="1078"/>
      <c r="AL24" s="996"/>
      <c r="AM24" s="1078"/>
      <c r="AN24" s="996"/>
      <c r="AO24" s="1078"/>
      <c r="AP24" s="996"/>
      <c r="AQ24" s="1078"/>
      <c r="AR24" s="996"/>
      <c r="AS24" s="1078"/>
      <c r="AT24" s="996"/>
      <c r="AU24" s="1078"/>
      <c r="AV24" s="996"/>
      <c r="AW24" s="1078"/>
      <c r="AX24" s="1079"/>
      <c r="AY24" s="1078"/>
      <c r="AZ24" s="1078"/>
      <c r="BA24" s="1078"/>
      <c r="BB24" s="1078"/>
      <c r="BC24" s="1078"/>
      <c r="BD24" s="1078"/>
      <c r="BE24" s="1078"/>
      <c r="BF24" s="1078"/>
      <c r="BG24" s="1015">
        <f>'[21]FY26_Corporate Responsibilities'!G81/10^3</f>
        <v>72</v>
      </c>
      <c r="BI24" s="1078"/>
      <c r="BJ24" s="1078"/>
      <c r="BK24" s="1078"/>
      <c r="BL24" s="1078"/>
      <c r="BM24" s="1078"/>
      <c r="BN24" s="1078"/>
      <c r="BO24" s="1078"/>
      <c r="BP24" s="1078"/>
      <c r="BQ24" s="1078"/>
      <c r="BS24" s="942"/>
      <c r="BT24" s="1006">
        <v>72</v>
      </c>
      <c r="BU24" s="943"/>
      <c r="BW24" s="1078"/>
      <c r="BX24" s="1078"/>
      <c r="BY24" s="1078"/>
      <c r="BZ24" s="1078"/>
      <c r="CA24" s="1078"/>
      <c r="CC24" s="942"/>
      <c r="CD24" s="1006">
        <v>0</v>
      </c>
      <c r="CE24" s="943"/>
      <c r="CG24" s="1078"/>
      <c r="CH24" s="996"/>
      <c r="CI24" s="1078"/>
      <c r="CJ24" s="996"/>
      <c r="CK24" s="1078"/>
      <c r="CL24" s="996"/>
      <c r="CM24" s="1078"/>
      <c r="CN24" s="996"/>
      <c r="CO24" s="1078"/>
      <c r="CP24" s="996"/>
      <c r="CQ24" s="1078"/>
      <c r="CR24" s="996"/>
      <c r="CS24" s="1078"/>
      <c r="CT24" s="996"/>
      <c r="CU24" s="1078"/>
      <c r="CV24" s="996"/>
      <c r="CW24" s="996"/>
      <c r="CX24" s="996"/>
      <c r="CY24" s="996"/>
      <c r="CZ24" s="996"/>
      <c r="DA24" s="1015">
        <v>80</v>
      </c>
      <c r="DB24" s="1078"/>
      <c r="DC24" s="1078"/>
      <c r="DD24" s="1078"/>
      <c r="DE24" s="1078"/>
      <c r="DF24" s="1078"/>
      <c r="DG24" s="1078"/>
      <c r="DH24" s="1078"/>
      <c r="DI24" s="1078"/>
      <c r="DK24" s="942"/>
      <c r="DL24" s="1006">
        <v>80</v>
      </c>
      <c r="DM24" s="943"/>
      <c r="DO24" s="946"/>
      <c r="DP24" s="1006">
        <v>152</v>
      </c>
      <c r="DQ24" s="948"/>
      <c r="DT24" s="949"/>
      <c r="DU24" s="1006">
        <v>75.599999999999994</v>
      </c>
      <c r="DW24" s="1016">
        <v>0</v>
      </c>
      <c r="DY24" s="1006">
        <v>84</v>
      </c>
      <c r="EA24" s="1006">
        <v>159.6</v>
      </c>
      <c r="EB24" s="952"/>
      <c r="ED24" s="949"/>
      <c r="EE24" s="1006">
        <v>79.38</v>
      </c>
      <c r="EG24" s="1006">
        <v>0</v>
      </c>
      <c r="EI24" s="1006">
        <v>88.2</v>
      </c>
      <c r="EK24" s="1006">
        <v>167.57999999999998</v>
      </c>
      <c r="EL24" s="952"/>
      <c r="EO24" s="906"/>
      <c r="EP24" s="937"/>
      <c r="EQ24" s="917">
        <f>'[21]FY26-FY28_HoldCo Budget Proj'!P25-BT24</f>
        <v>0</v>
      </c>
      <c r="ER24" s="990" t="s">
        <v>709</v>
      </c>
      <c r="ET24" s="990" t="s">
        <v>709</v>
      </c>
      <c r="EU24" s="990" t="s">
        <v>709</v>
      </c>
      <c r="EW24" s="917">
        <f>'[21]FY26-FY28_HydroCo Budget Proj'!P25-DL24</f>
        <v>0</v>
      </c>
      <c r="EX24" s="990" t="s">
        <v>709</v>
      </c>
      <c r="EZ24" s="990"/>
      <c r="FB24" s="990"/>
      <c r="FC24" s="990"/>
      <c r="FE24" s="990"/>
      <c r="FF24" s="990"/>
    </row>
    <row r="25" spans="1:162">
      <c r="A25" s="1012"/>
      <c r="C25" s="968" t="s">
        <v>313</v>
      </c>
      <c r="G25" s="916" t="e">
        <f>IF(I24&gt;0,MAX($G$12:G24)+1,"")</f>
        <v>#REF!</v>
      </c>
      <c r="H25" s="991" t="s">
        <v>313</v>
      </c>
      <c r="I25" s="80" t="s">
        <v>313</v>
      </c>
      <c r="K25" s="1078"/>
      <c r="L25" s="996"/>
      <c r="M25" s="1078"/>
      <c r="N25" s="996"/>
      <c r="O25" s="1078"/>
      <c r="P25" s="996"/>
      <c r="Q25" s="1078"/>
      <c r="R25" s="996"/>
      <c r="S25" s="1078"/>
      <c r="T25" s="996"/>
      <c r="U25" s="1078"/>
      <c r="V25" s="996"/>
      <c r="W25" s="1078"/>
      <c r="X25" s="996"/>
      <c r="Y25" s="1078"/>
      <c r="Z25" s="996"/>
      <c r="AA25" s="1078"/>
      <c r="AB25" s="996"/>
      <c r="AC25" s="1078"/>
      <c r="AD25" s="996"/>
      <c r="AE25" s="1078"/>
      <c r="AF25" s="996"/>
      <c r="AG25" s="1078"/>
      <c r="AH25" s="996"/>
      <c r="AI25" s="1078"/>
      <c r="AJ25" s="996"/>
      <c r="AK25" s="1078"/>
      <c r="AL25" s="996"/>
      <c r="AM25" s="1078"/>
      <c r="AN25" s="996"/>
      <c r="AO25" s="1078"/>
      <c r="AP25" s="996"/>
      <c r="AQ25" s="1078"/>
      <c r="AR25" s="996"/>
      <c r="AS25" s="1078"/>
      <c r="AT25" s="996"/>
      <c r="AU25" s="1078"/>
      <c r="AV25" s="996"/>
      <c r="AW25" s="1078"/>
      <c r="AX25" s="1079"/>
      <c r="AY25" s="1078"/>
      <c r="AZ25" s="1078"/>
      <c r="BA25" s="1002">
        <f>'[21]FY26_Corporate Responsibilities'!G36/10^3</f>
        <v>7267</v>
      </c>
      <c r="BB25" s="1078"/>
      <c r="BC25" s="1078"/>
      <c r="BD25" s="1078"/>
      <c r="BE25" s="1078"/>
      <c r="BF25" s="1078"/>
      <c r="BG25" s="1078"/>
      <c r="BH25" s="1078"/>
      <c r="BI25" s="1078"/>
      <c r="BJ25" s="1078"/>
      <c r="BK25" s="1078"/>
      <c r="BL25" s="1078"/>
      <c r="BM25" s="1078"/>
      <c r="BN25" s="1078"/>
      <c r="BO25" s="1078"/>
      <c r="BP25" s="1078"/>
      <c r="BQ25" s="1078"/>
      <c r="BS25" s="942"/>
      <c r="BT25" s="1016">
        <v>7267</v>
      </c>
      <c r="BU25" s="943"/>
      <c r="BW25" s="1078"/>
      <c r="BX25" s="1078"/>
      <c r="BY25" s="1078"/>
      <c r="BZ25" s="1078"/>
      <c r="CA25" s="1078"/>
      <c r="CC25" s="942"/>
      <c r="CD25" s="1016">
        <v>0</v>
      </c>
      <c r="CE25" s="943"/>
      <c r="CG25" s="1078"/>
      <c r="CH25" s="996"/>
      <c r="CI25" s="1078"/>
      <c r="CJ25" s="996"/>
      <c r="CK25" s="1078"/>
      <c r="CL25" s="996"/>
      <c r="CM25" s="1078"/>
      <c r="CN25" s="996"/>
      <c r="CO25" s="1078"/>
      <c r="CP25" s="996"/>
      <c r="CQ25" s="1078"/>
      <c r="CR25" s="996"/>
      <c r="CS25" s="1078"/>
      <c r="CT25" s="996"/>
      <c r="CU25" s="1078"/>
      <c r="CV25" s="1078"/>
      <c r="CW25" s="1078"/>
      <c r="CX25" s="1078"/>
      <c r="CY25" s="1078"/>
      <c r="CZ25" s="1078"/>
      <c r="DA25" s="1078"/>
      <c r="DB25" s="1078"/>
      <c r="DC25" s="1078"/>
      <c r="DD25" s="1078"/>
      <c r="DE25" s="1078"/>
      <c r="DF25" s="1078"/>
      <c r="DG25" s="1078"/>
      <c r="DH25" s="1078"/>
      <c r="DI25" s="1078"/>
      <c r="DK25" s="942"/>
      <c r="DL25" s="1016">
        <v>0</v>
      </c>
      <c r="DM25" s="943"/>
      <c r="DO25" s="946"/>
      <c r="DP25" s="1016">
        <v>7267</v>
      </c>
      <c r="DQ25" s="948"/>
      <c r="DT25" s="949"/>
      <c r="DU25" s="1006">
        <v>7630.4568806639081</v>
      </c>
      <c r="DW25" s="1016">
        <v>0</v>
      </c>
      <c r="DY25" s="1006">
        <v>0</v>
      </c>
      <c r="EA25" s="1016">
        <v>7630.4568806639081</v>
      </c>
      <c r="EB25" s="952"/>
      <c r="ED25" s="949"/>
      <c r="EE25" s="1016">
        <v>7234.1172427389001</v>
      </c>
      <c r="EG25" s="1016">
        <v>0</v>
      </c>
      <c r="EI25" s="1016">
        <v>0</v>
      </c>
      <c r="EK25" s="1016">
        <v>7234.1172427389001</v>
      </c>
      <c r="EL25" s="952"/>
      <c r="EO25" s="906"/>
      <c r="EP25" s="937"/>
      <c r="EQ25" s="917">
        <f>'[21]FY26-FY28_HoldCo Budget Proj'!P26-BT25</f>
        <v>0</v>
      </c>
      <c r="ER25" s="990" t="s">
        <v>709</v>
      </c>
      <c r="ET25" s="990" t="s">
        <v>709</v>
      </c>
      <c r="EU25" s="990" t="s">
        <v>709</v>
      </c>
      <c r="EW25" s="990" t="s">
        <v>709</v>
      </c>
      <c r="EX25" s="990" t="s">
        <v>709</v>
      </c>
      <c r="EZ25" s="990"/>
      <c r="FB25" s="990"/>
      <c r="FC25" s="990"/>
      <c r="FE25" s="990"/>
      <c r="FF25" s="990"/>
    </row>
    <row r="26" spans="1:162">
      <c r="A26" s="1012"/>
      <c r="C26" s="968" t="s">
        <v>315</v>
      </c>
      <c r="G26" s="916" t="e">
        <f>IF(I25&gt;0,MAX($G$12:G25)+1,"")</f>
        <v>#REF!</v>
      </c>
      <c r="H26" s="906" t="s">
        <v>315</v>
      </c>
      <c r="I26" s="80" t="s">
        <v>315</v>
      </c>
      <c r="J26" s="1076"/>
      <c r="K26" s="1015" t="e">
        <f>SUMIFS('[21]Consolid_FY26 Budget Requests'!$P:$P,'[21]Consolid_FY26 Budget Requests'!$D:$D,K$1,'[21]Consolid_FY26 Budget Requests'!$K:$K,$C26)/10^3</f>
        <v>#VALUE!</v>
      </c>
      <c r="L26" s="1076"/>
      <c r="M26" s="1015" t="e">
        <f>SUMIFS('[21]Consolid_FY26 Budget Requests'!$P:$P,'[21]Consolid_FY26 Budget Requests'!$D:$D,M$1,'[21]Consolid_FY26 Budget Requests'!$K:$K,$C26)/10^3</f>
        <v>#VALUE!</v>
      </c>
      <c r="N26" s="1076"/>
      <c r="O26" s="1015" t="e">
        <f>SUMIFS('[21]Consolid_FY26 Budget Requests'!$P:$P,'[21]Consolid_FY26 Budget Requests'!$D:$D,O$1,'[21]Consolid_FY26 Budget Requests'!$K:$K,$C26)/10^3</f>
        <v>#VALUE!</v>
      </c>
      <c r="P26" s="1076"/>
      <c r="Q26" s="1015" t="e">
        <f>SUMIFS('[21]Consolid_FY26 Budget Requests'!$P:$P,'[21]Consolid_FY26 Budget Requests'!$D:$D,Q$1,'[21]Consolid_FY26 Budget Requests'!$K:$K,$C26)/10^3</f>
        <v>#VALUE!</v>
      </c>
      <c r="R26" s="1076"/>
      <c r="S26" s="1015" t="e">
        <f>SUMIFS('[21]Consolid_FY26 Budget Requests'!$P:$P,'[21]Consolid_FY26 Budget Requests'!$D:$D,S$1,'[21]Consolid_FY26 Budget Requests'!$K:$K,$C26)/10^3</f>
        <v>#VALUE!</v>
      </c>
      <c r="T26" s="1076"/>
      <c r="U26" s="1015" t="e">
        <f>SUMIFS('[21]Consolid_FY26 Budget Requests'!$P:$P,'[21]Consolid_FY26 Budget Requests'!$D:$D,U$1,'[21]Consolid_FY26 Budget Requests'!$K:$K,$C26)/10^3</f>
        <v>#VALUE!</v>
      </c>
      <c r="V26" s="1076"/>
      <c r="W26" s="1015" t="e">
        <f>SUMIFS('[21]Consolid_FY26 Budget Requests'!$P:$P,'[21]Consolid_FY26 Budget Requests'!$D:$D,W$1,'[21]Consolid_FY26 Budget Requests'!$K:$K,$C26)/10^3</f>
        <v>#VALUE!</v>
      </c>
      <c r="X26" s="1076"/>
      <c r="Y26" s="1015" t="e">
        <f>SUMIFS('[21]Consolid_FY26 Budget Requests'!$P:$P,'[21]Consolid_FY26 Budget Requests'!$D:$D,Y$1,'[21]Consolid_FY26 Budget Requests'!$K:$K,$C26)/10^3</f>
        <v>#VALUE!</v>
      </c>
      <c r="Z26" s="1076"/>
      <c r="AA26" s="1015" t="e">
        <f>SUMIFS('[21]Consolid_FY26 Budget Requests'!$P:$P,'[21]Consolid_FY26 Budget Requests'!$D:$D,AA$1,'[21]Consolid_FY26 Budget Requests'!$K:$K,$C26)/10^3</f>
        <v>#VALUE!</v>
      </c>
      <c r="AB26" s="1076"/>
      <c r="AC26" s="1015" t="e">
        <f>SUMIFS('[21]Consolid_FY26 Budget Requests'!$P:$P,'[21]Consolid_FY26 Budget Requests'!$D:$D,AC$1,'[21]Consolid_FY26 Budget Requests'!$K:$K,$C26)/10^3</f>
        <v>#VALUE!</v>
      </c>
      <c r="AD26" s="1076"/>
      <c r="AE26" s="1015" t="e">
        <f>SUMIFS('[21]Consolid_FY26 Budget Requests'!$P:$P,'[21]Consolid_FY26 Budget Requests'!$D:$D,AE$1,'[21]Consolid_FY26 Budget Requests'!$K:$K,$C26)/10^3</f>
        <v>#VALUE!</v>
      </c>
      <c r="AF26" s="1076"/>
      <c r="AG26" s="1015" t="e">
        <f>SUMIFS('[21]Consolid_FY26 Budget Requests'!$P:$P,'[21]Consolid_FY26 Budget Requests'!$D:$D,AG$1,'[21]Consolid_FY26 Budget Requests'!$K:$K,$C26)/10^3</f>
        <v>#VALUE!</v>
      </c>
      <c r="AH26" s="1076"/>
      <c r="AI26" s="1015" t="e">
        <f>SUMIFS('[21]Consolid_FY26 Budget Requests'!$P:$P,'[21]Consolid_FY26 Budget Requests'!$D:$D,AI$1,'[21]Consolid_FY26 Budget Requests'!$K:$K,$C26)/10^3</f>
        <v>#VALUE!</v>
      </c>
      <c r="AJ26" s="1076"/>
      <c r="AK26" s="1015" t="e">
        <f>SUMIFS('[21]Consolid_FY26 Budget Requests'!$P:$P,'[21]Consolid_FY26 Budget Requests'!$D:$D,AK$1,'[21]Consolid_FY26 Budget Requests'!$K:$K,$C26)/10^3</f>
        <v>#VALUE!</v>
      </c>
      <c r="AL26" s="1076"/>
      <c r="AM26" s="1015" t="e">
        <f>SUMIFS('[21]Consolid_FY26 Budget Requests'!$P:$P,'[21]Consolid_FY26 Budget Requests'!$D:$D,AM$1,'[21]Consolid_FY26 Budget Requests'!$K:$K,$C26)/10^3</f>
        <v>#VALUE!</v>
      </c>
      <c r="AN26" s="1076"/>
      <c r="AO26" s="1015" t="e">
        <f>SUMIFS('[21]Consolid_FY26 Budget Requests'!$P:$P,'[21]Consolid_FY26 Budget Requests'!$D:$D,AO$1,'[21]Consolid_FY26 Budget Requests'!$K:$K,$C26)/10^3</f>
        <v>#VALUE!</v>
      </c>
      <c r="AP26" s="1076"/>
      <c r="AQ26" s="1015" t="e">
        <f>SUMIFS('[21]Consolid_FY26 Budget Requests'!$P:$P,'[21]Consolid_FY26 Budget Requests'!$D:$D,AQ$1,'[21]Consolid_FY26 Budget Requests'!$K:$K,$C26)/10^3</f>
        <v>#VALUE!</v>
      </c>
      <c r="AR26" s="1076"/>
      <c r="AS26" s="1015" t="e">
        <f>SUMIFS('[21]Consolid_FY26 Budget Requests'!$P:$P,'[21]Consolid_FY26 Budget Requests'!$D:$D,AS$1,'[21]Consolid_FY26 Budget Requests'!$K:$K,$C26)/10^3</f>
        <v>#VALUE!</v>
      </c>
      <c r="AT26" s="1076"/>
      <c r="AU26" s="1015" t="e">
        <f>SUMIFS('[21]Consolid_FY26 Budget Requests'!$P:$P,'[21]Consolid_FY26 Budget Requests'!$D:$D,AU$1,'[21]Consolid_FY26 Budget Requests'!$K:$K,$C26)/10^3</f>
        <v>#VALUE!</v>
      </c>
      <c r="AV26" s="1076"/>
      <c r="AW26" s="1015" t="e">
        <f>SUMIFS('[21]Consolid_FY26 Budget Requests'!$P:$P,'[21]Consolid_FY26 Budget Requests'!$D:$D,AW$1,'[21]Consolid_FY26 Budget Requests'!$K:$K,$C26)/10^3</f>
        <v>#VALUE!</v>
      </c>
      <c r="AX26" s="916"/>
      <c r="AY26" s="1078"/>
      <c r="AZ26" s="1078"/>
      <c r="BA26" s="1078"/>
      <c r="BB26" s="1078"/>
      <c r="BC26" s="1078"/>
      <c r="BD26" s="1078"/>
      <c r="BE26" s="1078"/>
      <c r="BF26" s="1078"/>
      <c r="BG26" s="1078"/>
      <c r="BH26" s="1078"/>
      <c r="BI26" s="1078"/>
      <c r="BJ26" s="1078"/>
      <c r="BK26" s="1078"/>
      <c r="BL26" s="1078"/>
      <c r="BM26" s="1078"/>
      <c r="BN26" s="1078"/>
      <c r="BO26" s="1078"/>
      <c r="BP26" s="1078"/>
      <c r="BQ26" s="1078"/>
      <c r="BR26" s="1076"/>
      <c r="BS26" s="1080"/>
      <c r="BT26" s="1081">
        <v>6918.34</v>
      </c>
      <c r="BU26" s="1082"/>
      <c r="BW26" s="1015">
        <v>2368.7015000000001</v>
      </c>
      <c r="BX26" s="1078"/>
      <c r="BY26" s="1078"/>
      <c r="BZ26" s="1078"/>
      <c r="CA26" s="1078"/>
      <c r="CB26" s="1076"/>
      <c r="CC26" s="1080"/>
      <c r="CD26" s="1081">
        <v>2368.7015000000001</v>
      </c>
      <c r="CE26" s="1082"/>
      <c r="CF26" s="1076"/>
      <c r="CG26" s="1015">
        <v>337</v>
      </c>
      <c r="CH26" s="1076"/>
      <c r="CI26" s="1015">
        <v>100</v>
      </c>
      <c r="CJ26" s="1076"/>
      <c r="CK26" s="1015">
        <v>0</v>
      </c>
      <c r="CL26" s="1076"/>
      <c r="CM26" s="1015">
        <v>202.25</v>
      </c>
      <c r="CN26" s="1076"/>
      <c r="CO26" s="1015">
        <v>202.25</v>
      </c>
      <c r="CP26" s="1076"/>
      <c r="CQ26" s="1015">
        <v>202.25</v>
      </c>
      <c r="CR26" s="1076"/>
      <c r="CS26" s="1015">
        <v>202.25</v>
      </c>
      <c r="CT26" s="1076"/>
      <c r="CU26" s="1078"/>
      <c r="CV26" s="1078"/>
      <c r="CW26" s="1078"/>
      <c r="CX26" s="1078"/>
      <c r="CY26" s="1078"/>
      <c r="CZ26" s="1078"/>
      <c r="DA26" s="1078"/>
      <c r="DB26" s="1078"/>
      <c r="DC26" s="1078"/>
      <c r="DD26" s="1078"/>
      <c r="DE26" s="1078"/>
      <c r="DF26" s="1078"/>
      <c r="DG26" s="1078"/>
      <c r="DH26" s="1078"/>
      <c r="DI26" s="1078"/>
      <c r="DJ26" s="1076"/>
      <c r="DK26" s="1080"/>
      <c r="DL26" s="1081">
        <v>1246</v>
      </c>
      <c r="DM26" s="1082"/>
      <c r="DN26" s="1076"/>
      <c r="DO26" s="1083"/>
      <c r="DP26" s="1081">
        <v>10533.041499999999</v>
      </c>
      <c r="DQ26" s="1084"/>
      <c r="DR26" s="1076"/>
      <c r="DS26" s="1076"/>
      <c r="DT26" s="1085"/>
      <c r="DU26" s="1006">
        <v>7781.2641007580132</v>
      </c>
      <c r="DV26" s="1076"/>
      <c r="DW26" s="1016">
        <v>2407.3644577111936</v>
      </c>
      <c r="DX26" s="1076"/>
      <c r="DY26" s="1081">
        <v>1266.337744248546</v>
      </c>
      <c r="DZ26" s="1076"/>
      <c r="EA26" s="1081">
        <v>11454.966302717752</v>
      </c>
      <c r="EB26" s="1086"/>
      <c r="EC26" s="1076"/>
      <c r="ED26" s="1085"/>
      <c r="EE26" s="1081">
        <v>8412.8380877849577</v>
      </c>
      <c r="EF26" s="1076"/>
      <c r="EG26" s="1081">
        <v>2448.0707665867867</v>
      </c>
      <c r="EH26" s="1076"/>
      <c r="EI26" s="1081">
        <v>1287.7503455657609</v>
      </c>
      <c r="EJ26" s="1076"/>
      <c r="EK26" s="1081">
        <v>12148.659199937505</v>
      </c>
      <c r="EL26" s="1086"/>
      <c r="EM26" s="1076"/>
      <c r="EN26" s="1076"/>
      <c r="EO26" s="991"/>
      <c r="EP26" s="937"/>
      <c r="EQ26" s="917">
        <f>'[21]FY26-FY28_HoldCo Budget Proj'!P28-BT26</f>
        <v>0</v>
      </c>
      <c r="ER26" s="990" t="s">
        <v>709</v>
      </c>
      <c r="ET26" s="917">
        <f>'[21]FY26-FY28_Retiro Budget Proj'!P25-CD26</f>
        <v>0</v>
      </c>
      <c r="EU26" s="990" t="s">
        <v>709</v>
      </c>
      <c r="EW26" s="990">
        <f>'[21]FY26-FY28_HydroCo Budget Proj'!P26-DL26</f>
        <v>0</v>
      </c>
      <c r="EX26" s="990" t="s">
        <v>709</v>
      </c>
      <c r="EZ26" s="990"/>
      <c r="FB26" s="990"/>
      <c r="FC26" s="990"/>
      <c r="FE26" s="990"/>
      <c r="FF26" s="990"/>
    </row>
    <row r="27" spans="1:162">
      <c r="A27" s="1012"/>
      <c r="C27" s="968" t="s">
        <v>685</v>
      </c>
      <c r="G27" s="916" t="e">
        <f>IF(I26&gt;0,MAX($G$12:G26)+1,"")</f>
        <v>#REF!</v>
      </c>
      <c r="H27" s="906" t="s">
        <v>685</v>
      </c>
      <c r="I27" s="80" t="s">
        <v>310</v>
      </c>
      <c r="J27" s="1076"/>
      <c r="K27" s="1078"/>
      <c r="L27" s="996"/>
      <c r="M27" s="1078"/>
      <c r="N27" s="996"/>
      <c r="O27" s="1078"/>
      <c r="P27" s="996"/>
      <c r="Q27" s="1078"/>
      <c r="R27" s="996"/>
      <c r="S27" s="1078"/>
      <c r="T27" s="996"/>
      <c r="U27" s="1078"/>
      <c r="V27" s="996"/>
      <c r="W27" s="1078"/>
      <c r="X27" s="996"/>
      <c r="Y27" s="1078"/>
      <c r="Z27" s="996"/>
      <c r="AA27" s="1078"/>
      <c r="AB27" s="996"/>
      <c r="AC27" s="1078"/>
      <c r="AD27" s="996"/>
      <c r="AE27" s="1078"/>
      <c r="AF27" s="996"/>
      <c r="AG27" s="1078"/>
      <c r="AH27" s="996"/>
      <c r="AI27" s="1078"/>
      <c r="AJ27" s="996"/>
      <c r="AK27" s="1078"/>
      <c r="AL27" s="996"/>
      <c r="AM27" s="1078"/>
      <c r="AN27" s="996"/>
      <c r="AO27" s="1078"/>
      <c r="AP27" s="996"/>
      <c r="AQ27" s="1078"/>
      <c r="AR27" s="996"/>
      <c r="AS27" s="1078"/>
      <c r="AT27" s="996"/>
      <c r="AU27" s="1078"/>
      <c r="AV27" s="996"/>
      <c r="AW27" s="1078"/>
      <c r="AX27" s="916"/>
      <c r="AY27" s="1078"/>
      <c r="AZ27" s="1078"/>
      <c r="BA27" s="1078"/>
      <c r="BB27" s="1078"/>
      <c r="BC27" s="1078"/>
      <c r="BD27" s="1078"/>
      <c r="BE27" s="1078"/>
      <c r="BF27" s="1078"/>
      <c r="BG27" s="1078"/>
      <c r="BH27" s="1078"/>
      <c r="BI27" s="1015">
        <f>'[21]FY26_Corporate Responsibilities'!G100/10^3</f>
        <v>2477.5</v>
      </c>
      <c r="BJ27" s="1078"/>
      <c r="BK27" s="1078"/>
      <c r="BL27" s="1078"/>
      <c r="BM27" s="1078"/>
      <c r="BN27" s="1078"/>
      <c r="BO27" s="1078"/>
      <c r="BP27" s="1078"/>
      <c r="BQ27" s="1078"/>
      <c r="BR27" s="1076"/>
      <c r="BS27" s="1080"/>
      <c r="BT27" s="1081">
        <v>2477.5</v>
      </c>
      <c r="BU27" s="1082"/>
      <c r="BW27" s="1078"/>
      <c r="BX27" s="1078"/>
      <c r="BY27" s="1078"/>
      <c r="BZ27" s="1078"/>
      <c r="CA27" s="1078"/>
      <c r="CB27" s="1076"/>
      <c r="CC27" s="1080"/>
      <c r="CD27" s="1081">
        <v>0</v>
      </c>
      <c r="CE27" s="1082"/>
      <c r="CF27" s="1076"/>
      <c r="CG27" s="1078"/>
      <c r="CH27" s="996"/>
      <c r="CI27" s="1078"/>
      <c r="CJ27" s="996"/>
      <c r="CK27" s="1078"/>
      <c r="CL27" s="996"/>
      <c r="CM27" s="1078"/>
      <c r="CN27" s="996"/>
      <c r="CO27" s="1078"/>
      <c r="CP27" s="996"/>
      <c r="CQ27" s="1078"/>
      <c r="CR27" s="996"/>
      <c r="CS27" s="1078"/>
      <c r="CT27" s="996"/>
      <c r="CU27" s="1078"/>
      <c r="CV27" s="1078"/>
      <c r="CW27" s="1078"/>
      <c r="CX27" s="1078"/>
      <c r="CY27" s="1078"/>
      <c r="CZ27" s="1078"/>
      <c r="DA27" s="1078"/>
      <c r="DB27" s="1078"/>
      <c r="DC27" s="1078"/>
      <c r="DD27" s="1078"/>
      <c r="DE27" s="1078"/>
      <c r="DF27" s="1078"/>
      <c r="DG27" s="1078"/>
      <c r="DH27" s="1078"/>
      <c r="DI27" s="1078"/>
      <c r="DJ27" s="1076"/>
      <c r="DK27" s="1080"/>
      <c r="DL27" s="1081">
        <v>0</v>
      </c>
      <c r="DM27" s="1082"/>
      <c r="DN27" s="1076"/>
      <c r="DO27" s="1083"/>
      <c r="DP27" s="1081">
        <v>2477.5</v>
      </c>
      <c r="DQ27" s="1084"/>
      <c r="DR27" s="1076"/>
      <c r="DS27" s="1076"/>
      <c r="DT27" s="1085"/>
      <c r="DU27" s="1006">
        <v>3388.5</v>
      </c>
      <c r="DV27" s="1076"/>
      <c r="DW27" s="1016">
        <v>0</v>
      </c>
      <c r="DX27" s="1076"/>
      <c r="DY27" s="1081">
        <v>0</v>
      </c>
      <c r="DZ27" s="1076"/>
      <c r="EA27" s="1081">
        <v>3388.5</v>
      </c>
      <c r="EB27" s="1086"/>
      <c r="EC27" s="1076"/>
      <c r="ED27" s="1085"/>
      <c r="EE27" s="1081">
        <v>2838.5</v>
      </c>
      <c r="EF27" s="1076"/>
      <c r="EG27" s="1081">
        <v>0</v>
      </c>
      <c r="EH27" s="1076"/>
      <c r="EI27" s="1081">
        <v>0</v>
      </c>
      <c r="EJ27" s="1076"/>
      <c r="EK27" s="1081">
        <v>2838.5</v>
      </c>
      <c r="EL27" s="1086"/>
      <c r="EM27" s="1076"/>
      <c r="EN27" s="1076"/>
      <c r="EO27" s="1000"/>
      <c r="EP27" s="937"/>
      <c r="EQ27" s="917">
        <f>'[21]FY26-FY28_HoldCo Budget Proj'!P29-BT27</f>
        <v>0</v>
      </c>
      <c r="ER27" s="990" t="s">
        <v>709</v>
      </c>
      <c r="ET27" s="990" t="s">
        <v>709</v>
      </c>
      <c r="EU27" s="990" t="s">
        <v>709</v>
      </c>
      <c r="EW27" s="990">
        <f>'[21]FY26-FY28_HydroCo Budget Proj'!P27-DL27</f>
        <v>0</v>
      </c>
      <c r="EX27" s="990" t="s">
        <v>709</v>
      </c>
      <c r="EZ27" s="990"/>
      <c r="FB27" s="990"/>
      <c r="FC27" s="990"/>
      <c r="FE27" s="990"/>
      <c r="FF27" s="990"/>
    </row>
    <row r="28" spans="1:162">
      <c r="A28" s="1012"/>
      <c r="C28" s="968" t="s">
        <v>683</v>
      </c>
      <c r="G28" s="916" t="e">
        <f>IF(I27&gt;0,MAX($G$12:G27)+1,"")</f>
        <v>#REF!</v>
      </c>
      <c r="H28" s="991" t="s">
        <v>713</v>
      </c>
      <c r="I28" s="80" t="s">
        <v>317</v>
      </c>
      <c r="K28" s="1078"/>
      <c r="L28" s="996"/>
      <c r="M28" s="1078"/>
      <c r="N28" s="996"/>
      <c r="O28" s="1078"/>
      <c r="P28" s="996"/>
      <c r="Q28" s="1078"/>
      <c r="R28" s="996"/>
      <c r="S28" s="1078"/>
      <c r="T28" s="996"/>
      <c r="U28" s="1078"/>
      <c r="V28" s="996"/>
      <c r="W28" s="1078"/>
      <c r="X28" s="996"/>
      <c r="Y28" s="1078"/>
      <c r="Z28" s="996"/>
      <c r="AA28" s="1078"/>
      <c r="AB28" s="996"/>
      <c r="AC28" s="1078"/>
      <c r="AD28" s="996"/>
      <c r="AE28" s="1078"/>
      <c r="AF28" s="996"/>
      <c r="AG28" s="1078"/>
      <c r="AH28" s="996"/>
      <c r="AI28" s="1078"/>
      <c r="AJ28" s="996"/>
      <c r="AK28" s="1078"/>
      <c r="AL28" s="996"/>
      <c r="AM28" s="1078"/>
      <c r="AN28" s="996"/>
      <c r="AO28" s="1078"/>
      <c r="AP28" s="996"/>
      <c r="AQ28" s="1078"/>
      <c r="AR28" s="996"/>
      <c r="AS28" s="1078"/>
      <c r="AT28" s="996"/>
      <c r="AU28" s="1078"/>
      <c r="AV28" s="996"/>
      <c r="AW28" s="1078"/>
      <c r="AX28" s="1079"/>
      <c r="AY28" s="1078"/>
      <c r="AZ28" s="1078"/>
      <c r="BA28" s="1078"/>
      <c r="BB28" s="1078"/>
      <c r="BC28" s="1078"/>
      <c r="BD28" s="1078"/>
      <c r="BE28" s="1002">
        <f>'[21]FY26_Corporate Responsibilities'!G75/10^3</f>
        <v>2314.75</v>
      </c>
      <c r="BF28" s="1015"/>
      <c r="BG28" s="1078"/>
      <c r="BH28" s="1078"/>
      <c r="BI28" s="1078"/>
      <c r="BJ28" s="1078"/>
      <c r="BK28" s="1078"/>
      <c r="BL28" s="1078"/>
      <c r="BM28" s="1078"/>
      <c r="BN28" s="1078"/>
      <c r="BO28" s="1078"/>
      <c r="BP28" s="1078"/>
      <c r="BQ28" s="1078"/>
      <c r="BS28" s="942"/>
      <c r="BT28" s="1016">
        <v>2314.75</v>
      </c>
      <c r="BU28" s="943"/>
      <c r="BW28" s="1078"/>
      <c r="BX28" s="1078"/>
      <c r="BY28" s="1078"/>
      <c r="BZ28" s="1078"/>
      <c r="CA28" s="1078"/>
      <c r="CC28" s="942"/>
      <c r="CD28" s="1016">
        <v>0</v>
      </c>
      <c r="CE28" s="943"/>
      <c r="CG28" s="1078"/>
      <c r="CH28" s="996"/>
      <c r="CI28" s="1078"/>
      <c r="CJ28" s="996"/>
      <c r="CK28" s="1078"/>
      <c r="CL28" s="996"/>
      <c r="CM28" s="1078"/>
      <c r="CN28" s="996"/>
      <c r="CO28" s="1078"/>
      <c r="CP28" s="996"/>
      <c r="CQ28" s="1078"/>
      <c r="CR28" s="996"/>
      <c r="CS28" s="1078"/>
      <c r="CT28" s="996"/>
      <c r="CU28" s="1078"/>
      <c r="CV28" s="1078" t="s">
        <v>714</v>
      </c>
      <c r="CW28" s="1078"/>
      <c r="CX28" s="1078" t="s">
        <v>714</v>
      </c>
      <c r="CY28" s="1002">
        <v>838</v>
      </c>
      <c r="CZ28" s="1078"/>
      <c r="DA28" s="1078"/>
      <c r="DB28" s="1078"/>
      <c r="DC28" s="1078"/>
      <c r="DD28" s="1078"/>
      <c r="DE28" s="1078"/>
      <c r="DF28" s="1078"/>
      <c r="DG28" s="1078"/>
      <c r="DH28" s="1078"/>
      <c r="DI28" s="1078"/>
      <c r="DK28" s="942"/>
      <c r="DL28" s="1016">
        <v>838</v>
      </c>
      <c r="DM28" s="943"/>
      <c r="DO28" s="946"/>
      <c r="DP28" s="1016">
        <v>3152.75</v>
      </c>
      <c r="DQ28" s="948"/>
      <c r="DT28" s="949"/>
      <c r="DU28" s="1006">
        <v>2134.75</v>
      </c>
      <c r="DW28" s="1016">
        <v>0</v>
      </c>
      <c r="DY28" s="1081">
        <v>830.5</v>
      </c>
      <c r="EA28" s="1016">
        <v>2965.25</v>
      </c>
      <c r="EB28" s="952"/>
      <c r="ED28" s="949"/>
      <c r="EE28" s="1081">
        <v>2134.75</v>
      </c>
      <c r="EG28" s="1016">
        <v>0</v>
      </c>
      <c r="EI28" s="1081">
        <v>830.5</v>
      </c>
      <c r="EK28" s="1016">
        <v>2965.25</v>
      </c>
      <c r="EL28" s="952"/>
      <c r="EO28" s="1000"/>
      <c r="EP28" s="937"/>
      <c r="EQ28" s="917">
        <f>'[21]FY26-FY28_HoldCo Budget Proj'!P30-BT28</f>
        <v>0</v>
      </c>
      <c r="ER28" s="990" t="s">
        <v>709</v>
      </c>
      <c r="ET28" s="990" t="s">
        <v>709</v>
      </c>
      <c r="EU28" s="990" t="s">
        <v>709</v>
      </c>
      <c r="EW28" s="990">
        <f>'[21]FY26-FY28_HydroCo Budget Proj'!P28-DL28</f>
        <v>0</v>
      </c>
      <c r="EX28" s="990" t="s">
        <v>709</v>
      </c>
      <c r="EZ28" s="990"/>
      <c r="FB28" s="990"/>
      <c r="FC28" s="990"/>
      <c r="FE28" s="990"/>
      <c r="FF28" s="990"/>
    </row>
    <row r="29" spans="1:162">
      <c r="A29" s="1012"/>
      <c r="C29" s="968" t="s">
        <v>715</v>
      </c>
      <c r="G29" s="916" t="e">
        <f>IF(I28&gt;0,MAX($G$12:G28)+1,"")</f>
        <v>#REF!</v>
      </c>
      <c r="H29" s="991" t="s">
        <v>318</v>
      </c>
      <c r="I29" s="80" t="s">
        <v>318</v>
      </c>
      <c r="K29" s="1078"/>
      <c r="L29" s="996"/>
      <c r="M29" s="1078"/>
      <c r="N29" s="996"/>
      <c r="O29" s="1078"/>
      <c r="P29" s="996"/>
      <c r="Q29" s="1078"/>
      <c r="R29" s="996"/>
      <c r="S29" s="1078"/>
      <c r="T29" s="996"/>
      <c r="U29" s="1078"/>
      <c r="V29" s="996"/>
      <c r="W29" s="1078"/>
      <c r="X29" s="996"/>
      <c r="Y29" s="1078"/>
      <c r="Z29" s="996"/>
      <c r="AA29" s="1078"/>
      <c r="AB29" s="996"/>
      <c r="AC29" s="1078"/>
      <c r="AD29" s="996"/>
      <c r="AE29" s="1078"/>
      <c r="AF29" s="996"/>
      <c r="AG29" s="1078"/>
      <c r="AH29" s="996"/>
      <c r="AI29" s="1078"/>
      <c r="AJ29" s="996"/>
      <c r="AK29" s="1078"/>
      <c r="AL29" s="996"/>
      <c r="AM29" s="1078"/>
      <c r="AN29" s="996"/>
      <c r="AO29" s="1078"/>
      <c r="AP29" s="996"/>
      <c r="AQ29" s="1078"/>
      <c r="AR29" s="996"/>
      <c r="AS29" s="1078"/>
      <c r="AT29" s="996"/>
      <c r="AU29" s="1078"/>
      <c r="AV29" s="996"/>
      <c r="AW29" s="1078"/>
      <c r="AX29" s="916"/>
      <c r="AY29" s="1002">
        <f>'[21]FY26_Corporate Responsibilities'!G17/10^3</f>
        <v>5486.2749999999996</v>
      </c>
      <c r="AZ29" s="1078"/>
      <c r="BA29" s="1078"/>
      <c r="BB29" s="1078"/>
      <c r="BC29" s="1078"/>
      <c r="BD29" s="1078"/>
      <c r="BE29" s="1078"/>
      <c r="BF29" s="1078"/>
      <c r="BG29" s="1078"/>
      <c r="BH29" s="1078"/>
      <c r="BI29" s="1078"/>
      <c r="BJ29" s="1078"/>
      <c r="BK29" s="1078"/>
      <c r="BL29" s="1078"/>
      <c r="BM29" s="1078"/>
      <c r="BN29" s="1078"/>
      <c r="BO29" s="1078"/>
      <c r="BP29" s="1078"/>
      <c r="BQ29" s="1078"/>
      <c r="BS29" s="942"/>
      <c r="BT29" s="1016">
        <v>5486.2749999999996</v>
      </c>
      <c r="BU29" s="943"/>
      <c r="BW29" s="1078"/>
      <c r="BX29" s="1078"/>
      <c r="BY29" s="1078"/>
      <c r="BZ29" s="1078"/>
      <c r="CA29" s="1078"/>
      <c r="CC29" s="942"/>
      <c r="CD29" s="1016">
        <v>0</v>
      </c>
      <c r="CE29" s="943"/>
      <c r="CG29" s="1078"/>
      <c r="CH29" s="996"/>
      <c r="CI29" s="1078"/>
      <c r="CJ29" s="996"/>
      <c r="CK29" s="1078"/>
      <c r="CL29" s="996"/>
      <c r="CM29" s="1078"/>
      <c r="CN29" s="996"/>
      <c r="CO29" s="1078"/>
      <c r="CP29" s="996"/>
      <c r="CQ29" s="1078"/>
      <c r="CR29" s="996"/>
      <c r="CS29" s="1078"/>
      <c r="CT29" s="996"/>
      <c r="CU29" s="1078"/>
      <c r="CV29" s="1078"/>
      <c r="CW29" s="1078"/>
      <c r="CX29" s="1078"/>
      <c r="CY29" s="1078"/>
      <c r="CZ29" s="1078"/>
      <c r="DA29" s="1078"/>
      <c r="DB29" s="1078"/>
      <c r="DC29" s="1078"/>
      <c r="DD29" s="1078"/>
      <c r="DE29" s="1078"/>
      <c r="DF29" s="1078"/>
      <c r="DG29" s="1078"/>
      <c r="DH29" s="1078"/>
      <c r="DI29" s="1078"/>
      <c r="DK29" s="942"/>
      <c r="DL29" s="1016">
        <v>0</v>
      </c>
      <c r="DM29" s="943"/>
      <c r="DO29" s="946"/>
      <c r="DP29" s="1016">
        <v>5486.2749999999996</v>
      </c>
      <c r="DQ29" s="948"/>
      <c r="DT29" s="949"/>
      <c r="DU29" s="1006">
        <v>7886.2749999999996</v>
      </c>
      <c r="DW29" s="1016">
        <v>0</v>
      </c>
      <c r="DY29" s="1081">
        <v>0</v>
      </c>
      <c r="EA29" s="1016">
        <v>7886.2749999999996</v>
      </c>
      <c r="EB29" s="952"/>
      <c r="ED29" s="949"/>
      <c r="EE29" s="1081">
        <v>5486.2749999999996</v>
      </c>
      <c r="EG29" s="1016">
        <v>0</v>
      </c>
      <c r="EI29" s="1081">
        <v>0</v>
      </c>
      <c r="EK29" s="1016">
        <v>5486.2749999999996</v>
      </c>
      <c r="EL29" s="952"/>
      <c r="EO29" s="1000"/>
      <c r="EP29" s="937"/>
      <c r="EQ29" s="917">
        <f>'[21]FY26-FY28_HoldCo Budget Proj'!P31-BT29</f>
        <v>0</v>
      </c>
      <c r="ER29" s="990" t="s">
        <v>709</v>
      </c>
      <c r="ET29" s="990" t="s">
        <v>709</v>
      </c>
      <c r="EU29" s="990" t="s">
        <v>709</v>
      </c>
      <c r="EW29" s="990" t="s">
        <v>709</v>
      </c>
      <c r="EX29" s="990" t="s">
        <v>709</v>
      </c>
      <c r="EZ29" s="990"/>
      <c r="FB29" s="990"/>
      <c r="FC29" s="990"/>
      <c r="FE29" s="990"/>
      <c r="FF29" s="990"/>
    </row>
    <row r="30" spans="1:162">
      <c r="A30" s="1012"/>
      <c r="C30" s="968" t="s">
        <v>319</v>
      </c>
      <c r="G30" s="916" t="e">
        <f>IF(I29&gt;0,MAX($G$12:G29)+1,"")</f>
        <v>#REF!</v>
      </c>
      <c r="H30" s="991" t="s">
        <v>319</v>
      </c>
      <c r="I30" s="80" t="s">
        <v>319</v>
      </c>
      <c r="K30" s="1015" t="e">
        <f>SUMIFS('[21]Consolid_FY26 Budget Requests'!$P:$P,'[21]Consolid_FY26 Budget Requests'!$D:$D,K$1,'[21]Consolid_FY26 Budget Requests'!$K:$K,$C30)/10^3</f>
        <v>#VALUE!</v>
      </c>
      <c r="M30" s="1015" t="e">
        <f>SUMIFS('[21]Consolid_FY26 Budget Requests'!$P:$P,'[21]Consolid_FY26 Budget Requests'!$D:$D,M$1,'[21]Consolid_FY26 Budget Requests'!$K:$K,$C30)/10^3</f>
        <v>#VALUE!</v>
      </c>
      <c r="O30" s="1015" t="e">
        <f>SUMIFS('[21]Consolid_FY26 Budget Requests'!$P:$P,'[21]Consolid_FY26 Budget Requests'!$D:$D,O$1,'[21]Consolid_FY26 Budget Requests'!$K:$K,$C30)/10^3</f>
        <v>#VALUE!</v>
      </c>
      <c r="Q30" s="1015" t="e">
        <f>SUMIFS('[21]Consolid_FY26 Budget Requests'!$P:$P,'[21]Consolid_FY26 Budget Requests'!$D:$D,Q$1,'[21]Consolid_FY26 Budget Requests'!$K:$K,$C30)/10^3</f>
        <v>#VALUE!</v>
      </c>
      <c r="S30" s="1015" t="e">
        <f>SUMIFS('[21]Consolid_FY26 Budget Requests'!$P:$P,'[21]Consolid_FY26 Budget Requests'!$D:$D,S$1,'[21]Consolid_FY26 Budget Requests'!$K:$K,$C30)/10^3</f>
        <v>#VALUE!</v>
      </c>
      <c r="U30" s="1015" t="e">
        <f>SUMIFS('[21]Consolid_FY26 Budget Requests'!$P:$P,'[21]Consolid_FY26 Budget Requests'!$D:$D,U$1,'[21]Consolid_FY26 Budget Requests'!$K:$K,$C30)/10^3</f>
        <v>#VALUE!</v>
      </c>
      <c r="W30" s="1015" t="e">
        <f>SUMIFS('[21]Consolid_FY26 Budget Requests'!$P:$P,'[21]Consolid_FY26 Budget Requests'!$D:$D,W$1,'[21]Consolid_FY26 Budget Requests'!$K:$K,$C30)/10^3</f>
        <v>#VALUE!</v>
      </c>
      <c r="Y30" s="1015" t="e">
        <f>SUMIFS('[21]Consolid_FY26 Budget Requests'!$P:$P,'[21]Consolid_FY26 Budget Requests'!$D:$D,Y$1,'[21]Consolid_FY26 Budget Requests'!$K:$K,$C30)/10^3</f>
        <v>#VALUE!</v>
      </c>
      <c r="AA30" s="1015" t="e">
        <f>SUMIFS('[21]Consolid_FY26 Budget Requests'!$P:$P,'[21]Consolid_FY26 Budget Requests'!$D:$D,AA$1,'[21]Consolid_FY26 Budget Requests'!$K:$K,$C30)/10^3</f>
        <v>#VALUE!</v>
      </c>
      <c r="AC30" s="1015" t="e">
        <f>SUMIFS('[21]Consolid_FY26 Budget Requests'!$P:$P,'[21]Consolid_FY26 Budget Requests'!$D:$D,AC$1,'[21]Consolid_FY26 Budget Requests'!$K:$K,$C30)/10^3</f>
        <v>#VALUE!</v>
      </c>
      <c r="AE30" s="1015" t="e">
        <f>SUMIFS('[21]Consolid_FY26 Budget Requests'!$P:$P,'[21]Consolid_FY26 Budget Requests'!$D:$D,AE$1,'[21]Consolid_FY26 Budget Requests'!$K:$K,$C30)/10^3</f>
        <v>#VALUE!</v>
      </c>
      <c r="AG30" s="1015" t="e">
        <f>SUMIFS('[21]Consolid_FY26 Budget Requests'!$P:$P,'[21]Consolid_FY26 Budget Requests'!$D:$D,AG$1,'[21]Consolid_FY26 Budget Requests'!$K:$K,$C30)/10^3</f>
        <v>#VALUE!</v>
      </c>
      <c r="AI30" s="1015" t="e">
        <f>SUMIFS('[21]Consolid_FY26 Budget Requests'!$P:$P,'[21]Consolid_FY26 Budget Requests'!$D:$D,AI$1,'[21]Consolid_FY26 Budget Requests'!$K:$K,$C30)/10^3</f>
        <v>#VALUE!</v>
      </c>
      <c r="AK30" s="1015" t="e">
        <f>SUMIFS('[21]Consolid_FY26 Budget Requests'!$P:$P,'[21]Consolid_FY26 Budget Requests'!$D:$D,AK$1,'[21]Consolid_FY26 Budget Requests'!$K:$K,$C30)/10^3</f>
        <v>#VALUE!</v>
      </c>
      <c r="AM30" s="1015" t="e">
        <f>SUMIFS('[21]Consolid_FY26 Budget Requests'!$P:$P,'[21]Consolid_FY26 Budget Requests'!$D:$D,AM$1,'[21]Consolid_FY26 Budget Requests'!$K:$K,$C30)/10^3</f>
        <v>#VALUE!</v>
      </c>
      <c r="AO30" s="1015" t="e">
        <f>SUMIFS('[21]Consolid_FY26 Budget Requests'!$P:$P,'[21]Consolid_FY26 Budget Requests'!$D:$D,AO$1,'[21]Consolid_FY26 Budget Requests'!$K:$K,$C30)/10^3</f>
        <v>#VALUE!</v>
      </c>
      <c r="AQ30" s="1015" t="e">
        <f>SUMIFS('[21]Consolid_FY26 Budget Requests'!$P:$P,'[21]Consolid_FY26 Budget Requests'!$D:$D,AQ$1,'[21]Consolid_FY26 Budget Requests'!$K:$K,$C30)/10^3</f>
        <v>#VALUE!</v>
      </c>
      <c r="AS30" s="1015" t="e">
        <f>SUMIFS('[21]Consolid_FY26 Budget Requests'!$P:$P,'[21]Consolid_FY26 Budget Requests'!$D:$D,AS$1,'[21]Consolid_FY26 Budget Requests'!$K:$K,$C30)/10^3</f>
        <v>#VALUE!</v>
      </c>
      <c r="AU30" s="1015" t="e">
        <f>SUMIFS('[21]Consolid_FY26 Budget Requests'!$P:$P,'[21]Consolid_FY26 Budget Requests'!$D:$D,AU$1,'[21]Consolid_FY26 Budget Requests'!$K:$K,$C30)/10^3</f>
        <v>#VALUE!</v>
      </c>
      <c r="AW30" s="1015" t="e">
        <f>SUMIFS('[21]Consolid_FY26 Budget Requests'!$P:$P,'[21]Consolid_FY26 Budget Requests'!$D:$D,AW$1,'[21]Consolid_FY26 Budget Requests'!$K:$K,$C30)/10^3</f>
        <v>#VALUE!</v>
      </c>
      <c r="AX30" s="916"/>
      <c r="AY30" s="1078"/>
      <c r="AZ30" s="1078"/>
      <c r="BA30" s="1078"/>
      <c r="BB30" s="1078"/>
      <c r="BC30" s="1078"/>
      <c r="BD30" s="1078"/>
      <c r="BE30" s="1078"/>
      <c r="BF30" s="1078"/>
      <c r="BG30" s="1078"/>
      <c r="BH30" s="1078"/>
      <c r="BI30" s="1078"/>
      <c r="BJ30" s="1078"/>
      <c r="BK30" s="1078"/>
      <c r="BL30" s="1078"/>
      <c r="BM30" s="1078"/>
      <c r="BN30" s="1078"/>
      <c r="BO30" s="1078"/>
      <c r="BP30" s="1078"/>
      <c r="BQ30" s="1078"/>
      <c r="BS30" s="942"/>
      <c r="BT30" s="1016">
        <v>1715.7293</v>
      </c>
      <c r="BU30" s="943"/>
      <c r="BW30" s="1015">
        <v>40</v>
      </c>
      <c r="BX30" s="1078"/>
      <c r="BY30" s="1078"/>
      <c r="BZ30" s="1078"/>
      <c r="CA30" s="1078"/>
      <c r="CC30" s="942"/>
      <c r="CD30" s="1016">
        <v>40</v>
      </c>
      <c r="CE30" s="943"/>
      <c r="CG30" s="1015">
        <v>26</v>
      </c>
      <c r="CI30" s="1015">
        <v>13.25</v>
      </c>
      <c r="CK30" s="1015">
        <v>3</v>
      </c>
      <c r="CM30" s="1015">
        <v>57.339599999999997</v>
      </c>
      <c r="CO30" s="1015">
        <v>57.339599999999997</v>
      </c>
      <c r="CQ30" s="1015">
        <v>57.339599999999997</v>
      </c>
      <c r="CS30" s="1015">
        <v>200.72085000000001</v>
      </c>
      <c r="CU30" s="1078"/>
      <c r="CV30" s="1078"/>
      <c r="CW30" s="1078"/>
      <c r="CX30" s="1078"/>
      <c r="CY30" s="1078"/>
      <c r="CZ30" s="1078"/>
      <c r="DA30" s="1078"/>
      <c r="DB30" s="1078"/>
      <c r="DC30" s="1078"/>
      <c r="DD30" s="1078"/>
      <c r="DE30" s="1078"/>
      <c r="DF30" s="1078"/>
      <c r="DG30" s="1078"/>
      <c r="DH30" s="1078"/>
      <c r="DI30" s="1078"/>
      <c r="DK30" s="942"/>
      <c r="DL30" s="1016">
        <v>414.98964999999998</v>
      </c>
      <c r="DM30" s="943"/>
      <c r="DO30" s="946"/>
      <c r="DP30" s="1016">
        <v>2170.7189499999999</v>
      </c>
      <c r="DQ30" s="948"/>
      <c r="DT30" s="949"/>
      <c r="DU30" s="1006">
        <v>1743.7341665354224</v>
      </c>
      <c r="DW30" s="1016">
        <v>40.652897086630688</v>
      </c>
      <c r="DY30" s="1016">
        <v>421.76328833667225</v>
      </c>
      <c r="EA30" s="1016">
        <v>2206.1503519587254</v>
      </c>
      <c r="EB30" s="952"/>
      <c r="ED30" s="949"/>
      <c r="EE30" s="1081">
        <v>1773.2191002987968</v>
      </c>
      <c r="EG30" s="1016">
        <v>41.340300018162466</v>
      </c>
      <c r="EI30" s="1016">
        <v>428.89491588580597</v>
      </c>
      <c r="EK30" s="1016">
        <v>2243.4543162027653</v>
      </c>
      <c r="EL30" s="952"/>
      <c r="EO30" s="1000"/>
      <c r="EP30" s="937"/>
      <c r="EQ30" s="917">
        <f>'[21]FY26-FY28_HoldCo Budget Proj'!P32-BT30</f>
        <v>0</v>
      </c>
      <c r="ER30" s="990" t="s">
        <v>709</v>
      </c>
      <c r="ET30" s="917">
        <f>'[21]FY26-FY28_Retiro Budget Proj'!P26-CD30</f>
        <v>0</v>
      </c>
      <c r="EU30" s="990" t="s">
        <v>709</v>
      </c>
      <c r="EW30" s="990">
        <f>'[21]FY26-FY28_HydroCo Budget Proj'!P29-DL30</f>
        <v>0</v>
      </c>
      <c r="EX30" s="990" t="s">
        <v>709</v>
      </c>
      <c r="EZ30" s="990"/>
      <c r="FB30" s="990"/>
      <c r="FC30" s="990"/>
      <c r="FE30" s="990"/>
      <c r="FF30" s="990"/>
    </row>
    <row r="31" spans="1:162">
      <c r="A31" s="1012"/>
      <c r="G31" s="970" t="e">
        <f>IF(I30&gt;0,MAX($G$12:G30)+1,"")</f>
        <v>#REF!</v>
      </c>
      <c r="H31" s="971" t="s">
        <v>457</v>
      </c>
      <c r="I31" s="971"/>
      <c r="K31" s="1007" t="e">
        <f>SUM(K20:K30)</f>
        <v>#VALUE!</v>
      </c>
      <c r="M31" s="1007" t="e">
        <f>SUM(M20:M30)</f>
        <v>#VALUE!</v>
      </c>
      <c r="O31" s="1007" t="e">
        <f>SUM(O20:O30)</f>
        <v>#VALUE!</v>
      </c>
      <c r="Q31" s="1007" t="e">
        <f>SUM(Q20:Q30)</f>
        <v>#VALUE!</v>
      </c>
      <c r="S31" s="1007" t="e">
        <f>SUM(S20:S30)</f>
        <v>#VALUE!</v>
      </c>
      <c r="U31" s="1007" t="e">
        <f>SUM(U20:U30)</f>
        <v>#VALUE!</v>
      </c>
      <c r="W31" s="1007" t="e">
        <f>SUM(W20:W30)</f>
        <v>#VALUE!</v>
      </c>
      <c r="Y31" s="1007" t="e">
        <f>SUM(Y20:Y30)</f>
        <v>#VALUE!</v>
      </c>
      <c r="AA31" s="1007" t="e">
        <f>SUM(AA20:AA30)</f>
        <v>#VALUE!</v>
      </c>
      <c r="AC31" s="1007" t="e">
        <f>SUM(AC20:AC30)</f>
        <v>#VALUE!</v>
      </c>
      <c r="AE31" s="1007" t="e">
        <f>SUM(AE20:AE30)</f>
        <v>#VALUE!</v>
      </c>
      <c r="AG31" s="1007" t="e">
        <f>SUM(AG20:AG30)</f>
        <v>#VALUE!</v>
      </c>
      <c r="AI31" s="1007" t="e">
        <f>SUM(AI20:AI30)</f>
        <v>#VALUE!</v>
      </c>
      <c r="AK31" s="1007" t="e">
        <f>SUM(AK20:AK30)</f>
        <v>#VALUE!</v>
      </c>
      <c r="AM31" s="1007" t="e">
        <f>SUM(AM20:AM30)</f>
        <v>#VALUE!</v>
      </c>
      <c r="AO31" s="1007" t="e">
        <f>SUM(AO20:AO30)</f>
        <v>#VALUE!</v>
      </c>
      <c r="AQ31" s="1007" t="e">
        <f>SUM(AQ20:AQ30)</f>
        <v>#VALUE!</v>
      </c>
      <c r="AS31" s="1007" t="e">
        <f>SUM(AS20:AS30)</f>
        <v>#VALUE!</v>
      </c>
      <c r="AU31" s="1007" t="e">
        <f>SUM(AU20:AU30)</f>
        <v>#VALUE!</v>
      </c>
      <c r="AW31" s="1007" t="e">
        <f>SUM(AW20:AW30)</f>
        <v>#VALUE!</v>
      </c>
      <c r="AX31" s="916"/>
      <c r="AY31" s="1017">
        <f>SUM(AY20:AY30)</f>
        <v>5486.2749999999996</v>
      </c>
      <c r="AZ31" s="916"/>
      <c r="BA31" s="1017">
        <f>SUM(BA20:BA30)</f>
        <v>7267</v>
      </c>
      <c r="BB31" s="916"/>
      <c r="BC31" s="1017">
        <f>SUM(BC20:BC30)</f>
        <v>1601.7429999999999</v>
      </c>
      <c r="BD31" s="916"/>
      <c r="BE31" s="1017">
        <f>SUM(BE20:BE30)</f>
        <v>2314.75</v>
      </c>
      <c r="BG31" s="1007">
        <f>SUM(BG20:BG30)</f>
        <v>72</v>
      </c>
      <c r="BI31" s="1007">
        <f>SUM(BI20:BI30)</f>
        <v>2477.5</v>
      </c>
      <c r="BK31" s="1007">
        <f>SUM(BK20:BK30)</f>
        <v>0</v>
      </c>
      <c r="BM31" s="1007">
        <f>SUM(BM20:BM30)</f>
        <v>0</v>
      </c>
      <c r="BO31" s="1007">
        <f>SUM(BO20:BO30)</f>
        <v>0</v>
      </c>
      <c r="BQ31" s="1007">
        <f>SUM(BQ20:BQ30)</f>
        <v>0</v>
      </c>
      <c r="BS31" s="942"/>
      <c r="BT31" s="1007">
        <f>SUM(BT20:BT30)</f>
        <v>28818.294329999997</v>
      </c>
      <c r="BU31" s="943"/>
      <c r="BW31" s="1007">
        <f>SUM(BW20:BW30)</f>
        <v>2492.7515000000003</v>
      </c>
      <c r="BY31" s="1017">
        <f>SUM(BY20:BY30)</f>
        <v>7950</v>
      </c>
      <c r="BZ31" s="916"/>
      <c r="CA31" s="1007">
        <f>SUM(CA20:CA30)</f>
        <v>0</v>
      </c>
      <c r="CC31" s="942"/>
      <c r="CD31" s="1007">
        <f>SUM(CD20:CD30)</f>
        <v>10442.7515</v>
      </c>
      <c r="CE31" s="943"/>
      <c r="CG31" s="1007">
        <f>SUM(CG20:CG30)</f>
        <v>426.37410999999997</v>
      </c>
      <c r="CI31" s="1007">
        <f>SUM(CI20:CI30)</f>
        <v>148.2527</v>
      </c>
      <c r="CK31" s="1007">
        <f>SUM(CK20:CK30)</f>
        <v>10.48028</v>
      </c>
      <c r="CM31" s="1007">
        <f>SUM(CM20:CM30)</f>
        <v>760.59046000000001</v>
      </c>
      <c r="CO31" s="1007">
        <f>SUM(CO20:CO30)</f>
        <v>531.97298999999998</v>
      </c>
      <c r="CQ31" s="1007">
        <f>SUM(CQ20:CQ30)</f>
        <v>701.75927000000001</v>
      </c>
      <c r="CS31" s="1007">
        <f>SUM(CS20:CS30)</f>
        <v>988.54314000000011</v>
      </c>
      <c r="CU31" s="1007">
        <f>SUM(CU20:CU30)</f>
        <v>0</v>
      </c>
      <c r="CW31" s="1017">
        <f>SUM(CW20:CW30)</f>
        <v>2104.6460000000002</v>
      </c>
      <c r="CX31" s="916"/>
      <c r="CY31" s="1017">
        <f>SUM(CY20:CY30)</f>
        <v>838</v>
      </c>
      <c r="DA31" s="1007">
        <f>SUM(DA20:DA30)</f>
        <v>80</v>
      </c>
      <c r="DC31" s="1007">
        <f>SUM(DC20:DC30)</f>
        <v>0</v>
      </c>
      <c r="DE31" s="1007">
        <f>SUM(DE20:DE30)</f>
        <v>0</v>
      </c>
      <c r="DG31" s="1007">
        <f>SUM(DG20:DG30)</f>
        <v>0</v>
      </c>
      <c r="DI31" s="1007">
        <f>SUM(DI20:DI30)</f>
        <v>0</v>
      </c>
      <c r="DK31" s="942"/>
      <c r="DL31" s="1007">
        <f>SUM(DL20:DL30)</f>
        <v>6590.61895</v>
      </c>
      <c r="DM31" s="943"/>
      <c r="DO31" s="946"/>
      <c r="DP31" s="1007">
        <f t="shared" ref="DP31" si="2">SUM(BT31,CD31,DL31)</f>
        <v>45851.664779999992</v>
      </c>
      <c r="DQ31" s="948"/>
      <c r="DT31" s="949"/>
      <c r="DU31" s="1007">
        <f>SUM(DU20:DU30)</f>
        <v>33047.421958797619</v>
      </c>
      <c r="DW31" s="1007">
        <f>SUM(DW20:DW30)</f>
        <v>10880.939254801107</v>
      </c>
      <c r="DY31" s="1007">
        <f>SUM(DY20:DY30)</f>
        <v>6574.2236886058026</v>
      </c>
      <c r="EA31" s="1007">
        <f>SUM(DU31,DW31,DY31)</f>
        <v>50502.584902204529</v>
      </c>
      <c r="EB31" s="952"/>
      <c r="ED31" s="949"/>
      <c r="EE31" s="1007">
        <f>SUM(EE20:EE30)</f>
        <v>30417.451974943528</v>
      </c>
      <c r="EG31" s="1007">
        <f>SUM(EG20:EG30)</f>
        <v>11341.152372018114</v>
      </c>
      <c r="EI31" s="1007">
        <f>SUM(EI20:EI30)</f>
        <v>6689.8719092422043</v>
      </c>
      <c r="EK31" s="1007">
        <f>SUM(EE31,EG31,EI31)</f>
        <v>48448.476256203845</v>
      </c>
      <c r="EL31" s="952"/>
      <c r="EO31" s="1000"/>
      <c r="EP31" s="937"/>
      <c r="EQ31" s="917">
        <f>'[21]FY26-FY28_HoldCo Budget Proj'!P33-BT31</f>
        <v>0</v>
      </c>
      <c r="ER31" s="913" t="e">
        <f>SUM(K31:BM31)-BT31</f>
        <v>#VALUE!</v>
      </c>
      <c r="ET31" s="917">
        <f>'[21]FY26-FY28_Retiro Budget Proj'!P27-CD31</f>
        <v>0</v>
      </c>
      <c r="EU31" s="913">
        <f>SUM(BW31:CA31)-CD31</f>
        <v>0</v>
      </c>
      <c r="EW31" s="990">
        <f>'[21]FY26-FY28_HydroCo Budget Proj'!P30-DL31</f>
        <v>0</v>
      </c>
      <c r="EX31" s="913">
        <f>SUM(CG31:DI31)-DL31</f>
        <v>0</v>
      </c>
      <c r="FB31" s="913">
        <f>SUM('[21]FY26-FY28_HoldCo Budget Proj'!AD33,'[21]FY26-FY28_Retiro Budget Proj'!AD27,'[21]FY26-FY28_HydroCo Budget Proj'!AD30)-EA31</f>
        <v>0</v>
      </c>
      <c r="FC31" s="913">
        <f>SUM(EA20:EA30)-EA31</f>
        <v>0</v>
      </c>
      <c r="FE31" s="913">
        <f>SUM('[21]FY26-FY28_HoldCo Budget Proj'!AF33,'[21]FY26-FY28_Retiro Budget Proj'!AF27,'[21]FY26-FY28_HydroCo Budget Proj'!AF30)-EK31</f>
        <v>0</v>
      </c>
      <c r="FF31" s="913">
        <f>SUM(EK20:EK30)-EK31</f>
        <v>0</v>
      </c>
    </row>
    <row r="32" spans="1:162" ht="3.2" customHeight="1">
      <c r="A32" s="1012"/>
      <c r="G32" s="916" t="str">
        <f>IF(I31&gt;0,MAX($G$12:G31)+1,"")</f>
        <v/>
      </c>
      <c r="H32" s="971"/>
      <c r="I32" s="971"/>
      <c r="K32" s="1018"/>
      <c r="M32" s="1018"/>
      <c r="O32" s="1018"/>
      <c r="Q32" s="1018"/>
      <c r="S32" s="1018"/>
      <c r="U32" s="1018"/>
      <c r="W32" s="1018"/>
      <c r="Y32" s="1018"/>
      <c r="AA32" s="1018"/>
      <c r="AC32" s="1018"/>
      <c r="AE32" s="1018"/>
      <c r="AG32" s="1018"/>
      <c r="AI32" s="1018"/>
      <c r="AK32" s="1018"/>
      <c r="AM32" s="1018"/>
      <c r="AO32" s="1018"/>
      <c r="AQ32" s="1018"/>
      <c r="AS32" s="1018"/>
      <c r="AU32" s="1018"/>
      <c r="AW32" s="1018"/>
      <c r="AX32" s="916"/>
      <c r="AY32" s="1019"/>
      <c r="AZ32" s="916"/>
      <c r="BA32" s="1019"/>
      <c r="BB32" s="916"/>
      <c r="BC32" s="1019"/>
      <c r="BD32" s="916"/>
      <c r="BE32" s="1019"/>
      <c r="BG32" s="1018"/>
      <c r="BI32" s="1018"/>
      <c r="BK32" s="1018"/>
      <c r="BM32" s="1018"/>
      <c r="BO32" s="1018"/>
      <c r="BQ32" s="1018"/>
      <c r="BS32" s="942"/>
      <c r="BT32" s="1018"/>
      <c r="BU32" s="943"/>
      <c r="BW32" s="1018"/>
      <c r="BY32" s="1019"/>
      <c r="BZ32" s="916"/>
      <c r="CA32" s="1018"/>
      <c r="CC32" s="942"/>
      <c r="CD32" s="1018"/>
      <c r="CE32" s="943"/>
      <c r="CG32" s="1018"/>
      <c r="CI32" s="1018"/>
      <c r="CK32" s="1018"/>
      <c r="CM32" s="1018"/>
      <c r="CO32" s="1018"/>
      <c r="CQ32" s="1018"/>
      <c r="CS32" s="1018"/>
      <c r="CU32" s="1018"/>
      <c r="CW32" s="1019"/>
      <c r="CX32" s="916"/>
      <c r="CY32" s="1019"/>
      <c r="DA32" s="1018"/>
      <c r="DC32" s="1018"/>
      <c r="DE32" s="1018"/>
      <c r="DG32" s="1018"/>
      <c r="DI32" s="1018"/>
      <c r="DK32" s="942"/>
      <c r="DL32" s="1018"/>
      <c r="DM32" s="943"/>
      <c r="DO32" s="946"/>
      <c r="DP32" s="1018"/>
      <c r="DQ32" s="948"/>
      <c r="DT32" s="949"/>
      <c r="DU32" s="1018"/>
      <c r="DW32" s="1018"/>
      <c r="DY32" s="1018"/>
      <c r="EA32" s="1018"/>
      <c r="EB32" s="952"/>
      <c r="ED32" s="949"/>
      <c r="EE32" s="1018"/>
      <c r="EG32" s="1018"/>
      <c r="EI32" s="1018"/>
      <c r="EK32" s="1018"/>
      <c r="EL32" s="952"/>
      <c r="EO32" s="1000"/>
      <c r="EP32" s="937"/>
      <c r="EU32" s="913">
        <f>SUM(BW32:CA32)-CD32</f>
        <v>0</v>
      </c>
    </row>
    <row r="33" spans="1:162" s="918" customFormat="1">
      <c r="A33" s="1012"/>
      <c r="C33" s="968"/>
      <c r="G33" s="970" t="str">
        <f>IF(I32&gt;0,MAX($G$12:G32)+1,"")</f>
        <v/>
      </c>
      <c r="H33" s="1020" t="s">
        <v>716</v>
      </c>
      <c r="I33" s="1020"/>
      <c r="K33" s="1021">
        <v>0</v>
      </c>
      <c r="M33" s="1021">
        <f>[21]FY26_NME!J16/10^3</f>
        <v>20</v>
      </c>
      <c r="O33" s="1021">
        <v>0</v>
      </c>
      <c r="Q33" s="1021">
        <v>0</v>
      </c>
      <c r="S33" s="1021">
        <v>0</v>
      </c>
      <c r="U33" s="1021">
        <v>0</v>
      </c>
      <c r="W33" s="1021">
        <f>[21]FY26_NME!J18/10^3</f>
        <v>100</v>
      </c>
      <c r="Y33" s="1021">
        <v>0</v>
      </c>
      <c r="AA33" s="1021">
        <v>0</v>
      </c>
      <c r="AC33" s="1021">
        <v>0</v>
      </c>
      <c r="AE33" s="1021">
        <v>0</v>
      </c>
      <c r="AG33" s="1021">
        <v>0</v>
      </c>
      <c r="AI33" s="1021">
        <v>0</v>
      </c>
      <c r="AK33" s="1021" t="e">
        <f>SUMIFS([21]FY26_NME!$J7:$J20,[21]FY26_NME!$F7:$F20,AK$1)/10^3</f>
        <v>#VALUE!</v>
      </c>
      <c r="AM33" s="1021" t="e">
        <f>SUMIFS([21]FY26_NME!$J7:$J20,[21]FY26_NME!$F7:$F20,AM$1)/10^3</f>
        <v>#VALUE!</v>
      </c>
      <c r="AO33" s="1021" t="e">
        <f>SUMIFS([21]FY26_NME!$J7:$J20,[21]FY26_NME!$F7:$F20,AO$1)/10^3</f>
        <v>#VALUE!</v>
      </c>
      <c r="AQ33" s="1021">
        <v>0</v>
      </c>
      <c r="AS33" s="1021">
        <v>0</v>
      </c>
      <c r="AU33" s="1021">
        <v>0</v>
      </c>
      <c r="AW33" s="1021">
        <f>[21]FY26_NME!J14/10^3</f>
        <v>230.18124</v>
      </c>
      <c r="AX33" s="970"/>
      <c r="AY33" s="1022">
        <v>0</v>
      </c>
      <c r="AZ33" s="970"/>
      <c r="BA33" s="1022">
        <v>0</v>
      </c>
      <c r="BB33" s="970"/>
      <c r="BC33" s="1022">
        <v>0</v>
      </c>
      <c r="BD33" s="970"/>
      <c r="BE33" s="1022">
        <f>[21]FY26_NME!J8/10^3</f>
        <v>215</v>
      </c>
      <c r="BG33" s="1021">
        <v>0</v>
      </c>
      <c r="BI33" s="1021">
        <v>0</v>
      </c>
      <c r="BK33" s="1021">
        <v>0</v>
      </c>
      <c r="BL33" s="914"/>
      <c r="BM33" s="1021">
        <v>0</v>
      </c>
      <c r="BN33" s="914"/>
      <c r="BO33" s="1021">
        <v>0</v>
      </c>
      <c r="BP33" s="914"/>
      <c r="BQ33" s="1021">
        <v>0</v>
      </c>
      <c r="BS33" s="972"/>
      <c r="BT33" s="1023">
        <v>2065</v>
      </c>
      <c r="BU33" s="973"/>
      <c r="BV33" s="914"/>
      <c r="BW33" s="1021">
        <v>0</v>
      </c>
      <c r="BX33" s="914"/>
      <c r="BY33" s="1022">
        <v>0</v>
      </c>
      <c r="BZ33" s="970"/>
      <c r="CA33" s="1021">
        <v>0</v>
      </c>
      <c r="CC33" s="972"/>
      <c r="CD33" s="1023">
        <f t="shared" ref="CD33:CD34" si="3">SUM(BW33:CA33)</f>
        <v>0</v>
      </c>
      <c r="CE33" s="973"/>
      <c r="CG33" s="1021">
        <v>0</v>
      </c>
      <c r="CI33" s="1021">
        <v>0</v>
      </c>
      <c r="CK33" s="1021">
        <v>0</v>
      </c>
      <c r="CM33" s="1021">
        <v>0</v>
      </c>
      <c r="CO33" s="1021">
        <v>0</v>
      </c>
      <c r="CQ33" s="1021">
        <v>0</v>
      </c>
      <c r="CS33" s="1021">
        <f>SUM([21]FY26_NME!J25,[21]FY26_NME!J41,[21]FY26_NME!J55)/10^3</f>
        <v>6685</v>
      </c>
      <c r="CU33" s="1021">
        <f>[21]FY26_NME!J53/10^3</f>
        <v>667.15026</v>
      </c>
      <c r="CW33" s="1022">
        <v>0</v>
      </c>
      <c r="CX33" s="970"/>
      <c r="CY33" s="1022">
        <v>0</v>
      </c>
      <c r="DA33" s="1021">
        <v>0</v>
      </c>
      <c r="DC33" s="1021">
        <f>[21]FY26_NME!J43/10^3</f>
        <v>1030</v>
      </c>
      <c r="DD33" s="914"/>
      <c r="DE33" s="1021">
        <v>0</v>
      </c>
      <c r="DF33" s="914"/>
      <c r="DG33" s="1021">
        <v>0</v>
      </c>
      <c r="DH33" s="914"/>
      <c r="DI33" s="1021">
        <v>0</v>
      </c>
      <c r="DK33" s="972"/>
      <c r="DL33" s="1023">
        <f>SUM(CG33:DI33)</f>
        <v>8382.1502600000003</v>
      </c>
      <c r="DM33" s="973"/>
      <c r="DO33" s="974"/>
      <c r="DP33" s="1023">
        <f>SUM(BT33,CD33,DL33)</f>
        <v>10447.15026</v>
      </c>
      <c r="DQ33" s="975"/>
      <c r="DT33" s="976"/>
      <c r="DU33" s="1023">
        <f>'[21]FY26-FY28_HoldCo Budget Proj'!AD34</f>
        <v>770</v>
      </c>
      <c r="DW33" s="1023">
        <v>0</v>
      </c>
      <c r="DY33" s="1023">
        <f>'[21]FY26-FY28_HydroCo Budget Proj'!AD31</f>
        <v>5969.16</v>
      </c>
      <c r="EA33" s="1023">
        <f t="shared" ref="EA33:EA34" si="4">SUM(DU33,DW33,DY33)</f>
        <v>6739.16</v>
      </c>
      <c r="EB33" s="977"/>
      <c r="ED33" s="976"/>
      <c r="EE33" s="1023">
        <f>'[21]FY26-FY28_HoldCo Budget Proj'!AF34</f>
        <v>270</v>
      </c>
      <c r="EG33" s="1023">
        <v>0</v>
      </c>
      <c r="EI33" s="1023">
        <f>'[21]FY26-FY28_HydroCo Budget Proj'!AF31</f>
        <v>5767.16</v>
      </c>
      <c r="EK33" s="1023">
        <f t="shared" ref="EK33:EK34" si="5">SUM(EE33,EG33,EI33)</f>
        <v>6037.16</v>
      </c>
      <c r="EL33" s="977"/>
      <c r="EO33" s="1000"/>
      <c r="EP33" s="937"/>
      <c r="EQ33" s="917">
        <f>([21]FY26_NME!J20/10^3)-BT33</f>
        <v>0.18123999999988882</v>
      </c>
      <c r="ER33" s="990" t="s">
        <v>709</v>
      </c>
      <c r="ET33" s="990" t="s">
        <v>709</v>
      </c>
      <c r="EU33" s="990" t="s">
        <v>709</v>
      </c>
      <c r="EW33" s="990">
        <f>'[21]FY26-FY28_HydroCo Budget Proj'!P31-DL33</f>
        <v>0</v>
      </c>
      <c r="EX33" s="990" t="s">
        <v>709</v>
      </c>
      <c r="EZ33" s="990"/>
      <c r="FB33" s="990"/>
      <c r="FC33" s="990"/>
      <c r="FE33" s="990"/>
      <c r="FF33" s="990"/>
    </row>
    <row r="34" spans="1:162" s="918" customFormat="1" ht="17.25">
      <c r="A34" s="1012"/>
      <c r="C34" s="968"/>
      <c r="G34" s="970" t="str">
        <f>IF(I33&gt;0,MAX($G$12:G33)+1,"")</f>
        <v/>
      </c>
      <c r="H34" s="1020" t="s">
        <v>717</v>
      </c>
      <c r="I34" s="80" t="s">
        <v>326</v>
      </c>
      <c r="K34" s="1021">
        <v>0</v>
      </c>
      <c r="M34" s="1021">
        <v>0</v>
      </c>
      <c r="O34" s="1021">
        <v>0</v>
      </c>
      <c r="Q34" s="1021">
        <v>0</v>
      </c>
      <c r="S34" s="1021">
        <v>0</v>
      </c>
      <c r="U34" s="1021">
        <v>0</v>
      </c>
      <c r="W34" s="1021">
        <v>0</v>
      </c>
      <c r="Y34" s="1021">
        <v>0</v>
      </c>
      <c r="AA34" s="1021">
        <v>0</v>
      </c>
      <c r="AC34" s="1021">
        <v>0</v>
      </c>
      <c r="AE34" s="1021">
        <v>0</v>
      </c>
      <c r="AG34" s="1021">
        <v>0</v>
      </c>
      <c r="AI34" s="1021">
        <v>0</v>
      </c>
      <c r="AK34" s="1021">
        <v>0</v>
      </c>
      <c r="AM34" s="1021">
        <v>0</v>
      </c>
      <c r="AO34" s="1021">
        <v>0</v>
      </c>
      <c r="AQ34" s="1021">
        <v>0</v>
      </c>
      <c r="AS34" s="1021">
        <v>0</v>
      </c>
      <c r="AU34" s="1021">
        <v>0</v>
      </c>
      <c r="AW34" s="1021">
        <v>0</v>
      </c>
      <c r="AX34" s="970"/>
      <c r="AY34" s="1022">
        <v>0</v>
      </c>
      <c r="AZ34" s="970"/>
      <c r="BA34" s="1022">
        <v>0</v>
      </c>
      <c r="BB34" s="970"/>
      <c r="BC34" s="1022">
        <v>0</v>
      </c>
      <c r="BD34" s="970"/>
      <c r="BE34" s="1022">
        <v>0</v>
      </c>
      <c r="BG34" s="1021">
        <v>0</v>
      </c>
      <c r="BI34" s="1021">
        <v>0</v>
      </c>
      <c r="BK34" s="1021">
        <v>0</v>
      </c>
      <c r="BL34" s="914"/>
      <c r="BM34" s="1021">
        <f>'[21]FY26-FY28_HoldCo Budget Proj'!P35</f>
        <v>4208.0724</v>
      </c>
      <c r="BN34" s="914"/>
      <c r="BO34" s="1021">
        <v>0</v>
      </c>
      <c r="BP34" s="914"/>
      <c r="BQ34" s="1021">
        <f>'[21]FY26-FY28_HoldCo Budget Proj'!R35</f>
        <v>0</v>
      </c>
      <c r="BS34" s="972"/>
      <c r="BT34" s="1023">
        <f>SUM(K34:BQ34)</f>
        <v>4208.0724</v>
      </c>
      <c r="BU34" s="973"/>
      <c r="BV34" s="914"/>
      <c r="BW34" s="1021">
        <v>0</v>
      </c>
      <c r="BX34" s="914"/>
      <c r="BY34" s="1022">
        <v>0</v>
      </c>
      <c r="BZ34" s="970"/>
      <c r="CA34" s="1021">
        <f>'[21]FY26-FY28_HoldCo Budget Proj'!Z35</f>
        <v>0</v>
      </c>
      <c r="CC34" s="972"/>
      <c r="CD34" s="1023">
        <f t="shared" si="3"/>
        <v>0</v>
      </c>
      <c r="CE34" s="973"/>
      <c r="CG34" s="1021">
        <v>0</v>
      </c>
      <c r="CI34" s="1021">
        <v>0</v>
      </c>
      <c r="CK34" s="1021">
        <v>0</v>
      </c>
      <c r="CM34" s="1021">
        <v>0</v>
      </c>
      <c r="CO34" s="1021">
        <v>0</v>
      </c>
      <c r="CQ34" s="1021">
        <v>0</v>
      </c>
      <c r="CS34" s="1021">
        <v>0</v>
      </c>
      <c r="CU34" s="1021">
        <v>0</v>
      </c>
      <c r="CW34" s="1022">
        <v>0</v>
      </c>
      <c r="CX34" s="970"/>
      <c r="CY34" s="1022">
        <v>0</v>
      </c>
      <c r="DA34" s="1021">
        <v>0</v>
      </c>
      <c r="DC34" s="1021">
        <v>0</v>
      </c>
      <c r="DD34" s="914"/>
      <c r="DE34" s="1021">
        <f>'[21]FY26-FY28_HydroCo Budget Proj'!P32</f>
        <v>2805.3816000000006</v>
      </c>
      <c r="DF34" s="914"/>
      <c r="DG34" s="1021">
        <v>0</v>
      </c>
      <c r="DH34" s="914"/>
      <c r="DI34" s="1021">
        <v>0</v>
      </c>
      <c r="DK34" s="972"/>
      <c r="DL34" s="1023">
        <f>SUM(CG34:DI34)</f>
        <v>2805.3816000000006</v>
      </c>
      <c r="DM34" s="973"/>
      <c r="DO34" s="974"/>
      <c r="DP34" s="1023">
        <f>SUM(BT34,CD34,DL34)</f>
        <v>7013.4540000000006</v>
      </c>
      <c r="DQ34" s="975"/>
      <c r="DT34" s="976"/>
      <c r="DU34" s="1023">
        <f>'[21]FY26-FY28_HoldCo Budget Proj'!AD35</f>
        <v>3457.5288972179396</v>
      </c>
      <c r="DW34" s="1023">
        <v>0</v>
      </c>
      <c r="DY34" s="1023">
        <f>'[21]FY26-FY28_HydroCo Budget Proj'!AD32</f>
        <v>2305.0192648119601</v>
      </c>
      <c r="EA34" s="1023">
        <f t="shared" si="4"/>
        <v>5762.5481620298997</v>
      </c>
      <c r="EB34" s="977"/>
      <c r="ED34" s="976"/>
      <c r="EE34" s="1023">
        <f>'[21]FY26-FY28_HoldCo Budget Proj'!AF35</f>
        <v>3515.992516544718</v>
      </c>
      <c r="EG34" s="1023">
        <v>0</v>
      </c>
      <c r="EI34" s="1023">
        <f>'[21]FY26-FY28_HydroCo Budget Proj'!AF32</f>
        <v>2343.9950110298118</v>
      </c>
      <c r="EK34" s="1023">
        <f t="shared" si="5"/>
        <v>5859.9875275745298</v>
      </c>
      <c r="EL34" s="977"/>
      <c r="EO34" s="1000"/>
      <c r="EP34" s="937"/>
      <c r="EQ34" s="917">
        <f>'[21]FY26-FY28_HoldCo Budget Proj'!P35-BT34</f>
        <v>0</v>
      </c>
      <c r="ER34" s="990" t="s">
        <v>709</v>
      </c>
      <c r="ET34" s="990" t="s">
        <v>709</v>
      </c>
      <c r="EU34" s="990" t="s">
        <v>709</v>
      </c>
      <c r="EW34" s="990">
        <f>'[21]FY26-FY28_HydroCo Budget Proj'!P32-DL34</f>
        <v>0</v>
      </c>
      <c r="EX34" s="990" t="s">
        <v>709</v>
      </c>
      <c r="EZ34" s="990"/>
      <c r="FB34" s="990"/>
      <c r="FC34" s="990"/>
      <c r="FE34" s="990"/>
      <c r="FF34" s="990"/>
    </row>
    <row r="35" spans="1:162" s="918" customFormat="1" ht="15.75" thickBot="1">
      <c r="C35" s="968"/>
      <c r="G35" s="970" t="e">
        <f>IF(I34&gt;0,MAX($G$12:G34)+1,"")</f>
        <v>#REF!</v>
      </c>
      <c r="H35" s="971" t="s">
        <v>718</v>
      </c>
      <c r="I35" s="971"/>
      <c r="K35" s="1024" t="e">
        <f>SUM(K18,K31,K33:K34)</f>
        <v>#VALUE!</v>
      </c>
      <c r="M35" s="1024" t="e">
        <f>SUM(M18,M31,M33:M34)</f>
        <v>#VALUE!</v>
      </c>
      <c r="O35" s="1024" t="e">
        <f>SUM(O18,O31,O33:O34)</f>
        <v>#VALUE!</v>
      </c>
      <c r="Q35" s="1024" t="e">
        <f>SUM(Q18,Q31,Q33:Q34)</f>
        <v>#VALUE!</v>
      </c>
      <c r="S35" s="1024" t="e">
        <f>SUM(S18,S31,S33:S34)</f>
        <v>#VALUE!</v>
      </c>
      <c r="U35" s="1024" t="e">
        <f>SUM(U18,U31,U33:U34)</f>
        <v>#VALUE!</v>
      </c>
      <c r="W35" s="1024" t="e">
        <f>SUM(W18,W31,W33:W34)</f>
        <v>#VALUE!</v>
      </c>
      <c r="Y35" s="1024" t="e">
        <f>SUM(Y18,Y31,Y33:Y34)</f>
        <v>#VALUE!</v>
      </c>
      <c r="AA35" s="1024" t="e">
        <f>SUM(AA18,AA31,AA33:AA34)</f>
        <v>#VALUE!</v>
      </c>
      <c r="AC35" s="1024" t="e">
        <f>SUM(AC18,AC31,AC33:AC34)</f>
        <v>#VALUE!</v>
      </c>
      <c r="AE35" s="1024" t="e">
        <f>SUM(AE18,AE31,AE33:AE34)</f>
        <v>#VALUE!</v>
      </c>
      <c r="AG35" s="1024" t="e">
        <f>SUM(AG18,AG31,AG33:AG34)</f>
        <v>#VALUE!</v>
      </c>
      <c r="AI35" s="1024" t="e">
        <f>SUM(AI18,AI31,AI33:AI34)</f>
        <v>#VALUE!</v>
      </c>
      <c r="AK35" s="1024" t="e">
        <f>SUM(AK18,AK31,AK33:AK34)</f>
        <v>#VALUE!</v>
      </c>
      <c r="AM35" s="1024" t="e">
        <f>SUM(AM18,AM31,AM33:AM34)</f>
        <v>#VALUE!</v>
      </c>
      <c r="AO35" s="1024" t="e">
        <f>SUM(AO18,AO31,AO33:AO34)</f>
        <v>#VALUE!</v>
      </c>
      <c r="AQ35" s="1024" t="e">
        <f>SUM(AQ18,AQ31,AQ33:AQ34)</f>
        <v>#VALUE!</v>
      </c>
      <c r="AS35" s="1024" t="e">
        <f>SUM(AS18,AS31,AS33:AS34)</f>
        <v>#VALUE!</v>
      </c>
      <c r="AU35" s="1024" t="e">
        <f>SUM(AU18,AU31,AU33:AU34)</f>
        <v>#VALUE!</v>
      </c>
      <c r="AW35" s="1024" t="e">
        <f>SUM(AW18,AW31,AW33:AW34)</f>
        <v>#VALUE!</v>
      </c>
      <c r="AX35" s="970"/>
      <c r="AY35" s="1024">
        <f>SUM(AY18,AY31,AY33:AY34)</f>
        <v>5486.2749999999996</v>
      </c>
      <c r="AZ35" s="970"/>
      <c r="BA35" s="1024">
        <f>SUM(BA18,BA31,BA33:BA34)</f>
        <v>7267</v>
      </c>
      <c r="BB35" s="970"/>
      <c r="BC35" s="1024">
        <f>SUM(BC18,BC31,BC33:BC34)</f>
        <v>1601.7429999999999</v>
      </c>
      <c r="BD35" s="970"/>
      <c r="BE35" s="1024">
        <f>SUM(BE18,BE31,BE33:BE34)</f>
        <v>2529.75</v>
      </c>
      <c r="BG35" s="1024">
        <f>SUM(BG18,BG31,BG33:BG34)</f>
        <v>72</v>
      </c>
      <c r="BI35" s="1024">
        <f>SUM(BI18,BI31,BI33:BI34)</f>
        <v>2477.5</v>
      </c>
      <c r="BK35" s="1024">
        <f>SUM(BK18,BK31,BK33:BK34)</f>
        <v>0</v>
      </c>
      <c r="BM35" s="1024">
        <f>SUM(BM18,BM31,BM33:BM34)</f>
        <v>4208.0724</v>
      </c>
      <c r="BO35" s="1024">
        <f>SUM(BO18,BO31,BO33:BO34)</f>
        <v>118.18718750000001</v>
      </c>
      <c r="BQ35" s="1024">
        <f>SUM(BQ18,BQ31,BQ33:BQ34)</f>
        <v>2412.74420676</v>
      </c>
      <c r="BS35" s="972"/>
      <c r="BT35" s="1024">
        <f>SUM(BT18,BT31,BT33:BT34)</f>
        <v>44475.62339850999</v>
      </c>
      <c r="BU35" s="973"/>
      <c r="BW35" s="1024">
        <f>SUM(BW18,BW31,BW33:BW34)</f>
        <v>3787.4201480000002</v>
      </c>
      <c r="BY35" s="1024">
        <f>SUM(BY18,BY31,BY33:BY34)</f>
        <v>7950</v>
      </c>
      <c r="BZ35" s="970"/>
      <c r="CA35" s="1024">
        <f>SUM(CA18,CA31,CA33:CA34)</f>
        <v>162.58032</v>
      </c>
      <c r="CC35" s="972"/>
      <c r="CD35" s="1024">
        <f>SUM(CD18,CD31,CD33:CD34)</f>
        <v>11900.000468</v>
      </c>
      <c r="CE35" s="973"/>
      <c r="CG35" s="1024">
        <f>SUM(CG18,CG31,CG33:CG34)</f>
        <v>485.95866100000001</v>
      </c>
      <c r="CI35" s="1024">
        <f>SUM(CI18,CI31,CI33:CI34)</f>
        <v>662.38097960000016</v>
      </c>
      <c r="CK35" s="1024">
        <f>SUM(CK18,CK31,CK33:CK34)</f>
        <v>100.81403</v>
      </c>
      <c r="CM35" s="1024">
        <f>SUM(CM18,CM31,CM33:CM34)</f>
        <v>1512.7043134</v>
      </c>
      <c r="CO35" s="1024">
        <f>SUM(CO18,CO31,CO33:CO34)</f>
        <v>899.41577219999999</v>
      </c>
      <c r="CQ35" s="1024">
        <f>SUM(CQ18,CQ31,CQ33:CQ34)</f>
        <v>1446.2587478</v>
      </c>
      <c r="CS35" s="1024">
        <f>SUM(CS18,CS31,CS33:CS34)</f>
        <v>8059.7305390000001</v>
      </c>
      <c r="CU35" s="1024">
        <f>SUM(CU18,CU31,CU33:CU34)</f>
        <v>667.15026</v>
      </c>
      <c r="CW35" s="1024">
        <f>SUM(CW18,CW31,CW33:CW34)</f>
        <v>2104.6460000000002</v>
      </c>
      <c r="CX35" s="970"/>
      <c r="CY35" s="1024">
        <f>SUM(CY18,CY31,CY33:CY34)</f>
        <v>838</v>
      </c>
      <c r="DA35" s="1024">
        <f>SUM(DA18,DA31,DA33:DA34)</f>
        <v>80</v>
      </c>
      <c r="DC35" s="1024">
        <f>SUM(DC18,DC31,DC33:DC34)</f>
        <v>1030</v>
      </c>
      <c r="DE35" s="1024">
        <f>SUM(DE18,DE31,DE33:DE34)</f>
        <v>2805.3816000000006</v>
      </c>
      <c r="DG35" s="1024">
        <f>SUM(DG18,DG31,DG33:DG34)</f>
        <v>541.80281249999996</v>
      </c>
      <c r="DI35" s="1024">
        <f>SUM(DI18,DI31,DI33:DI34)</f>
        <v>3760.7057256856056</v>
      </c>
      <c r="DK35" s="972"/>
      <c r="DL35" s="1024">
        <f>SUM(DL18,DL31,DL33:DL34)</f>
        <v>24994.949441185607</v>
      </c>
      <c r="DM35" s="973"/>
      <c r="DO35" s="974"/>
      <c r="DP35" s="1074">
        <f>SUM(BT35,CD35,DL35)</f>
        <v>81370.573307695595</v>
      </c>
      <c r="DQ35" s="975"/>
      <c r="DT35" s="976"/>
      <c r="DU35" s="1024">
        <f>SUM(DU18,DU31,DU33:DU34)</f>
        <v>46812.381370502175</v>
      </c>
      <c r="DW35" s="1024">
        <f>SUM(DW18,DW31,DW33:DW34)</f>
        <v>12361.974062943676</v>
      </c>
      <c r="DY35" s="1024">
        <f>SUM(DY18,DY31,DY33:DY34)</f>
        <v>22182.997254630904</v>
      </c>
      <c r="EA35" s="1024">
        <f>SUM(DU35,DW35,DY35)</f>
        <v>81357.35268807676</v>
      </c>
      <c r="EB35" s="977"/>
      <c r="ED35" s="976"/>
      <c r="EE35" s="1024">
        <f>SUM(EE18,EE31,EE33:EE34)</f>
        <v>43902.144144579375</v>
      </c>
      <c r="EG35" s="1024">
        <f>SUM(EG18,EG31,EG33:EG34)</f>
        <v>12847.230110475055</v>
      </c>
      <c r="EI35" s="1024">
        <f>SUM(EI18,EI31,EI33:EI34)</f>
        <v>22259.642434868943</v>
      </c>
      <c r="EK35" s="1024">
        <f>SUM(EE35,EG35,EI35)</f>
        <v>79009.016689923374</v>
      </c>
      <c r="EL35" s="977"/>
      <c r="EO35" s="1000"/>
      <c r="EP35" s="937"/>
      <c r="EQ35" s="917">
        <f>'[21]FY26-FY28_HoldCo Budget Proj'!P37-BT35</f>
        <v>0.18123999999806983</v>
      </c>
      <c r="ER35" s="913" t="e">
        <f>SUM(K35:BQ35)-BT35</f>
        <v>#VALUE!</v>
      </c>
      <c r="ET35" s="990">
        <f>'[21]FY26-FY28_Retiro Budget Proj'!P28-CD35</f>
        <v>0</v>
      </c>
      <c r="EU35" s="913">
        <f>SUM(BW35:CA35)-CD35</f>
        <v>0</v>
      </c>
      <c r="EW35" s="990">
        <f>'[21]FY26-FY28_HydroCo Budget Proj'!P33-DL35</f>
        <v>0</v>
      </c>
      <c r="EX35" s="913">
        <f>SUM(CG35:DI35)-DL35</f>
        <v>0</v>
      </c>
      <c r="EZ35" s="913">
        <f>SUM(DP33:DP34,DP31,DP18)-DP35</f>
        <v>0</v>
      </c>
      <c r="FB35" s="913">
        <f>SUM('[21]FY26-FY28_HoldCo Budget Proj'!AD37,'[21]FY26-FY28_Retiro Budget Proj'!AD28,'[21]FY26-FY28_HydroCo Budget Proj'!AD33)-EA35</f>
        <v>0</v>
      </c>
      <c r="FC35" s="913">
        <f>SUM(EA33:EA34,EA31,EA18)-EA35</f>
        <v>0</v>
      </c>
      <c r="FE35" s="913">
        <f>SUM('[21]FY26-FY28_HoldCo Budget Proj'!AF37,'[21]FY26-FY28_Retiro Budget Proj'!AF28,'[21]FY26-FY28_HydroCo Budget Proj'!AF33)-EK35</f>
        <v>0</v>
      </c>
      <c r="FF35" s="913">
        <f>SUM(EK33:EK34,EK31,EK18)-EK35</f>
        <v>0</v>
      </c>
    </row>
    <row r="36" spans="1:162" s="918" customFormat="1" ht="5.0999999999999996" customHeight="1" thickTop="1">
      <c r="C36" s="968"/>
      <c r="G36" s="970" t="str">
        <f>IF(I35&gt;0,MAX($G$12:G35)+1,"")</f>
        <v/>
      </c>
      <c r="H36" s="971"/>
      <c r="I36" s="971"/>
      <c r="K36" s="1025"/>
      <c r="M36" s="1025"/>
      <c r="O36" s="1025"/>
      <c r="Q36" s="1025"/>
      <c r="S36" s="1025"/>
      <c r="U36" s="1025"/>
      <c r="W36" s="1025"/>
      <c r="Y36" s="1025"/>
      <c r="AA36" s="1025"/>
      <c r="AC36" s="1025"/>
      <c r="AE36" s="1025"/>
      <c r="AG36" s="1025"/>
      <c r="AI36" s="1025"/>
      <c r="AK36" s="1025"/>
      <c r="AM36" s="1025"/>
      <c r="AO36" s="1025"/>
      <c r="AQ36" s="1025"/>
      <c r="AS36" s="1025"/>
      <c r="AU36" s="1025"/>
      <c r="AW36" s="1025"/>
      <c r="AX36" s="970"/>
      <c r="AY36" s="1026"/>
      <c r="AZ36" s="970"/>
      <c r="BA36" s="1026"/>
      <c r="BB36" s="970"/>
      <c r="BC36" s="1026"/>
      <c r="BD36" s="970"/>
      <c r="BE36" s="1026"/>
      <c r="BG36" s="1025"/>
      <c r="BI36" s="1025"/>
      <c r="BK36" s="1025"/>
      <c r="BM36" s="1025"/>
      <c r="BO36" s="1025"/>
      <c r="BQ36" s="1025"/>
      <c r="BS36" s="972"/>
      <c r="BT36" s="1025"/>
      <c r="BU36" s="973"/>
      <c r="BW36" s="1025"/>
      <c r="BY36" s="1026"/>
      <c r="BZ36" s="970"/>
      <c r="CA36" s="1025"/>
      <c r="CC36" s="972"/>
      <c r="CD36" s="1025"/>
      <c r="CE36" s="973"/>
      <c r="CG36" s="1025"/>
      <c r="CI36" s="1025"/>
      <c r="CK36" s="1025"/>
      <c r="CM36" s="1025"/>
      <c r="CO36" s="1025"/>
      <c r="CQ36" s="1025"/>
      <c r="CS36" s="1025"/>
      <c r="CU36" s="1025"/>
      <c r="CW36" s="1026"/>
      <c r="CX36" s="970"/>
      <c r="CY36" s="1026"/>
      <c r="DA36" s="1025"/>
      <c r="DC36" s="1025"/>
      <c r="DE36" s="1025"/>
      <c r="DG36" s="1025"/>
      <c r="DI36" s="1025"/>
      <c r="DK36" s="972"/>
      <c r="DL36" s="1025"/>
      <c r="DM36" s="973"/>
      <c r="DO36" s="974"/>
      <c r="DP36" s="1025"/>
      <c r="DQ36" s="975"/>
      <c r="DT36" s="976"/>
      <c r="DU36" s="1025"/>
      <c r="DW36" s="1025"/>
      <c r="DY36" s="1025"/>
      <c r="EA36" s="1025"/>
      <c r="EB36" s="977"/>
      <c r="ED36" s="976"/>
      <c r="EE36" s="1025"/>
      <c r="EG36" s="1025"/>
      <c r="EI36" s="1025"/>
      <c r="EK36" s="1025"/>
      <c r="EL36" s="977"/>
      <c r="EO36" s="1000"/>
      <c r="EP36" s="937"/>
      <c r="EQ36" s="917"/>
      <c r="ER36" s="913"/>
      <c r="ET36" s="917"/>
      <c r="EU36" s="913"/>
      <c r="EW36" s="990"/>
      <c r="EX36" s="913"/>
      <c r="EZ36" s="913"/>
      <c r="FB36" s="913"/>
      <c r="FC36" s="913"/>
      <c r="FE36" s="913"/>
      <c r="FF36" s="913"/>
    </row>
    <row r="37" spans="1:162" s="918" customFormat="1">
      <c r="C37" s="968"/>
      <c r="G37" s="970" t="str">
        <f>IF(I36&gt;0,MAX($G$12:G36)+1,"")</f>
        <v/>
      </c>
      <c r="H37" s="1027" t="s">
        <v>719</v>
      </c>
      <c r="I37" s="1027"/>
      <c r="K37" s="1025"/>
      <c r="M37" s="1025"/>
      <c r="O37" s="1025"/>
      <c r="Q37" s="1025"/>
      <c r="S37" s="1025"/>
      <c r="U37" s="1025"/>
      <c r="W37" s="1025"/>
      <c r="Y37" s="1025"/>
      <c r="AA37" s="1025"/>
      <c r="AC37" s="1025"/>
      <c r="AE37" s="1025"/>
      <c r="AG37" s="1025"/>
      <c r="AI37" s="1025"/>
      <c r="AK37" s="1025"/>
      <c r="AM37" s="1025"/>
      <c r="AO37" s="1025"/>
      <c r="AQ37" s="1025"/>
      <c r="AS37" s="1025"/>
      <c r="AU37" s="1025"/>
      <c r="AW37" s="1025"/>
      <c r="AX37" s="970"/>
      <c r="AY37" s="1026"/>
      <c r="AZ37" s="970"/>
      <c r="BA37" s="1026"/>
      <c r="BB37" s="970"/>
      <c r="BC37" s="1026"/>
      <c r="BD37" s="970"/>
      <c r="BE37" s="1026"/>
      <c r="BG37" s="1025"/>
      <c r="BI37" s="1025"/>
      <c r="BK37" s="1025"/>
      <c r="BM37" s="1025"/>
      <c r="BO37" s="1025"/>
      <c r="BQ37" s="1025"/>
      <c r="BS37" s="972"/>
      <c r="BT37" s="1025"/>
      <c r="BU37" s="973"/>
      <c r="BW37" s="1025"/>
      <c r="BY37" s="1026"/>
      <c r="BZ37" s="970"/>
      <c r="CA37" s="1025"/>
      <c r="CC37" s="972"/>
      <c r="CD37" s="1025"/>
      <c r="CE37" s="973"/>
      <c r="CG37" s="1025"/>
      <c r="CI37" s="1025"/>
      <c r="CK37" s="1025"/>
      <c r="CM37" s="1025"/>
      <c r="CO37" s="1025"/>
      <c r="CQ37" s="1025"/>
      <c r="CS37" s="1025"/>
      <c r="CU37" s="1025"/>
      <c r="CW37" s="1026"/>
      <c r="CX37" s="970"/>
      <c r="CY37" s="1026"/>
      <c r="DA37" s="1025"/>
      <c r="DC37" s="1025"/>
      <c r="DE37" s="1025"/>
      <c r="DG37" s="1025"/>
      <c r="DI37" s="1025"/>
      <c r="DK37" s="972"/>
      <c r="DL37" s="1025"/>
      <c r="DM37" s="973"/>
      <c r="DO37" s="974"/>
      <c r="DP37" s="1025"/>
      <c r="DQ37" s="975"/>
      <c r="DT37" s="976"/>
      <c r="DU37" s="1025"/>
      <c r="DW37" s="1025"/>
      <c r="DY37" s="1025"/>
      <c r="EA37" s="1025"/>
      <c r="EB37" s="977"/>
      <c r="ED37" s="976"/>
      <c r="EE37" s="1025"/>
      <c r="EG37" s="1025"/>
      <c r="EI37" s="1025"/>
      <c r="EK37" s="1025"/>
      <c r="EL37" s="977"/>
      <c r="EO37" s="1000"/>
      <c r="EP37" s="937"/>
      <c r="EQ37" s="917"/>
      <c r="ER37" s="913"/>
      <c r="ET37" s="917"/>
      <c r="EU37" s="913"/>
      <c r="EW37" s="990"/>
      <c r="EX37" s="913"/>
      <c r="EZ37" s="913"/>
      <c r="FB37" s="913"/>
      <c r="FC37" s="913"/>
      <c r="FE37" s="913"/>
      <c r="FF37" s="913"/>
    </row>
    <row r="38" spans="1:162" s="918" customFormat="1" ht="5.0999999999999996" customHeight="1">
      <c r="C38" s="968"/>
      <c r="G38" s="970" t="str">
        <f>IF(I37&gt;0,MAX($G$12:G37)+1,"")</f>
        <v/>
      </c>
      <c r="H38" s="971"/>
      <c r="I38" s="971"/>
      <c r="K38" s="1025"/>
      <c r="M38" s="1025"/>
      <c r="O38" s="1025"/>
      <c r="Q38" s="1025"/>
      <c r="S38" s="1025"/>
      <c r="U38" s="1025"/>
      <c r="W38" s="1025"/>
      <c r="Y38" s="1025"/>
      <c r="AA38" s="1025"/>
      <c r="AC38" s="1025"/>
      <c r="AE38" s="1025"/>
      <c r="AG38" s="1025"/>
      <c r="AI38" s="1025"/>
      <c r="AK38" s="1025"/>
      <c r="AM38" s="1025"/>
      <c r="AO38" s="1025"/>
      <c r="AQ38" s="1025"/>
      <c r="AS38" s="1025"/>
      <c r="AU38" s="1025"/>
      <c r="AW38" s="1025"/>
      <c r="AX38" s="970"/>
      <c r="AY38" s="1026"/>
      <c r="AZ38" s="970"/>
      <c r="BA38" s="1026"/>
      <c r="BB38" s="970"/>
      <c r="BC38" s="1026"/>
      <c r="BD38" s="970"/>
      <c r="BE38" s="1026"/>
      <c r="BG38" s="1025"/>
      <c r="BI38" s="1025"/>
      <c r="BK38" s="1025"/>
      <c r="BM38" s="1025"/>
      <c r="BO38" s="1025"/>
      <c r="BQ38" s="1025"/>
      <c r="BS38" s="972"/>
      <c r="BT38" s="1025"/>
      <c r="BU38" s="973"/>
      <c r="BW38" s="1025"/>
      <c r="BY38" s="1026"/>
      <c r="BZ38" s="970"/>
      <c r="CA38" s="1025"/>
      <c r="CC38" s="972"/>
      <c r="CD38" s="1025"/>
      <c r="CE38" s="973"/>
      <c r="CG38" s="1025"/>
      <c r="CI38" s="1025"/>
      <c r="CK38" s="1025"/>
      <c r="CM38" s="1025"/>
      <c r="CO38" s="1025"/>
      <c r="CQ38" s="1025"/>
      <c r="CS38" s="1025"/>
      <c r="CU38" s="1025"/>
      <c r="CW38" s="1026"/>
      <c r="CX38" s="970"/>
      <c r="CY38" s="1026"/>
      <c r="DA38" s="1025"/>
      <c r="DC38" s="1025"/>
      <c r="DE38" s="1025"/>
      <c r="DG38" s="1025"/>
      <c r="DI38" s="1025"/>
      <c r="DK38" s="972"/>
      <c r="DL38" s="1025"/>
      <c r="DM38" s="973"/>
      <c r="DO38" s="974"/>
      <c r="DP38" s="1025"/>
      <c r="DQ38" s="975"/>
      <c r="DT38" s="976"/>
      <c r="DU38" s="1025"/>
      <c r="DW38" s="1025"/>
      <c r="DY38" s="1025"/>
      <c r="EA38" s="1025"/>
      <c r="EB38" s="977"/>
      <c r="ED38" s="976"/>
      <c r="EE38" s="1025"/>
      <c r="EG38" s="1025"/>
      <c r="EI38" s="1025"/>
      <c r="EK38" s="1025"/>
      <c r="EL38" s="977"/>
      <c r="EO38" s="1000"/>
      <c r="EP38" s="937"/>
      <c r="EQ38" s="917"/>
      <c r="ER38" s="913"/>
      <c r="ET38" s="917"/>
      <c r="EU38" s="913"/>
      <c r="EW38" s="990"/>
      <c r="EX38" s="913"/>
      <c r="EZ38" s="913"/>
      <c r="FB38" s="913"/>
      <c r="FC38" s="913"/>
      <c r="FE38" s="913"/>
      <c r="FF38" s="913"/>
    </row>
    <row r="39" spans="1:162" s="918" customFormat="1">
      <c r="C39" s="968" t="s">
        <v>720</v>
      </c>
      <c r="G39" s="970" t="str">
        <f>IF(I38&gt;0,MAX($G$12:G38)+1,"")</f>
        <v/>
      </c>
      <c r="H39" s="971" t="s">
        <v>721</v>
      </c>
      <c r="I39" s="971"/>
      <c r="K39" s="1025"/>
      <c r="M39" s="1025"/>
      <c r="O39" s="1025"/>
      <c r="Q39" s="1025"/>
      <c r="S39" s="1025"/>
      <c r="U39" s="1025"/>
      <c r="W39" s="1025"/>
      <c r="Y39" s="1025"/>
      <c r="AA39" s="1025"/>
      <c r="AC39" s="1025"/>
      <c r="AE39" s="1025"/>
      <c r="AG39" s="1025"/>
      <c r="AI39" s="1025"/>
      <c r="AK39" s="1025"/>
      <c r="AM39" s="1025"/>
      <c r="AO39" s="1025"/>
      <c r="AQ39" s="1025"/>
      <c r="AS39" s="1025"/>
      <c r="AU39" s="1025"/>
      <c r="AW39" s="1025"/>
      <c r="AX39" s="970"/>
      <c r="AY39" s="1026"/>
      <c r="AZ39" s="970"/>
      <c r="BA39" s="1026"/>
      <c r="BB39" s="970"/>
      <c r="BC39" s="1026"/>
      <c r="BD39" s="970"/>
      <c r="BE39" s="1026"/>
      <c r="BG39" s="1025"/>
      <c r="BI39" s="1025"/>
      <c r="BK39" s="1025"/>
      <c r="BM39" s="1025"/>
      <c r="BO39" s="1025"/>
      <c r="BQ39" s="1025"/>
      <c r="BS39" s="972"/>
      <c r="BT39" s="1025"/>
      <c r="BU39" s="973"/>
      <c r="BW39" s="1025"/>
      <c r="BY39" s="1026"/>
      <c r="BZ39" s="970"/>
      <c r="CA39" s="1025"/>
      <c r="CC39" s="972"/>
      <c r="CD39" s="1025"/>
      <c r="CE39" s="973"/>
      <c r="CG39" s="1025"/>
      <c r="CI39" s="1025"/>
      <c r="CK39" s="1025"/>
      <c r="CM39" s="1025"/>
      <c r="CO39" s="1025"/>
      <c r="CQ39" s="1025"/>
      <c r="CS39" s="1025"/>
      <c r="CU39" s="1025"/>
      <c r="CW39" s="1026"/>
      <c r="CX39" s="970"/>
      <c r="CY39" s="1026"/>
      <c r="DA39" s="1025"/>
      <c r="DC39" s="1025"/>
      <c r="DE39" s="1025"/>
      <c r="DG39" s="1025"/>
      <c r="DI39" s="1025"/>
      <c r="DK39" s="972"/>
      <c r="DL39" s="1025"/>
      <c r="DM39" s="973"/>
      <c r="DO39" s="974"/>
      <c r="DP39" s="1025"/>
      <c r="DQ39" s="975"/>
      <c r="DT39" s="976"/>
      <c r="DU39" s="1025"/>
      <c r="DW39" s="1025"/>
      <c r="DY39" s="1025"/>
      <c r="EA39" s="1025"/>
      <c r="EB39" s="977"/>
      <c r="ED39" s="976"/>
      <c r="EE39" s="1025"/>
      <c r="EG39" s="1025"/>
      <c r="EI39" s="1025"/>
      <c r="EK39" s="1025"/>
      <c r="EL39" s="977"/>
      <c r="EO39" s="1000"/>
      <c r="EP39" s="937"/>
      <c r="EQ39" s="917"/>
      <c r="ET39" s="917"/>
      <c r="EZ39" s="913"/>
      <c r="FB39" s="913"/>
      <c r="FC39" s="913"/>
      <c r="FE39" s="913"/>
      <c r="FF39" s="913"/>
    </row>
    <row r="40" spans="1:162" s="918" customFormat="1">
      <c r="C40" s="968" t="s">
        <v>720</v>
      </c>
      <c r="G40" s="916" t="str">
        <f>IF(I39&gt;0,MAX($G$12:G39)+1,"")</f>
        <v/>
      </c>
      <c r="H40" s="906" t="s">
        <v>722</v>
      </c>
      <c r="I40" s="906" t="s">
        <v>607</v>
      </c>
      <c r="K40" s="1078"/>
      <c r="L40" s="1078"/>
      <c r="M40" s="1078"/>
      <c r="N40" s="1078"/>
      <c r="O40" s="1078"/>
      <c r="P40" s="1078"/>
      <c r="Q40" s="1078"/>
      <c r="R40" s="1078"/>
      <c r="S40" s="1078"/>
      <c r="T40" s="1078"/>
      <c r="U40" s="1078"/>
      <c r="V40" s="1078"/>
      <c r="W40" s="1078"/>
      <c r="X40" s="1078"/>
      <c r="Y40" s="1078"/>
      <c r="Z40" s="1078"/>
      <c r="AA40" s="1078"/>
      <c r="AB40" s="1078"/>
      <c r="AC40" s="1078"/>
      <c r="AD40" s="1078"/>
      <c r="AE40" s="1078"/>
      <c r="AF40" s="1078"/>
      <c r="AG40" s="1078"/>
      <c r="AH40" s="1078"/>
      <c r="AI40" s="1078"/>
      <c r="AJ40" s="1078"/>
      <c r="AK40" s="1078"/>
      <c r="AL40" s="1078"/>
      <c r="AM40" s="1078"/>
      <c r="AN40" s="1078"/>
      <c r="AO40" s="1078"/>
      <c r="AP40" s="1078"/>
      <c r="AQ40" s="1078"/>
      <c r="AR40" s="1078"/>
      <c r="AS40" s="1078"/>
      <c r="AT40" s="1078"/>
      <c r="AU40" s="1078"/>
      <c r="AV40" s="1078"/>
      <c r="AW40" s="1078"/>
      <c r="AX40" s="1078"/>
      <c r="AY40" s="1078"/>
      <c r="AZ40" s="914"/>
      <c r="BA40" s="1028">
        <f>'[21]FY26_Corporate Responsibilities'!G38/10^3</f>
        <v>4000</v>
      </c>
      <c r="BB40" s="914"/>
      <c r="BC40" s="1078"/>
      <c r="BD40" s="1078"/>
      <c r="BE40" s="1078"/>
      <c r="BF40" s="1078"/>
      <c r="BG40" s="1078"/>
      <c r="BH40" s="1078"/>
      <c r="BI40" s="1078"/>
      <c r="BJ40" s="1078"/>
      <c r="BK40" s="1078"/>
      <c r="BL40" s="1078"/>
      <c r="BM40" s="1078"/>
      <c r="BN40" s="1078"/>
      <c r="BO40" s="1078"/>
      <c r="BP40" s="1078"/>
      <c r="BQ40" s="1078"/>
      <c r="BR40" s="914"/>
      <c r="BS40" s="942"/>
      <c r="BT40" s="1028">
        <v>4000</v>
      </c>
      <c r="BU40" s="943"/>
      <c r="BW40" s="1078"/>
      <c r="BX40" s="1078"/>
      <c r="BY40" s="1078"/>
      <c r="BZ40" s="1078"/>
      <c r="CA40" s="1078"/>
      <c r="CB40" s="914"/>
      <c r="CC40" s="942"/>
      <c r="CD40" s="1028">
        <v>0</v>
      </c>
      <c r="CE40" s="943"/>
      <c r="CF40" s="914"/>
      <c r="CG40" s="1078"/>
      <c r="CH40" s="1078"/>
      <c r="CI40" s="1078"/>
      <c r="CJ40" s="1078"/>
      <c r="CK40" s="1078"/>
      <c r="CL40" s="1078"/>
      <c r="CM40" s="1078"/>
      <c r="CN40" s="1078"/>
      <c r="CO40" s="1078"/>
      <c r="CP40" s="1078"/>
      <c r="CQ40" s="1078"/>
      <c r="CR40" s="1078"/>
      <c r="CS40" s="1078"/>
      <c r="CT40" s="1078"/>
      <c r="CU40" s="1078"/>
      <c r="CV40" s="1078"/>
      <c r="CW40" s="1078"/>
      <c r="CX40" s="1078"/>
      <c r="CY40" s="1078"/>
      <c r="CZ40" s="1078"/>
      <c r="DA40" s="1078"/>
      <c r="DB40" s="1078"/>
      <c r="DC40" s="1078"/>
      <c r="DD40" s="996"/>
      <c r="DE40" s="1078"/>
      <c r="DF40" s="996"/>
      <c r="DG40" s="1078"/>
      <c r="DH40" s="996"/>
      <c r="DI40" s="1078"/>
      <c r="DJ40" s="914"/>
      <c r="DK40" s="942"/>
      <c r="DL40" s="1029">
        <v>0</v>
      </c>
      <c r="DM40" s="973"/>
      <c r="DO40" s="946"/>
      <c r="DP40" s="1029">
        <v>4000</v>
      </c>
      <c r="DQ40" s="975"/>
      <c r="DT40" s="949"/>
      <c r="DU40" s="1029">
        <v>0</v>
      </c>
      <c r="DW40" s="1029">
        <v>0</v>
      </c>
      <c r="DY40" s="1029">
        <v>0</v>
      </c>
      <c r="EA40" s="1029">
        <v>0</v>
      </c>
      <c r="EB40" s="977"/>
      <c r="ED40" s="949"/>
      <c r="EE40" s="1029">
        <v>0</v>
      </c>
      <c r="EG40" s="1029">
        <v>0</v>
      </c>
      <c r="EI40" s="1029">
        <v>0</v>
      </c>
      <c r="EK40" s="1029">
        <v>0</v>
      </c>
      <c r="EL40" s="977"/>
      <c r="EO40" s="1000"/>
      <c r="EP40" s="937"/>
      <c r="EQ40" s="917"/>
      <c r="ER40" s="913"/>
      <c r="ET40" s="917"/>
      <c r="EU40" s="913"/>
      <c r="EW40" s="990"/>
      <c r="EX40" s="913"/>
      <c r="EZ40" s="913"/>
      <c r="FB40" s="913"/>
      <c r="FC40" s="913"/>
      <c r="FE40" s="913"/>
      <c r="FF40" s="913"/>
    </row>
    <row r="41" spans="1:162" s="918" customFormat="1">
      <c r="C41" s="968"/>
      <c r="G41" s="916" t="e">
        <f>IF(I40&gt;0,MAX($G$12:G40)+1,"")</f>
        <v>#REF!</v>
      </c>
      <c r="H41" s="906" t="s">
        <v>723</v>
      </c>
      <c r="I41" s="906" t="s">
        <v>608</v>
      </c>
      <c r="K41" s="1078"/>
      <c r="L41" s="1078"/>
      <c r="M41" s="1078"/>
      <c r="N41" s="1078"/>
      <c r="O41" s="1078"/>
      <c r="P41" s="1078"/>
      <c r="Q41" s="1078"/>
      <c r="R41" s="1078"/>
      <c r="S41" s="1078"/>
      <c r="T41" s="1078"/>
      <c r="U41" s="1078"/>
      <c r="V41" s="1078"/>
      <c r="W41" s="1078"/>
      <c r="X41" s="1078"/>
      <c r="Y41" s="1078"/>
      <c r="Z41" s="1078"/>
      <c r="AA41" s="1078"/>
      <c r="AB41" s="1078"/>
      <c r="AC41" s="1078"/>
      <c r="AD41" s="1078"/>
      <c r="AE41" s="1078"/>
      <c r="AF41" s="1078"/>
      <c r="AG41" s="1078"/>
      <c r="AH41" s="1078"/>
      <c r="AI41" s="1078"/>
      <c r="AJ41" s="1078"/>
      <c r="AK41" s="1078"/>
      <c r="AL41" s="1078"/>
      <c r="AM41" s="1078"/>
      <c r="AN41" s="1078"/>
      <c r="AO41" s="1078"/>
      <c r="AP41" s="1078"/>
      <c r="AQ41" s="1078"/>
      <c r="AR41" s="1078"/>
      <c r="AS41" s="1078"/>
      <c r="AT41" s="1078"/>
      <c r="AU41" s="1078"/>
      <c r="AV41" s="1078"/>
      <c r="AW41" s="1078"/>
      <c r="AX41" s="1078"/>
      <c r="AY41" s="1078"/>
      <c r="AZ41" s="914"/>
      <c r="BA41" s="1030">
        <f>'[21]FY26_Corporate Responsibilities'!G39/10^3</f>
        <v>6500</v>
      </c>
      <c r="BB41" s="914"/>
      <c r="BC41" s="1078"/>
      <c r="BD41" s="1078"/>
      <c r="BE41" s="1078"/>
      <c r="BF41" s="1078"/>
      <c r="BG41" s="1078"/>
      <c r="BH41" s="1078"/>
      <c r="BI41" s="1078"/>
      <c r="BJ41" s="1078"/>
      <c r="BK41" s="1078"/>
      <c r="BL41" s="1078"/>
      <c r="BM41" s="1078"/>
      <c r="BN41" s="1078"/>
      <c r="BO41" s="1078"/>
      <c r="BP41" s="1078"/>
      <c r="BQ41" s="1078"/>
      <c r="BR41" s="914"/>
      <c r="BS41" s="942"/>
      <c r="BT41" s="1030">
        <v>6500</v>
      </c>
      <c r="BU41" s="943"/>
      <c r="BW41" s="1078"/>
      <c r="BX41" s="1078"/>
      <c r="BY41" s="1078"/>
      <c r="BZ41" s="1078"/>
      <c r="CA41" s="1078"/>
      <c r="CB41" s="914"/>
      <c r="CC41" s="942"/>
      <c r="CD41" s="1030">
        <v>0</v>
      </c>
      <c r="CE41" s="943"/>
      <c r="CF41" s="914"/>
      <c r="CG41" s="1078"/>
      <c r="CH41" s="1078"/>
      <c r="CI41" s="1078"/>
      <c r="CJ41" s="1078"/>
      <c r="CK41" s="1078"/>
      <c r="CL41" s="1078"/>
      <c r="CM41" s="1078"/>
      <c r="CN41" s="1078"/>
      <c r="CO41" s="1078"/>
      <c r="CP41" s="1078"/>
      <c r="CQ41" s="1078"/>
      <c r="CR41" s="1078"/>
      <c r="CS41" s="1078"/>
      <c r="CT41" s="1078"/>
      <c r="CU41" s="1078"/>
      <c r="CV41" s="1078"/>
      <c r="CW41" s="1078"/>
      <c r="CX41" s="1078"/>
      <c r="CY41" s="1078"/>
      <c r="CZ41" s="1078"/>
      <c r="DA41" s="1078"/>
      <c r="DB41" s="1078"/>
      <c r="DC41" s="1078"/>
      <c r="DD41" s="996"/>
      <c r="DE41" s="1078"/>
      <c r="DF41" s="996"/>
      <c r="DG41" s="1078"/>
      <c r="DH41" s="996"/>
      <c r="DI41" s="1078"/>
      <c r="DJ41" s="914"/>
      <c r="DK41" s="942"/>
      <c r="DL41" s="1006">
        <v>0</v>
      </c>
      <c r="DM41" s="973"/>
      <c r="DO41" s="946"/>
      <c r="DP41" s="1016">
        <v>6500</v>
      </c>
      <c r="DQ41" s="975"/>
      <c r="DT41" s="949"/>
      <c r="DU41" s="1031">
        <v>0</v>
      </c>
      <c r="DW41" s="1031">
        <v>0</v>
      </c>
      <c r="DY41" s="1031">
        <v>0</v>
      </c>
      <c r="EA41" s="1031">
        <v>0</v>
      </c>
      <c r="EB41" s="977"/>
      <c r="ED41" s="949"/>
      <c r="EE41" s="1031">
        <v>0</v>
      </c>
      <c r="EG41" s="1031">
        <v>0</v>
      </c>
      <c r="EI41" s="1031">
        <v>0</v>
      </c>
      <c r="EK41" s="1031">
        <v>0</v>
      </c>
      <c r="EL41" s="977"/>
      <c r="EO41" s="1000"/>
      <c r="EP41" s="937"/>
      <c r="EQ41" s="917"/>
      <c r="ER41" s="913"/>
      <c r="ET41" s="917"/>
      <c r="EU41" s="913"/>
      <c r="EW41" s="990"/>
      <c r="EX41" s="913"/>
      <c r="EZ41" s="913"/>
      <c r="FB41" s="913"/>
      <c r="FC41" s="913"/>
      <c r="FE41" s="913"/>
      <c r="FF41" s="913"/>
    </row>
    <row r="42" spans="1:162" s="918" customFormat="1">
      <c r="C42" s="968"/>
      <c r="G42" s="970" t="e">
        <f>IF(I41&gt;0,MAX($G$12:G41)+1,"")</f>
        <v>#REF!</v>
      </c>
      <c r="H42" s="971" t="s">
        <v>724</v>
      </c>
      <c r="I42" s="971"/>
      <c r="K42" s="1032"/>
      <c r="L42" s="1010"/>
      <c r="M42" s="1032"/>
      <c r="N42" s="1010"/>
      <c r="O42" s="1032"/>
      <c r="P42" s="1010"/>
      <c r="Q42" s="1032"/>
      <c r="R42" s="1010"/>
      <c r="S42" s="1032"/>
      <c r="T42" s="1010"/>
      <c r="U42" s="1032"/>
      <c r="V42" s="1010"/>
      <c r="W42" s="1032"/>
      <c r="X42" s="1010"/>
      <c r="Y42" s="1032"/>
      <c r="Z42" s="1010"/>
      <c r="AA42" s="1032"/>
      <c r="AB42" s="1010"/>
      <c r="AC42" s="1032"/>
      <c r="AD42" s="1010"/>
      <c r="AE42" s="1032"/>
      <c r="AF42" s="1010"/>
      <c r="AG42" s="1032"/>
      <c r="AH42" s="1010"/>
      <c r="AI42" s="1032"/>
      <c r="AJ42" s="1010"/>
      <c r="AK42" s="1032"/>
      <c r="AL42" s="1010"/>
      <c r="AM42" s="1032"/>
      <c r="AN42" s="1010"/>
      <c r="AO42" s="1032"/>
      <c r="AP42" s="1010"/>
      <c r="AQ42" s="1032"/>
      <c r="AR42" s="1010"/>
      <c r="AS42" s="1032"/>
      <c r="AT42" s="1010"/>
      <c r="AU42" s="1032"/>
      <c r="AV42" s="1010"/>
      <c r="AW42" s="1032"/>
      <c r="AX42" s="1009"/>
      <c r="AY42" s="1033"/>
      <c r="BA42" s="1034">
        <f>SUM(BA40:BA41)</f>
        <v>10500</v>
      </c>
      <c r="BC42" s="1033"/>
      <c r="BD42" s="1009"/>
      <c r="BE42" s="1033"/>
      <c r="BF42" s="1010"/>
      <c r="BG42" s="1032"/>
      <c r="BH42" s="1010"/>
      <c r="BI42" s="1032"/>
      <c r="BJ42" s="1010"/>
      <c r="BK42" s="1032"/>
      <c r="BL42" s="1010"/>
      <c r="BM42" s="1032"/>
      <c r="BN42" s="1010"/>
      <c r="BO42" s="1032"/>
      <c r="BP42" s="1010"/>
      <c r="BQ42" s="1032"/>
      <c r="BS42" s="972"/>
      <c r="BT42" s="1034">
        <f>SUM(BT40:BT41)</f>
        <v>10500</v>
      </c>
      <c r="BU42" s="973"/>
      <c r="BW42" s="1032"/>
      <c r="BX42" s="1010"/>
      <c r="BY42" s="1033"/>
      <c r="BZ42" s="1009"/>
      <c r="CA42" s="1032"/>
      <c r="CC42" s="972"/>
      <c r="CD42" s="1034">
        <f>SUM(CD40:CD41)</f>
        <v>0</v>
      </c>
      <c r="CE42" s="973"/>
      <c r="CG42" s="1032"/>
      <c r="CH42" s="1010"/>
      <c r="CI42" s="1032"/>
      <c r="CJ42" s="1010"/>
      <c r="CK42" s="1032"/>
      <c r="CL42" s="1010"/>
      <c r="CM42" s="1032"/>
      <c r="CN42" s="1010"/>
      <c r="CO42" s="1032"/>
      <c r="CP42" s="1010"/>
      <c r="CQ42" s="1032"/>
      <c r="CR42" s="1010"/>
      <c r="CS42" s="1032"/>
      <c r="CT42" s="1010"/>
      <c r="CU42" s="1032"/>
      <c r="CV42" s="1010"/>
      <c r="CW42" s="1033"/>
      <c r="CX42" s="1009"/>
      <c r="CY42" s="1033"/>
      <c r="CZ42" s="1010"/>
      <c r="DA42" s="1032"/>
      <c r="DB42" s="1010"/>
      <c r="DC42" s="1032"/>
      <c r="DD42" s="1010"/>
      <c r="DE42" s="1032"/>
      <c r="DF42" s="1010"/>
      <c r="DG42" s="1032"/>
      <c r="DH42" s="1010"/>
      <c r="DI42" s="1032"/>
      <c r="DK42" s="972"/>
      <c r="DL42" s="1034">
        <f>SUM(DL40:DL41)</f>
        <v>0</v>
      </c>
      <c r="DM42" s="973"/>
      <c r="DO42" s="974"/>
      <c r="DP42" s="1075">
        <f>SUM(BT42,CD42,DL42)</f>
        <v>10500</v>
      </c>
      <c r="DQ42" s="975"/>
      <c r="DT42" s="976"/>
      <c r="DU42" s="1034">
        <f>SUM(DU40:DU41)</f>
        <v>0</v>
      </c>
      <c r="DW42" s="1034">
        <f>SUM(DW40:DW41)</f>
        <v>0</v>
      </c>
      <c r="DY42" s="1034">
        <f>SUM(DY40:DY41)</f>
        <v>0</v>
      </c>
      <c r="EA42" s="1034">
        <f t="shared" ref="EA42" si="6">SUM(DU42,DW42,DY42)</f>
        <v>0</v>
      </c>
      <c r="EB42" s="977"/>
      <c r="ED42" s="976"/>
      <c r="EE42" s="1034">
        <f>SUM(EE40:EE41)</f>
        <v>0</v>
      </c>
      <c r="EG42" s="1034">
        <f>SUM(EG40:EG41)</f>
        <v>0</v>
      </c>
      <c r="EI42" s="1034">
        <f>SUM(EI40:EI41)</f>
        <v>0</v>
      </c>
      <c r="EK42" s="1034">
        <f t="shared" ref="EK42" si="7">SUM(EE42,EG42,EI42)</f>
        <v>0</v>
      </c>
      <c r="EL42" s="977"/>
      <c r="EO42" s="1000"/>
      <c r="EP42" s="937"/>
      <c r="EQ42" s="917">
        <f>'[21]FY26-FY28_HoldCo Budget Proj'!P44-BT42</f>
        <v>0</v>
      </c>
      <c r="ER42" s="990" t="s">
        <v>709</v>
      </c>
      <c r="ET42" s="990" t="s">
        <v>709</v>
      </c>
      <c r="EU42" s="990" t="s">
        <v>709</v>
      </c>
      <c r="EW42" s="990" t="s">
        <v>709</v>
      </c>
      <c r="EX42" s="990" t="s">
        <v>709</v>
      </c>
      <c r="EZ42" s="913">
        <f>SUM(DP40:DP41)-DP42</f>
        <v>0</v>
      </c>
      <c r="FB42" s="913" t="s">
        <v>709</v>
      </c>
      <c r="FC42" s="913" t="s">
        <v>709</v>
      </c>
      <c r="FE42" s="913" t="s">
        <v>709</v>
      </c>
      <c r="FF42" s="913" t="s">
        <v>709</v>
      </c>
    </row>
    <row r="43" spans="1:162" s="918" customFormat="1" ht="5.0999999999999996" customHeight="1">
      <c r="C43" s="968"/>
      <c r="G43" s="970" t="str">
        <f>IF(I42&gt;0,MAX($G$12:G42)+1,"")</f>
        <v/>
      </c>
      <c r="H43" s="971"/>
      <c r="I43" s="971"/>
      <c r="K43" s="1025"/>
      <c r="M43" s="1025"/>
      <c r="O43" s="1025"/>
      <c r="Q43" s="1025"/>
      <c r="S43" s="1025"/>
      <c r="U43" s="1025"/>
      <c r="W43" s="1025"/>
      <c r="Y43" s="1025"/>
      <c r="AA43" s="1025"/>
      <c r="AC43" s="1025"/>
      <c r="AE43" s="1025"/>
      <c r="AG43" s="1025"/>
      <c r="AI43" s="1025"/>
      <c r="AK43" s="1025"/>
      <c r="AM43" s="1025"/>
      <c r="AO43" s="1025"/>
      <c r="AQ43" s="1025"/>
      <c r="AS43" s="1025"/>
      <c r="AU43" s="1025"/>
      <c r="AW43" s="1025"/>
      <c r="AX43" s="970"/>
      <c r="AY43" s="1026"/>
      <c r="AZ43" s="970"/>
      <c r="BA43" s="1026"/>
      <c r="BB43" s="970"/>
      <c r="BC43" s="1026"/>
      <c r="BD43" s="970"/>
      <c r="BE43" s="1026"/>
      <c r="BG43" s="1025"/>
      <c r="BI43" s="1025"/>
      <c r="BK43" s="1025"/>
      <c r="BM43" s="1025"/>
      <c r="BO43" s="1025"/>
      <c r="BQ43" s="1025"/>
      <c r="BS43" s="972"/>
      <c r="BT43" s="1025"/>
      <c r="BU43" s="973"/>
      <c r="BW43" s="1025"/>
      <c r="BY43" s="1026"/>
      <c r="BZ43" s="970"/>
      <c r="CA43" s="1025"/>
      <c r="CC43" s="972"/>
      <c r="CD43" s="1025"/>
      <c r="CE43" s="973"/>
      <c r="CG43" s="1025"/>
      <c r="CI43" s="1025"/>
      <c r="CK43" s="1025"/>
      <c r="CM43" s="1025"/>
      <c r="CO43" s="1025"/>
      <c r="CQ43" s="1025"/>
      <c r="CS43" s="1025"/>
      <c r="CU43" s="1025"/>
      <c r="CW43" s="1026"/>
      <c r="CX43" s="970"/>
      <c r="CY43" s="1026"/>
      <c r="DA43" s="1025"/>
      <c r="DC43" s="1025"/>
      <c r="DE43" s="1025"/>
      <c r="DG43" s="1025"/>
      <c r="DI43" s="1025"/>
      <c r="DK43" s="972"/>
      <c r="DL43" s="1025"/>
      <c r="DM43" s="973"/>
      <c r="DO43" s="974"/>
      <c r="DP43" s="1025"/>
      <c r="DQ43" s="975"/>
      <c r="DT43" s="976"/>
      <c r="DU43" s="1025"/>
      <c r="DW43" s="1025"/>
      <c r="DY43" s="1025"/>
      <c r="EA43" s="1025"/>
      <c r="EB43" s="977"/>
      <c r="ED43" s="976"/>
      <c r="EE43" s="1025"/>
      <c r="EG43" s="1025"/>
      <c r="EI43" s="1025"/>
      <c r="EK43" s="1025"/>
      <c r="EL43" s="977"/>
      <c r="EO43" s="1000"/>
      <c r="EP43" s="937"/>
      <c r="EQ43" s="917"/>
      <c r="ER43" s="913"/>
      <c r="ET43" s="917"/>
      <c r="EU43" s="913"/>
      <c r="EW43" s="990"/>
      <c r="EX43" s="913"/>
      <c r="EZ43" s="913"/>
      <c r="FB43" s="913"/>
      <c r="FC43" s="913"/>
      <c r="FE43" s="913"/>
      <c r="FF43" s="913"/>
    </row>
    <row r="44" spans="1:162" s="918" customFormat="1">
      <c r="C44" s="968"/>
      <c r="G44" s="970" t="str">
        <f>IF(I43&gt;0,MAX($G$12:G43)+1,"")</f>
        <v/>
      </c>
      <c r="H44" s="971" t="s">
        <v>725</v>
      </c>
      <c r="I44" s="971"/>
      <c r="K44" s="1025"/>
      <c r="M44" s="1025"/>
      <c r="O44" s="1025"/>
      <c r="Q44" s="1025"/>
      <c r="S44" s="1025"/>
      <c r="U44" s="1025"/>
      <c r="W44" s="1025"/>
      <c r="Y44" s="1025"/>
      <c r="AA44" s="1025"/>
      <c r="AC44" s="1025"/>
      <c r="AE44" s="1025"/>
      <c r="AG44" s="1025"/>
      <c r="AI44" s="1025"/>
      <c r="AK44" s="1025"/>
      <c r="AM44" s="1025"/>
      <c r="AO44" s="1025"/>
      <c r="AQ44" s="1025"/>
      <c r="AS44" s="1025"/>
      <c r="AU44" s="1025"/>
      <c r="AW44" s="1025"/>
      <c r="AX44" s="970"/>
      <c r="AY44" s="1026"/>
      <c r="AZ44" s="970"/>
      <c r="BA44" s="1026"/>
      <c r="BB44" s="970"/>
      <c r="BC44" s="1026"/>
      <c r="BD44" s="970"/>
      <c r="BE44" s="1026"/>
      <c r="BG44" s="1025"/>
      <c r="BI44" s="1025"/>
      <c r="BK44" s="1025"/>
      <c r="BM44" s="1025"/>
      <c r="BO44" s="1025"/>
      <c r="BQ44" s="1025"/>
      <c r="BS44" s="972"/>
      <c r="BT44" s="1025"/>
      <c r="BU44" s="973"/>
      <c r="BW44" s="1025"/>
      <c r="BY44" s="1026"/>
      <c r="BZ44" s="970"/>
      <c r="CA44" s="1025"/>
      <c r="CC44" s="972"/>
      <c r="CD44" s="1025"/>
      <c r="CE44" s="973"/>
      <c r="CG44" s="1025"/>
      <c r="CI44" s="1025"/>
      <c r="CK44" s="1025"/>
      <c r="CM44" s="1025"/>
      <c r="CO44" s="1025"/>
      <c r="CQ44" s="1025"/>
      <c r="CS44" s="1025"/>
      <c r="CU44" s="1025"/>
      <c r="CW44" s="1026"/>
      <c r="CX44" s="970"/>
      <c r="CY44" s="1026"/>
      <c r="DA44" s="1025"/>
      <c r="DC44" s="1025"/>
      <c r="DE44" s="1025"/>
      <c r="DG44" s="1025"/>
      <c r="DI44" s="1025"/>
      <c r="DK44" s="972"/>
      <c r="DL44" s="1025"/>
      <c r="DM44" s="973"/>
      <c r="DO44" s="974"/>
      <c r="DP44" s="1025"/>
      <c r="DQ44" s="975"/>
      <c r="DT44" s="976"/>
      <c r="DU44" s="1025"/>
      <c r="DW44" s="1025"/>
      <c r="DY44" s="1025"/>
      <c r="EA44" s="1025"/>
      <c r="EB44" s="977"/>
      <c r="ED44" s="976"/>
      <c r="EE44" s="1025"/>
      <c r="EG44" s="1025"/>
      <c r="EI44" s="1025"/>
      <c r="EK44" s="1025"/>
      <c r="EL44" s="977"/>
      <c r="EO44" s="1000"/>
      <c r="EP44" s="937"/>
      <c r="EQ44" s="917"/>
      <c r="ER44" s="913"/>
      <c r="ET44" s="917"/>
      <c r="EU44" s="913"/>
      <c r="EW44" s="990"/>
      <c r="EX44" s="913"/>
      <c r="EZ44" s="913"/>
      <c r="FB44" s="913"/>
      <c r="FC44" s="913"/>
      <c r="FE44" s="913"/>
      <c r="FF44" s="913"/>
    </row>
    <row r="45" spans="1:162" s="918" customFormat="1" ht="17.25">
      <c r="C45" s="968"/>
      <c r="G45" s="916" t="str">
        <f>IF(I44&gt;0,MAX($G$12:G44)+1,"")</f>
        <v/>
      </c>
      <c r="H45" s="906" t="s">
        <v>726</v>
      </c>
      <c r="I45" s="906" t="s">
        <v>727</v>
      </c>
      <c r="K45" s="1078"/>
      <c r="L45" s="1078"/>
      <c r="M45" s="1078"/>
      <c r="N45" s="1078"/>
      <c r="O45" s="1078"/>
      <c r="P45" s="1078"/>
      <c r="Q45" s="1078"/>
      <c r="R45" s="1078"/>
      <c r="S45" s="1078"/>
      <c r="T45" s="1078"/>
      <c r="U45" s="1078"/>
      <c r="V45" s="1078"/>
      <c r="W45" s="1078"/>
      <c r="X45" s="1078"/>
      <c r="Y45" s="1078"/>
      <c r="Z45" s="1078"/>
      <c r="AA45" s="1078"/>
      <c r="AB45" s="1078"/>
      <c r="AC45" s="1078"/>
      <c r="AD45" s="1078"/>
      <c r="AE45" s="1078"/>
      <c r="AF45" s="1078"/>
      <c r="AG45" s="1078"/>
      <c r="AH45" s="1078"/>
      <c r="AI45" s="1078"/>
      <c r="AJ45" s="1078"/>
      <c r="AK45" s="1078"/>
      <c r="AL45" s="1078"/>
      <c r="AM45" s="1078"/>
      <c r="AN45" s="1078"/>
      <c r="AO45" s="1078"/>
      <c r="AP45" s="1078"/>
      <c r="AQ45" s="1078"/>
      <c r="AR45" s="1078"/>
      <c r="AS45" s="1078"/>
      <c r="AT45" s="1078"/>
      <c r="AU45" s="1078"/>
      <c r="AV45" s="1078"/>
      <c r="AW45" s="1078"/>
      <c r="AX45" s="1078"/>
      <c r="AY45" s="1078"/>
      <c r="AZ45" s="1078"/>
      <c r="BA45" s="1078"/>
      <c r="BB45" s="1078"/>
      <c r="BC45" s="1078"/>
      <c r="BD45" s="1078"/>
      <c r="BE45" s="1078"/>
      <c r="BF45" s="1078"/>
      <c r="BG45" s="1078"/>
      <c r="BH45" s="1078"/>
      <c r="BI45" s="1078"/>
      <c r="BJ45" s="914"/>
      <c r="BK45" s="1028">
        <f>'[21]FY26-FY28_HoldCo Budget Proj'!P47</f>
        <v>18700</v>
      </c>
      <c r="BL45" s="914"/>
      <c r="BM45" s="1078"/>
      <c r="BN45" s="1078"/>
      <c r="BO45" s="1078"/>
      <c r="BP45" s="1078"/>
      <c r="BQ45" s="1078"/>
      <c r="BR45" s="914"/>
      <c r="BS45" s="942"/>
      <c r="BT45" s="1029">
        <v>18700</v>
      </c>
      <c r="BU45" s="943"/>
      <c r="BW45" s="1078"/>
      <c r="BX45" s="1078"/>
      <c r="BY45" s="1078"/>
      <c r="BZ45" s="1078"/>
      <c r="CA45" s="1078"/>
      <c r="CB45" s="914"/>
      <c r="CC45" s="942"/>
      <c r="CD45" s="1029">
        <v>0</v>
      </c>
      <c r="CE45" s="943"/>
      <c r="CF45" s="914"/>
      <c r="CG45" s="1078"/>
      <c r="CH45" s="1078"/>
      <c r="CI45" s="1078"/>
      <c r="CJ45" s="1078"/>
      <c r="CK45" s="1078"/>
      <c r="CL45" s="1078"/>
      <c r="CM45" s="1078"/>
      <c r="CN45" s="1078"/>
      <c r="CO45" s="1078"/>
      <c r="CP45" s="1078"/>
      <c r="CQ45" s="1078"/>
      <c r="CR45" s="1078"/>
      <c r="CS45" s="1078"/>
      <c r="CT45" s="1078"/>
      <c r="CU45" s="1078"/>
      <c r="CV45" s="1078"/>
      <c r="CW45" s="1078"/>
      <c r="CX45" s="1078"/>
      <c r="CY45" s="1078"/>
      <c r="CZ45" s="1078"/>
      <c r="DA45" s="1078"/>
      <c r="DB45" s="1078"/>
      <c r="DC45" s="1078"/>
      <c r="DD45" s="996"/>
      <c r="DE45" s="1078"/>
      <c r="DF45" s="996"/>
      <c r="DG45" s="1078"/>
      <c r="DH45" s="996"/>
      <c r="DI45" s="1078"/>
      <c r="DJ45" s="914"/>
      <c r="DK45" s="942"/>
      <c r="DL45" s="1029">
        <v>0</v>
      </c>
      <c r="DM45" s="973"/>
      <c r="DO45" s="946"/>
      <c r="DP45" s="1029">
        <v>18700</v>
      </c>
      <c r="DQ45" s="975"/>
      <c r="DT45" s="949"/>
      <c r="DU45" s="1029">
        <v>11150</v>
      </c>
      <c r="DW45" s="1029">
        <v>0</v>
      </c>
      <c r="DY45" s="1029">
        <v>0</v>
      </c>
      <c r="EA45" s="1029">
        <v>11150</v>
      </c>
      <c r="EB45" s="977"/>
      <c r="ED45" s="949"/>
      <c r="EE45" s="1029">
        <v>7050</v>
      </c>
      <c r="EG45" s="1029">
        <v>0</v>
      </c>
      <c r="EI45" s="1029">
        <v>0</v>
      </c>
      <c r="EK45" s="1029">
        <v>7050</v>
      </c>
      <c r="EL45" s="977"/>
      <c r="EO45" s="1000"/>
      <c r="EP45" s="937"/>
      <c r="EQ45" s="917"/>
      <c r="ER45" s="913"/>
      <c r="ET45" s="917"/>
      <c r="EU45" s="913"/>
      <c r="EW45" s="990"/>
      <c r="EX45" s="913"/>
      <c r="EZ45" s="913"/>
      <c r="FB45" s="913"/>
      <c r="FC45" s="913"/>
      <c r="FE45" s="913"/>
      <c r="FF45" s="913"/>
    </row>
    <row r="46" spans="1:162" s="918" customFormat="1">
      <c r="C46" s="968"/>
      <c r="G46" s="916" t="e">
        <f>IF(I45&gt;0,MAX($G$12:G45)+1,"")</f>
        <v>#REF!</v>
      </c>
      <c r="H46" s="906" t="s">
        <v>321</v>
      </c>
      <c r="I46" s="906" t="s">
        <v>727</v>
      </c>
      <c r="K46" s="1078"/>
      <c r="L46" s="1078"/>
      <c r="M46" s="1078"/>
      <c r="N46" s="1078"/>
      <c r="O46" s="1078"/>
      <c r="P46" s="1078"/>
      <c r="Q46" s="1078"/>
      <c r="R46" s="1078"/>
      <c r="S46" s="1078"/>
      <c r="T46" s="1078"/>
      <c r="U46" s="1078"/>
      <c r="V46" s="1078"/>
      <c r="W46" s="1078"/>
      <c r="X46" s="1078"/>
      <c r="Y46" s="1078"/>
      <c r="Z46" s="1078"/>
      <c r="AA46" s="1078"/>
      <c r="AB46" s="1078"/>
      <c r="AC46" s="1078"/>
      <c r="AD46" s="1078"/>
      <c r="AE46" s="1078"/>
      <c r="AF46" s="1078"/>
      <c r="AG46" s="1078"/>
      <c r="AH46" s="1078"/>
      <c r="AI46" s="1078"/>
      <c r="AJ46" s="1078"/>
      <c r="AK46" s="1078"/>
      <c r="AL46" s="1078"/>
      <c r="AM46" s="1078"/>
      <c r="AN46" s="1078"/>
      <c r="AO46" s="1078"/>
      <c r="AP46" s="1078"/>
      <c r="AQ46" s="1078"/>
      <c r="AR46" s="1078"/>
      <c r="AS46" s="1078"/>
      <c r="AT46" s="1078"/>
      <c r="AU46" s="1078"/>
      <c r="AV46" s="1078"/>
      <c r="AW46" s="1078"/>
      <c r="AX46" s="1078"/>
      <c r="AY46" s="1078"/>
      <c r="AZ46" s="1078"/>
      <c r="BA46" s="1078"/>
      <c r="BB46" s="1078"/>
      <c r="BC46" s="1078"/>
      <c r="BD46" s="1078"/>
      <c r="BE46" s="1078"/>
      <c r="BF46" s="1078"/>
      <c r="BG46" s="1078"/>
      <c r="BH46" s="1078"/>
      <c r="BI46" s="1078"/>
      <c r="BJ46" s="914"/>
      <c r="BK46" s="1035">
        <f>'[21]FY26-FY28_HoldCo Budget Proj'!P49</f>
        <v>28968.273000000001</v>
      </c>
      <c r="BL46" s="914"/>
      <c r="BM46" s="1078"/>
      <c r="BN46" s="1078"/>
      <c r="BO46" s="1078"/>
      <c r="BP46" s="1078"/>
      <c r="BQ46" s="1078"/>
      <c r="BR46" s="914"/>
      <c r="BS46" s="942"/>
      <c r="BT46" s="1031">
        <v>28968.273000000001</v>
      </c>
      <c r="BU46" s="943"/>
      <c r="BW46" s="1078"/>
      <c r="BX46" s="1078"/>
      <c r="BY46" s="1078"/>
      <c r="BZ46" s="1078"/>
      <c r="CA46" s="1078"/>
      <c r="CB46" s="914"/>
      <c r="CC46" s="942"/>
      <c r="CD46" s="1031">
        <v>0</v>
      </c>
      <c r="CE46" s="943"/>
      <c r="CF46" s="914"/>
      <c r="CG46" s="1078"/>
      <c r="CH46" s="1078"/>
      <c r="CI46" s="1078"/>
      <c r="CJ46" s="1078"/>
      <c r="CK46" s="1078"/>
      <c r="CL46" s="1078"/>
      <c r="CM46" s="1078"/>
      <c r="CN46" s="1078"/>
      <c r="CO46" s="1078"/>
      <c r="CP46" s="1078"/>
      <c r="CQ46" s="1078"/>
      <c r="CR46" s="1078"/>
      <c r="CS46" s="1078"/>
      <c r="CT46" s="1078"/>
      <c r="CU46" s="1078"/>
      <c r="CV46" s="1078"/>
      <c r="CW46" s="1078"/>
      <c r="CX46" s="1078"/>
      <c r="CY46" s="1078"/>
      <c r="CZ46" s="1078"/>
      <c r="DA46" s="1078"/>
      <c r="DB46" s="1078"/>
      <c r="DC46" s="1078"/>
      <c r="DD46" s="996"/>
      <c r="DE46" s="1078"/>
      <c r="DF46" s="996"/>
      <c r="DG46" s="1078"/>
      <c r="DH46" s="996"/>
      <c r="DI46" s="1078"/>
      <c r="DJ46" s="914"/>
      <c r="DK46" s="942"/>
      <c r="DL46" s="1063">
        <v>0</v>
      </c>
      <c r="DM46" s="973"/>
      <c r="DO46" s="946"/>
      <c r="DP46" s="1031">
        <v>28968.273000000001</v>
      </c>
      <c r="DQ46" s="975"/>
      <c r="DT46" s="949"/>
      <c r="DU46" s="1036">
        <v>19600</v>
      </c>
      <c r="DW46" s="1036">
        <v>0</v>
      </c>
      <c r="DY46" s="1031">
        <v>0</v>
      </c>
      <c r="EA46" s="1031">
        <v>19600</v>
      </c>
      <c r="EB46" s="977"/>
      <c r="ED46" s="949"/>
      <c r="EE46" s="1031">
        <v>5000</v>
      </c>
      <c r="EG46" s="1031">
        <v>0</v>
      </c>
      <c r="EI46" s="1031">
        <v>0</v>
      </c>
      <c r="EK46" s="1031">
        <v>5000</v>
      </c>
      <c r="EL46" s="977"/>
      <c r="EO46" s="1000"/>
      <c r="EP46" s="937"/>
      <c r="EQ46" s="917"/>
      <c r="ER46" s="913"/>
      <c r="ET46" s="917"/>
      <c r="EU46" s="913"/>
      <c r="EW46" s="990"/>
      <c r="EX46" s="913"/>
      <c r="EZ46" s="913"/>
      <c r="FB46" s="913"/>
      <c r="FC46" s="913"/>
      <c r="FE46" s="913"/>
      <c r="FF46" s="913"/>
    </row>
    <row r="47" spans="1:162" s="918" customFormat="1">
      <c r="C47" s="968"/>
      <c r="G47" s="970" t="e">
        <f>IF(I46&gt;0,MAX($G$12:G46)+1,"")</f>
        <v>#REF!</v>
      </c>
      <c r="H47" s="971" t="s">
        <v>728</v>
      </c>
      <c r="I47" s="971"/>
      <c r="K47" s="1032"/>
      <c r="L47" s="1010"/>
      <c r="M47" s="1032"/>
      <c r="N47" s="1010"/>
      <c r="O47" s="1032"/>
      <c r="P47" s="1010"/>
      <c r="Q47" s="1032"/>
      <c r="R47" s="1010"/>
      <c r="S47" s="1032"/>
      <c r="T47" s="1010"/>
      <c r="U47" s="1032"/>
      <c r="V47" s="1010"/>
      <c r="W47" s="1032"/>
      <c r="X47" s="1010"/>
      <c r="Y47" s="1032"/>
      <c r="Z47" s="1010"/>
      <c r="AA47" s="1032"/>
      <c r="AB47" s="1010"/>
      <c r="AC47" s="1032"/>
      <c r="AD47" s="1010"/>
      <c r="AE47" s="1032"/>
      <c r="AF47" s="1010"/>
      <c r="AG47" s="1032"/>
      <c r="AH47" s="1010"/>
      <c r="AI47" s="1032"/>
      <c r="AJ47" s="1010"/>
      <c r="AK47" s="1032"/>
      <c r="AL47" s="1010"/>
      <c r="AM47" s="1032"/>
      <c r="AN47" s="1010"/>
      <c r="AO47" s="1032"/>
      <c r="AP47" s="1010"/>
      <c r="AQ47" s="1032"/>
      <c r="AR47" s="1010"/>
      <c r="AS47" s="1032"/>
      <c r="AT47" s="1010"/>
      <c r="AU47" s="1032"/>
      <c r="AV47" s="1010"/>
      <c r="AW47" s="1032"/>
      <c r="AX47" s="1009"/>
      <c r="AY47" s="1033"/>
      <c r="AZ47" s="1009"/>
      <c r="BA47" s="1033"/>
      <c r="BB47" s="1009"/>
      <c r="BC47" s="1033"/>
      <c r="BD47" s="1009"/>
      <c r="BE47" s="1033"/>
      <c r="BF47" s="1010"/>
      <c r="BG47" s="1032"/>
      <c r="BH47" s="1010"/>
      <c r="BI47" s="1032"/>
      <c r="BK47" s="1034">
        <f>SUM(BK45:BK46)</f>
        <v>47668.273000000001</v>
      </c>
      <c r="BM47" s="1032"/>
      <c r="BN47" s="1010"/>
      <c r="BO47" s="1032"/>
      <c r="BP47" s="1010"/>
      <c r="BQ47" s="1032"/>
      <c r="BS47" s="972"/>
      <c r="BT47" s="1034">
        <f>SUM(BT45:BT46)</f>
        <v>47668.273000000001</v>
      </c>
      <c r="BU47" s="973"/>
      <c r="BW47" s="1032"/>
      <c r="BX47" s="1010"/>
      <c r="BY47" s="1033"/>
      <c r="BZ47" s="1009"/>
      <c r="CA47" s="1032"/>
      <c r="CC47" s="972"/>
      <c r="CD47" s="1034">
        <f>SUM(CD45:CD46)</f>
        <v>0</v>
      </c>
      <c r="CE47" s="973"/>
      <c r="CG47" s="1032"/>
      <c r="CH47" s="1010"/>
      <c r="CI47" s="1032"/>
      <c r="CJ47" s="1010"/>
      <c r="CK47" s="1032"/>
      <c r="CL47" s="1010"/>
      <c r="CM47" s="1032"/>
      <c r="CN47" s="1010"/>
      <c r="CO47" s="1032"/>
      <c r="CP47" s="1010"/>
      <c r="CQ47" s="1032"/>
      <c r="CR47" s="1010"/>
      <c r="CS47" s="1032"/>
      <c r="CT47" s="1010"/>
      <c r="CU47" s="1032"/>
      <c r="CV47" s="1010"/>
      <c r="CW47" s="1033"/>
      <c r="CX47" s="1009"/>
      <c r="CY47" s="1033"/>
      <c r="CZ47" s="1010"/>
      <c r="DA47" s="1032"/>
      <c r="DB47" s="1010"/>
      <c r="DC47" s="1032"/>
      <c r="DD47" s="1010"/>
      <c r="DE47" s="1032"/>
      <c r="DF47" s="1010"/>
      <c r="DG47" s="1032"/>
      <c r="DH47" s="1010"/>
      <c r="DI47" s="1032"/>
      <c r="DK47" s="972"/>
      <c r="DL47" s="1034">
        <f>SUM(DL45:DL46)</f>
        <v>0</v>
      </c>
      <c r="DM47" s="973"/>
      <c r="DO47" s="974"/>
      <c r="DP47" s="1034">
        <f>SUM(BT47,CD47,DL47)</f>
        <v>47668.273000000001</v>
      </c>
      <c r="DQ47" s="975"/>
      <c r="DT47" s="976"/>
      <c r="DU47" s="1034">
        <f>SUM(DU45:DU46)</f>
        <v>30750</v>
      </c>
      <c r="DW47" s="1034">
        <f>SUM(DW45:DW46)</f>
        <v>0</v>
      </c>
      <c r="DY47" s="1034">
        <f>SUM(DY45:DY46)</f>
        <v>0</v>
      </c>
      <c r="EA47" s="1034">
        <f t="shared" ref="EA47" si="8">SUM(DU47,DW47,DY47)</f>
        <v>30750</v>
      </c>
      <c r="EB47" s="977"/>
      <c r="ED47" s="976"/>
      <c r="EE47" s="1034">
        <f>SUM(EE45:EE46)</f>
        <v>12050</v>
      </c>
      <c r="EG47" s="1034">
        <f>SUM(EG45:EG46)</f>
        <v>0</v>
      </c>
      <c r="EI47" s="1034">
        <f>SUM(EI45:EI46)</f>
        <v>0</v>
      </c>
      <c r="EK47" s="1034">
        <f t="shared" ref="EK47" si="9">SUM(EE47,EG47,EI47)</f>
        <v>12050</v>
      </c>
      <c r="EL47" s="977"/>
      <c r="EO47" s="1000"/>
      <c r="EP47" s="937"/>
      <c r="EQ47" s="917">
        <f>'[21]FY26-FY28_HoldCo Budget Proj'!P50-BT47</f>
        <v>0</v>
      </c>
      <c r="ER47" s="913">
        <f>SUM(K47:BM47)-BT47</f>
        <v>0</v>
      </c>
      <c r="ET47" s="990" t="s">
        <v>709</v>
      </c>
      <c r="EU47" s="990" t="s">
        <v>709</v>
      </c>
      <c r="EW47" s="990" t="s">
        <v>709</v>
      </c>
      <c r="EX47" s="913">
        <f>SUM(CI47:DE47)-DL47</f>
        <v>0</v>
      </c>
      <c r="EZ47" s="913">
        <f>SUM(DP45:DP46)-DP47</f>
        <v>0</v>
      </c>
      <c r="FB47" s="913">
        <f>SUM('[21]FY26-FY28_HoldCo Budget Proj'!AD50)-DU47</f>
        <v>0</v>
      </c>
      <c r="FC47" s="913">
        <f>SUM(EA45:EA46)-EA47</f>
        <v>0</v>
      </c>
      <c r="FE47" s="913">
        <f>SUM('[21]FY26-FY28_HoldCo Budget Proj'!AF47:AF49)-EE47</f>
        <v>0</v>
      </c>
      <c r="FF47" s="913">
        <f>SUM(EK45:EK46)-EK47</f>
        <v>0</v>
      </c>
    </row>
    <row r="48" spans="1:162" s="918" customFormat="1" ht="5.0999999999999996" customHeight="1">
      <c r="C48" s="968"/>
      <c r="G48" s="970" t="str">
        <f>IF(I47&gt;0,MAX($G$12:G47)+1,"")</f>
        <v/>
      </c>
      <c r="H48" s="971"/>
      <c r="I48" s="971"/>
      <c r="K48" s="1025"/>
      <c r="M48" s="1025"/>
      <c r="O48" s="1025"/>
      <c r="Q48" s="1025"/>
      <c r="S48" s="1025"/>
      <c r="U48" s="1025"/>
      <c r="W48" s="1025"/>
      <c r="Y48" s="1025"/>
      <c r="AA48" s="1025"/>
      <c r="AC48" s="1025"/>
      <c r="AE48" s="1025"/>
      <c r="AG48" s="1025"/>
      <c r="AI48" s="1025"/>
      <c r="AK48" s="1025"/>
      <c r="AM48" s="1025"/>
      <c r="AO48" s="1025"/>
      <c r="AQ48" s="1025"/>
      <c r="AS48" s="1025"/>
      <c r="AU48" s="1025"/>
      <c r="AW48" s="1025"/>
      <c r="AX48" s="970"/>
      <c r="AY48" s="1026"/>
      <c r="AZ48" s="970"/>
      <c r="BA48" s="1026"/>
      <c r="BB48" s="970"/>
      <c r="BC48" s="1026"/>
      <c r="BD48" s="970"/>
      <c r="BE48" s="1026"/>
      <c r="BG48" s="1025"/>
      <c r="BI48" s="1025"/>
      <c r="BK48" s="1025"/>
      <c r="BM48" s="1025"/>
      <c r="BO48" s="1025"/>
      <c r="BQ48" s="1025"/>
      <c r="BS48" s="972"/>
      <c r="BT48" s="1025"/>
      <c r="BU48" s="973"/>
      <c r="BW48" s="1025"/>
      <c r="BY48" s="1026"/>
      <c r="BZ48" s="970"/>
      <c r="CA48" s="1025"/>
      <c r="CC48" s="972"/>
      <c r="CD48" s="1025"/>
      <c r="CE48" s="973"/>
      <c r="CG48" s="1025"/>
      <c r="CI48" s="1025"/>
      <c r="CK48" s="1025"/>
      <c r="CM48" s="1025"/>
      <c r="CO48" s="1025"/>
      <c r="CQ48" s="1025"/>
      <c r="CS48" s="1025"/>
      <c r="CU48" s="1025"/>
      <c r="CW48" s="1026"/>
      <c r="CX48" s="970"/>
      <c r="CY48" s="1026"/>
      <c r="DA48" s="1025"/>
      <c r="DC48" s="1025"/>
      <c r="DE48" s="1025"/>
      <c r="DG48" s="1025"/>
      <c r="DI48" s="1025"/>
      <c r="DK48" s="972"/>
      <c r="DL48" s="1025"/>
      <c r="DM48" s="973"/>
      <c r="DO48" s="974"/>
      <c r="DP48" s="1025"/>
      <c r="DQ48" s="975"/>
      <c r="DT48" s="976"/>
      <c r="DU48" s="1025"/>
      <c r="DW48" s="1025"/>
      <c r="DY48" s="1025"/>
      <c r="EA48" s="1025"/>
      <c r="EB48" s="977"/>
      <c r="ED48" s="976"/>
      <c r="EE48" s="1025"/>
      <c r="EG48" s="1025"/>
      <c r="EI48" s="1025"/>
      <c r="EK48" s="1025"/>
      <c r="EL48" s="977"/>
      <c r="EO48" s="1000"/>
      <c r="EP48" s="937"/>
      <c r="EQ48" s="917"/>
      <c r="ER48" s="913"/>
      <c r="ET48" s="917"/>
      <c r="EU48" s="913"/>
      <c r="EW48" s="990"/>
      <c r="EX48" s="913"/>
      <c r="EZ48" s="913"/>
      <c r="FB48" s="913"/>
      <c r="FC48" s="913"/>
      <c r="FE48" s="913"/>
      <c r="FF48" s="913"/>
    </row>
    <row r="49" spans="3:162" s="918" customFormat="1">
      <c r="C49" s="968"/>
      <c r="G49" s="970" t="str">
        <f>IF(I48&gt;0,MAX($G$12:G48)+1,"")</f>
        <v/>
      </c>
      <c r="H49" s="1037" t="s">
        <v>729</v>
      </c>
      <c r="I49" s="1037"/>
      <c r="K49" s="1023"/>
      <c r="M49" s="1023"/>
      <c r="O49" s="1023"/>
      <c r="Q49" s="1023"/>
      <c r="S49" s="1023"/>
      <c r="U49" s="1023"/>
      <c r="W49" s="1023"/>
      <c r="Y49" s="1023"/>
      <c r="AA49" s="1023"/>
      <c r="AC49" s="1023"/>
      <c r="AE49" s="1023"/>
      <c r="AG49" s="1023"/>
      <c r="AI49" s="1023"/>
      <c r="AK49" s="1023"/>
      <c r="AM49" s="1023"/>
      <c r="AO49" s="1023"/>
      <c r="AQ49" s="1023"/>
      <c r="AS49" s="1023"/>
      <c r="AU49" s="1023"/>
      <c r="AW49" s="1023"/>
      <c r="AY49" s="1023"/>
      <c r="BA49" s="1023"/>
      <c r="BC49" s="1023"/>
      <c r="BE49" s="1023"/>
      <c r="BG49" s="1023"/>
      <c r="BI49" s="1023"/>
      <c r="BK49" s="1023"/>
      <c r="BM49" s="1023"/>
      <c r="BO49" s="1023"/>
      <c r="BQ49" s="1023"/>
      <c r="BS49" s="972"/>
      <c r="BT49" s="1023"/>
      <c r="BU49" s="973"/>
      <c r="BW49" s="1023"/>
      <c r="BY49" s="1023"/>
      <c r="CA49" s="1023"/>
      <c r="CC49" s="972"/>
      <c r="CD49" s="1023"/>
      <c r="CE49" s="973"/>
      <c r="CG49" s="1023"/>
      <c r="CI49" s="1023"/>
      <c r="CK49" s="1023"/>
      <c r="CM49" s="1023"/>
      <c r="CO49" s="1023"/>
      <c r="CQ49" s="1023"/>
      <c r="CS49" s="1023"/>
      <c r="CU49" s="1023"/>
      <c r="CW49" s="1038"/>
      <c r="CX49" s="970"/>
      <c r="CY49" s="1038"/>
      <c r="DA49" s="1023"/>
      <c r="DC49" s="1023"/>
      <c r="DE49" s="1023"/>
      <c r="DG49" s="1023"/>
      <c r="DI49" s="1023"/>
      <c r="DK49" s="972"/>
      <c r="DL49" s="1023"/>
      <c r="DM49" s="973"/>
      <c r="DO49" s="974"/>
      <c r="DP49" s="1023"/>
      <c r="DQ49" s="975"/>
      <c r="DT49" s="976"/>
      <c r="DU49" s="1023"/>
      <c r="DW49" s="1023"/>
      <c r="DY49" s="1023"/>
      <c r="EA49" s="1023"/>
      <c r="EB49" s="977"/>
      <c r="ED49" s="976"/>
      <c r="EE49" s="1023"/>
      <c r="EG49" s="1023"/>
      <c r="EI49" s="1023"/>
      <c r="EK49" s="1023"/>
      <c r="EL49" s="977"/>
      <c r="EO49" s="1000"/>
      <c r="EP49" s="937"/>
      <c r="EQ49" s="990"/>
      <c r="ER49" s="990"/>
      <c r="ET49" s="990"/>
      <c r="EU49" s="990"/>
      <c r="EW49" s="990"/>
      <c r="EX49" s="990"/>
      <c r="EZ49" s="913"/>
      <c r="FB49" s="913"/>
      <c r="FC49" s="913"/>
      <c r="FE49" s="913"/>
      <c r="FF49" s="913"/>
    </row>
    <row r="50" spans="3:162" ht="17.25">
      <c r="G50" s="916" t="str">
        <f>IF(I49&gt;0,MAX($G$12:G49)+1,"")</f>
        <v/>
      </c>
      <c r="H50" s="1039" t="s">
        <v>730</v>
      </c>
      <c r="I50" s="80" t="s">
        <v>339</v>
      </c>
      <c r="K50" s="1078"/>
      <c r="L50" s="1078"/>
      <c r="M50" s="1078"/>
      <c r="N50" s="1078"/>
      <c r="O50" s="1078"/>
      <c r="P50" s="1078"/>
      <c r="Q50" s="1078"/>
      <c r="R50" s="1078"/>
      <c r="S50" s="1078"/>
      <c r="T50" s="1078"/>
      <c r="U50" s="1078"/>
      <c r="V50" s="1078"/>
      <c r="W50" s="1078"/>
      <c r="X50" s="1078"/>
      <c r="Y50" s="1078"/>
      <c r="Z50" s="1078"/>
      <c r="AA50" s="1078"/>
      <c r="AB50" s="1078"/>
      <c r="AC50" s="1078"/>
      <c r="AD50" s="1078"/>
      <c r="AE50" s="1078"/>
      <c r="AF50" s="1078"/>
      <c r="AG50" s="1078"/>
      <c r="AH50" s="1078"/>
      <c r="AI50" s="1078"/>
      <c r="AJ50" s="1078"/>
      <c r="AK50" s="1078"/>
      <c r="AL50" s="1078"/>
      <c r="AM50" s="1078"/>
      <c r="AN50" s="1078"/>
      <c r="AO50" s="1078"/>
      <c r="AP50" s="1078"/>
      <c r="AQ50" s="1078"/>
      <c r="AR50" s="1078"/>
      <c r="AS50" s="1078"/>
      <c r="AT50" s="1078"/>
      <c r="AU50" s="1078"/>
      <c r="AV50" s="1078"/>
      <c r="AW50" s="1078"/>
      <c r="AX50" s="1078"/>
      <c r="AY50" s="1078"/>
      <c r="AZ50" s="1078"/>
      <c r="BA50" s="1078"/>
      <c r="BB50" s="1078"/>
      <c r="BC50" s="1078"/>
      <c r="BD50" s="1078"/>
      <c r="BE50" s="1078"/>
      <c r="BF50" s="1078"/>
      <c r="BG50" s="1078"/>
      <c r="BH50" s="1078"/>
      <c r="BI50" s="1078"/>
      <c r="BJ50" s="1078"/>
      <c r="BK50" s="1078"/>
      <c r="BL50" s="1078"/>
      <c r="BM50" s="1078"/>
      <c r="BN50" s="1078"/>
      <c r="BO50" s="1078"/>
      <c r="BP50" s="1078"/>
      <c r="BQ50" s="1078"/>
      <c r="BS50" s="942"/>
      <c r="BT50" s="1058">
        <v>6727.934895999997</v>
      </c>
      <c r="BU50" s="943"/>
      <c r="BW50" s="1078"/>
      <c r="BX50" s="1078"/>
      <c r="BY50" s="1078"/>
      <c r="BZ50" s="1078"/>
      <c r="CA50" s="1078"/>
      <c r="CC50" s="942"/>
      <c r="CD50" s="1059" t="s">
        <v>709</v>
      </c>
      <c r="CE50" s="943"/>
      <c r="CG50" s="1078"/>
      <c r="CH50" s="1078"/>
      <c r="CI50" s="1078"/>
      <c r="CJ50" s="1078"/>
      <c r="CK50" s="1078"/>
      <c r="CL50" s="1078"/>
      <c r="CM50" s="1078"/>
      <c r="CN50" s="1078"/>
      <c r="CO50" s="1078"/>
      <c r="CP50" s="1078"/>
      <c r="CQ50" s="1078"/>
      <c r="CR50" s="1078"/>
      <c r="CS50" s="1078"/>
      <c r="CT50" s="1078"/>
      <c r="CU50" s="1078"/>
      <c r="CV50" s="1078"/>
      <c r="CW50" s="1078"/>
      <c r="CX50" s="1078"/>
      <c r="CY50" s="1078"/>
      <c r="CZ50" s="1078"/>
      <c r="DA50" s="1078"/>
      <c r="DB50" s="1078"/>
      <c r="DC50" s="1078"/>
      <c r="DD50" s="996"/>
      <c r="DE50" s="1078"/>
      <c r="DF50" s="996"/>
      <c r="DG50" s="1078"/>
      <c r="DH50" s="996"/>
      <c r="DI50" s="1078"/>
      <c r="DK50" s="942"/>
      <c r="DL50" s="1058">
        <v>2382.3296383785714</v>
      </c>
      <c r="DM50" s="943"/>
      <c r="DO50" s="946"/>
      <c r="DP50" s="1040">
        <v>9110.264534378568</v>
      </c>
      <c r="DQ50" s="948"/>
      <c r="DT50" s="949"/>
      <c r="DU50" s="1040">
        <v>0</v>
      </c>
      <c r="DW50" s="1040">
        <v>0</v>
      </c>
      <c r="DY50" s="1040">
        <v>812.60902499999997</v>
      </c>
      <c r="EA50" s="1040">
        <v>812.60902499999997</v>
      </c>
      <c r="EB50" s="952"/>
      <c r="ED50" s="949"/>
      <c r="EE50" s="1040">
        <v>0</v>
      </c>
      <c r="EG50" s="1040">
        <v>0</v>
      </c>
      <c r="EI50" s="1040">
        <v>0</v>
      </c>
      <c r="EK50" s="1040">
        <v>0</v>
      </c>
      <c r="EL50" s="952"/>
      <c r="EO50" s="1000"/>
      <c r="EP50" s="937"/>
      <c r="EQ50" s="1041" t="s">
        <v>709</v>
      </c>
      <c r="ER50" s="1041" t="s">
        <v>709</v>
      </c>
      <c r="ET50" s="1041" t="s">
        <v>709</v>
      </c>
      <c r="EU50" s="1041" t="s">
        <v>709</v>
      </c>
      <c r="EW50" s="1041" t="s">
        <v>709</v>
      </c>
      <c r="EX50" s="1041" t="s">
        <v>709</v>
      </c>
      <c r="EZ50" s="1042">
        <f>SUM('[21]FY26-FY28_HoldCo Budget Proj'!P53,'[21]FY26-FY28_HydroCo Budget Proj'!P38)-DP50</f>
        <v>0</v>
      </c>
      <c r="FB50" s="1042"/>
      <c r="FC50" s="1042"/>
      <c r="FE50" s="1042"/>
      <c r="FF50" s="1042"/>
    </row>
    <row r="51" spans="3:162" s="918" customFormat="1">
      <c r="C51" s="968"/>
      <c r="G51" s="970" t="e">
        <f>IF(I50&gt;0,MAX($G$12:G50)+1,"")</f>
        <v>#REF!</v>
      </c>
      <c r="H51" s="1037" t="s">
        <v>731</v>
      </c>
      <c r="I51" s="1037"/>
      <c r="K51" s="1032"/>
      <c r="L51" s="1010"/>
      <c r="M51" s="1032"/>
      <c r="N51" s="1010"/>
      <c r="O51" s="1032"/>
      <c r="P51" s="1010"/>
      <c r="Q51" s="1032"/>
      <c r="R51" s="1010"/>
      <c r="S51" s="1032"/>
      <c r="T51" s="1010"/>
      <c r="U51" s="1032"/>
      <c r="V51" s="1010"/>
      <c r="W51" s="1032"/>
      <c r="X51" s="1010"/>
      <c r="Y51" s="1032"/>
      <c r="Z51" s="1010"/>
      <c r="AA51" s="1032"/>
      <c r="AB51" s="1010"/>
      <c r="AC51" s="1032"/>
      <c r="AD51" s="1010"/>
      <c r="AE51" s="1032"/>
      <c r="AF51" s="1010"/>
      <c r="AG51" s="1032"/>
      <c r="AH51" s="1010"/>
      <c r="AI51" s="1032"/>
      <c r="AJ51" s="1010"/>
      <c r="AK51" s="1032"/>
      <c r="AL51" s="1010"/>
      <c r="AM51" s="1032"/>
      <c r="AN51" s="1010"/>
      <c r="AO51" s="1032"/>
      <c r="AP51" s="1010"/>
      <c r="AQ51" s="1032"/>
      <c r="AR51" s="1010"/>
      <c r="AS51" s="1032"/>
      <c r="AT51" s="1010"/>
      <c r="AU51" s="1032"/>
      <c r="AV51" s="1010"/>
      <c r="AW51" s="1032"/>
      <c r="AX51" s="1009"/>
      <c r="AY51" s="1033"/>
      <c r="AZ51" s="1009"/>
      <c r="BA51" s="1033"/>
      <c r="BB51" s="1009"/>
      <c r="BC51" s="1033"/>
      <c r="BD51" s="1009"/>
      <c r="BE51" s="1033"/>
      <c r="BF51" s="1010"/>
      <c r="BG51" s="1032"/>
      <c r="BH51" s="1010"/>
      <c r="BI51" s="1032"/>
      <c r="BJ51" s="1010"/>
      <c r="BK51" s="1032"/>
      <c r="BL51" s="1010"/>
      <c r="BM51" s="1032"/>
      <c r="BN51" s="1010"/>
      <c r="BO51" s="1032"/>
      <c r="BP51" s="1010"/>
      <c r="BQ51" s="1032"/>
      <c r="BS51" s="972"/>
      <c r="BT51" s="1034">
        <f>SUM(BT50)</f>
        <v>6727.934895999997</v>
      </c>
      <c r="BU51" s="973"/>
      <c r="BW51" s="1032"/>
      <c r="BX51" s="1010"/>
      <c r="BY51" s="1033"/>
      <c r="BZ51" s="1009"/>
      <c r="CA51" s="1032"/>
      <c r="CC51" s="972"/>
      <c r="CD51" s="1060" t="s">
        <v>709</v>
      </c>
      <c r="CE51" s="973"/>
      <c r="CG51" s="1032"/>
      <c r="CH51" s="1010"/>
      <c r="CI51" s="1032"/>
      <c r="CJ51" s="1010"/>
      <c r="CK51" s="1032"/>
      <c r="CL51" s="1010"/>
      <c r="CM51" s="1032"/>
      <c r="CN51" s="1010"/>
      <c r="CO51" s="1032"/>
      <c r="CP51" s="1010"/>
      <c r="CQ51" s="1032"/>
      <c r="CR51" s="1010"/>
      <c r="CS51" s="1032"/>
      <c r="CT51" s="1010"/>
      <c r="CU51" s="1032"/>
      <c r="CV51" s="1010"/>
      <c r="CW51" s="1033"/>
      <c r="CX51" s="1009"/>
      <c r="CY51" s="1033"/>
      <c r="CZ51" s="1010"/>
      <c r="DA51" s="1032"/>
      <c r="DB51" s="1010"/>
      <c r="DC51" s="1032"/>
      <c r="DD51" s="1010"/>
      <c r="DE51" s="1032"/>
      <c r="DF51" s="1010"/>
      <c r="DG51" s="1032"/>
      <c r="DH51" s="1010"/>
      <c r="DI51" s="1032"/>
      <c r="DK51" s="972"/>
      <c r="DL51" s="1034">
        <f>SUM(DL50)</f>
        <v>2382.3296383785714</v>
      </c>
      <c r="DM51" s="973"/>
      <c r="DO51" s="974"/>
      <c r="DP51" s="1034">
        <f>SUM(BT51,CD51,DL51)</f>
        <v>9110.264534378568</v>
      </c>
      <c r="DQ51" s="975"/>
      <c r="DT51" s="976"/>
      <c r="DU51" s="1034">
        <f>DU50</f>
        <v>0</v>
      </c>
      <c r="DW51" s="1034">
        <f>DW50</f>
        <v>0</v>
      </c>
      <c r="DY51" s="1034">
        <f>DY50</f>
        <v>812.60902499999997</v>
      </c>
      <c r="EA51" s="1034">
        <f t="shared" ref="EA51" si="10">SUM(DU51,DW51,DY51)</f>
        <v>812.60902499999997</v>
      </c>
      <c r="EB51" s="977"/>
      <c r="ED51" s="976"/>
      <c r="EE51" s="1034">
        <f>EE50</f>
        <v>0</v>
      </c>
      <c r="EG51" s="1034">
        <f>EG50</f>
        <v>0</v>
      </c>
      <c r="EI51" s="1034">
        <f>EI50</f>
        <v>0</v>
      </c>
      <c r="EK51" s="1034">
        <f t="shared" ref="EK51" si="11">SUM(EE51,EG51,EI51)</f>
        <v>0</v>
      </c>
      <c r="EL51" s="977"/>
      <c r="EO51" s="1000"/>
      <c r="EP51" s="937"/>
      <c r="EQ51" s="990" t="s">
        <v>709</v>
      </c>
      <c r="ER51" s="990" t="s">
        <v>709</v>
      </c>
      <c r="ET51" s="990" t="s">
        <v>709</v>
      </c>
      <c r="EU51" s="990" t="s">
        <v>709</v>
      </c>
      <c r="EW51" s="990" t="s">
        <v>709</v>
      </c>
      <c r="EX51" s="990" t="s">
        <v>709</v>
      </c>
      <c r="EZ51" s="913">
        <f>SUM('[21]FY26-FY28_HoldCo Budget Proj'!P54,'[21]FY26-FY28_HydroCo Budget Proj'!P39)-DP51</f>
        <v>0</v>
      </c>
      <c r="FB51" s="913">
        <f>SUM('[21]FY26-FY28_HoldCo Budget Proj'!AD53,'[21]FY26-FY28_HydroCo Budget Proj'!AD38)-EA50</f>
        <v>0</v>
      </c>
      <c r="FC51" s="913">
        <f>SUM(EA50-EA51)</f>
        <v>0</v>
      </c>
      <c r="FE51" s="913">
        <f>SUM('[21]FY26-FY28_HoldCo Budget Proj'!AF54,'[21]FY26-FY28_HydroCo Budget Proj'!AF39)</f>
        <v>0</v>
      </c>
      <c r="FF51" s="913">
        <f>SUM(EK50-EK51)</f>
        <v>0</v>
      </c>
    </row>
    <row r="52" spans="3:162" s="918" customFormat="1" ht="5.0999999999999996" customHeight="1">
      <c r="C52" s="968"/>
      <c r="G52" s="970" t="str">
        <f>IF(I51&gt;0,MAX($G$12:G51)+1,"")</f>
        <v/>
      </c>
      <c r="H52" s="971"/>
      <c r="I52" s="971"/>
      <c r="K52" s="1025"/>
      <c r="M52" s="1025"/>
      <c r="O52" s="1025"/>
      <c r="Q52" s="1025"/>
      <c r="S52" s="1025"/>
      <c r="U52" s="1025"/>
      <c r="W52" s="1025"/>
      <c r="Y52" s="1025"/>
      <c r="AA52" s="1025"/>
      <c r="AC52" s="1025"/>
      <c r="AE52" s="1025"/>
      <c r="AG52" s="1025"/>
      <c r="AI52" s="1025"/>
      <c r="AK52" s="1025"/>
      <c r="AM52" s="1025"/>
      <c r="AO52" s="1025"/>
      <c r="AQ52" s="1025"/>
      <c r="AS52" s="1025"/>
      <c r="AU52" s="1025"/>
      <c r="AW52" s="1025"/>
      <c r="AX52" s="970"/>
      <c r="AY52" s="1026"/>
      <c r="AZ52" s="970"/>
      <c r="BA52" s="1026"/>
      <c r="BB52" s="970"/>
      <c r="BC52" s="1026"/>
      <c r="BD52" s="970"/>
      <c r="BE52" s="1026"/>
      <c r="BG52" s="1025"/>
      <c r="BI52" s="1025"/>
      <c r="BK52" s="1025"/>
      <c r="BM52" s="1025"/>
      <c r="BO52" s="1025"/>
      <c r="BQ52" s="1025"/>
      <c r="BS52" s="972"/>
      <c r="BT52" s="1025"/>
      <c r="BU52" s="973"/>
      <c r="BW52" s="1025"/>
      <c r="BY52" s="1026"/>
      <c r="BZ52" s="970"/>
      <c r="CA52" s="1025"/>
      <c r="CC52" s="972"/>
      <c r="CD52" s="1025"/>
      <c r="CE52" s="973"/>
      <c r="CG52" s="1025"/>
      <c r="CI52" s="1025"/>
      <c r="CK52" s="1025"/>
      <c r="CM52" s="1025"/>
      <c r="CO52" s="1025"/>
      <c r="CQ52" s="1025"/>
      <c r="CS52" s="1025"/>
      <c r="CU52" s="1025"/>
      <c r="CW52" s="1026"/>
      <c r="CX52" s="970"/>
      <c r="CY52" s="1026"/>
      <c r="DA52" s="1025"/>
      <c r="DC52" s="1025"/>
      <c r="DE52" s="1025"/>
      <c r="DG52" s="1025"/>
      <c r="DI52" s="1025"/>
      <c r="DK52" s="972"/>
      <c r="DL52" s="1025"/>
      <c r="DM52" s="973"/>
      <c r="DO52" s="974"/>
      <c r="DP52" s="1025"/>
      <c r="DQ52" s="975"/>
      <c r="DT52" s="976"/>
      <c r="DU52" s="1025"/>
      <c r="DW52" s="1025"/>
      <c r="DY52" s="1025"/>
      <c r="EA52" s="1025"/>
      <c r="EB52" s="977"/>
      <c r="ED52" s="976"/>
      <c r="EE52" s="1025"/>
      <c r="EG52" s="1025"/>
      <c r="EI52" s="1025"/>
      <c r="EK52" s="1025"/>
      <c r="EL52" s="977"/>
      <c r="EO52" s="1000"/>
      <c r="EP52" s="937"/>
      <c r="EQ52" s="917"/>
      <c r="ER52" s="913"/>
      <c r="ET52" s="917"/>
      <c r="EU52" s="913"/>
      <c r="EW52" s="990"/>
      <c r="EX52" s="913"/>
      <c r="EZ52" s="913"/>
      <c r="FB52" s="913"/>
      <c r="FC52" s="913"/>
      <c r="FE52" s="913"/>
      <c r="FF52" s="913"/>
    </row>
    <row r="53" spans="3:162" s="918" customFormat="1" ht="15.75" thickBot="1">
      <c r="C53" s="968"/>
      <c r="G53" s="970" t="str">
        <f>IF(I52&gt;0,MAX($G$12:G52)+1,"")</f>
        <v/>
      </c>
      <c r="H53" s="1027" t="s">
        <v>732</v>
      </c>
      <c r="I53" s="1027"/>
      <c r="K53" s="1024">
        <f>SUM(K42,K47,K51)</f>
        <v>0</v>
      </c>
      <c r="M53" s="1024">
        <f>SUM(M42,M47,M51)</f>
        <v>0</v>
      </c>
      <c r="O53" s="1024">
        <f>SUM(O42,O47,O51)</f>
        <v>0</v>
      </c>
      <c r="Q53" s="1024">
        <f>SUM(Q42,Q47,Q51)</f>
        <v>0</v>
      </c>
      <c r="S53" s="1024">
        <f>SUM(S42,S47,S51)</f>
        <v>0</v>
      </c>
      <c r="U53" s="1024">
        <f>SUM(U42,U47,U51)</f>
        <v>0</v>
      </c>
      <c r="W53" s="1024">
        <f>SUM(W42,W47,W51)</f>
        <v>0</v>
      </c>
      <c r="Y53" s="1024">
        <f>SUM(Y42,Y47,Y51)</f>
        <v>0</v>
      </c>
      <c r="AA53" s="1024">
        <f>SUM(AA42,AA47,AA51)</f>
        <v>0</v>
      </c>
      <c r="AC53" s="1024">
        <f>SUM(AC42,AC47,AC51)</f>
        <v>0</v>
      </c>
      <c r="AE53" s="1024">
        <f>SUM(AE42,AE47,AE51)</f>
        <v>0</v>
      </c>
      <c r="AG53" s="1024">
        <f>SUM(AG42,AG47,AG51)</f>
        <v>0</v>
      </c>
      <c r="AI53" s="1024">
        <f>SUM(AI42,AI47,AI51)</f>
        <v>0</v>
      </c>
      <c r="AK53" s="1024">
        <f>SUM(AK42,AK47,AK51)</f>
        <v>0</v>
      </c>
      <c r="AM53" s="1024">
        <f>SUM(AM42,AM47,AM51)</f>
        <v>0</v>
      </c>
      <c r="AO53" s="1024">
        <f>SUM(AO42,AO47,AO51)</f>
        <v>0</v>
      </c>
      <c r="AQ53" s="1024">
        <f>SUM(AQ42,AQ47,AQ51)</f>
        <v>0</v>
      </c>
      <c r="AS53" s="1024">
        <f>SUM(AS42,AS47,AS51)</f>
        <v>0</v>
      </c>
      <c r="AU53" s="1024">
        <f>SUM(AU42,AU47,AU51)</f>
        <v>0</v>
      </c>
      <c r="AW53" s="1024">
        <f>SUM(AW42,AW47,AW51)</f>
        <v>0</v>
      </c>
      <c r="AX53" s="970"/>
      <c r="AY53" s="1024">
        <f>SUM(AY42,AY47,AY51)</f>
        <v>0</v>
      </c>
      <c r="AZ53" s="970"/>
      <c r="BA53" s="1024">
        <f>SUM(BA42,BA47,BA51)</f>
        <v>10500</v>
      </c>
      <c r="BB53" s="970"/>
      <c r="BC53" s="1024">
        <f>SUM(BC42,BC47,BC51)</f>
        <v>0</v>
      </c>
      <c r="BD53" s="970"/>
      <c r="BE53" s="1024">
        <f>SUM(BE42,BE47,BE51)</f>
        <v>0</v>
      </c>
      <c r="BG53" s="1024">
        <f>SUM(BG42,BG47,BG51)</f>
        <v>0</v>
      </c>
      <c r="BI53" s="1024">
        <f>SUM(BI42,BI47,BI51)</f>
        <v>0</v>
      </c>
      <c r="BK53" s="1024">
        <f>SUM(BK42,BK47,BK51)</f>
        <v>47668.273000000001</v>
      </c>
      <c r="BM53" s="1024">
        <f>SUM(BM42,BM47,BM51)</f>
        <v>0</v>
      </c>
      <c r="BO53" s="1024">
        <f>SUM(BO42,BO47,BO51)</f>
        <v>0</v>
      </c>
      <c r="BQ53" s="1024">
        <f>SUM(BQ42,BQ47,BQ51)</f>
        <v>0</v>
      </c>
      <c r="BS53" s="972"/>
      <c r="BT53" s="1024">
        <f>SUM(BT42,BT47,BT51)</f>
        <v>64896.207896</v>
      </c>
      <c r="BU53" s="973"/>
      <c r="BW53" s="1024">
        <f>SUM(BW42,BW47,BW51)</f>
        <v>0</v>
      </c>
      <c r="BY53" s="1024">
        <f>SUM(BY42,BY47,BY51)</f>
        <v>0</v>
      </c>
      <c r="BZ53" s="970"/>
      <c r="CA53" s="1024">
        <f>SUM(CA42,CA47,CA51)</f>
        <v>0</v>
      </c>
      <c r="CC53" s="972"/>
      <c r="CD53" s="1024">
        <f>SUM(CD42,CD47,CD51)</f>
        <v>0</v>
      </c>
      <c r="CE53" s="973"/>
      <c r="CG53" s="1024">
        <f>SUM(CG42,CG47,CG51)</f>
        <v>0</v>
      </c>
      <c r="CI53" s="1024">
        <f>SUM(CI42,CI47,CI51)</f>
        <v>0</v>
      </c>
      <c r="CK53" s="1024">
        <f>SUM(CK42,CK47,CK51)</f>
        <v>0</v>
      </c>
      <c r="CM53" s="1024">
        <f>SUM(CM42,CM47,CM51)</f>
        <v>0</v>
      </c>
      <c r="CO53" s="1024">
        <f>SUM(CO42,CO47,CO51)</f>
        <v>0</v>
      </c>
      <c r="CQ53" s="1024">
        <f>SUM(CQ42,CQ47,CQ51)</f>
        <v>0</v>
      </c>
      <c r="CS53" s="1024">
        <f>SUM(CS42,CS47,CS51)</f>
        <v>0</v>
      </c>
      <c r="CU53" s="1024">
        <f>SUM(CU42,CU47,CU51)</f>
        <v>0</v>
      </c>
      <c r="CW53" s="1024">
        <f>SUM(CW42,CW47,CW51)</f>
        <v>0</v>
      </c>
      <c r="CX53" s="970"/>
      <c r="CY53" s="1024">
        <f>SUM(CY42,CY47,CY51)</f>
        <v>0</v>
      </c>
      <c r="DA53" s="1024">
        <f>SUM(DA42,DA47,DA51)</f>
        <v>0</v>
      </c>
      <c r="DC53" s="1024">
        <f>SUM(DC42,DC47,DC51)</f>
        <v>0</v>
      </c>
      <c r="DE53" s="1024">
        <f>SUM(DE42,DE47,DE51)</f>
        <v>0</v>
      </c>
      <c r="DG53" s="1024">
        <f>SUM(DG42,DG47,DG51)</f>
        <v>0</v>
      </c>
      <c r="DI53" s="1024">
        <f>SUM(DI42,DI47,DI51)</f>
        <v>0</v>
      </c>
      <c r="DK53" s="972"/>
      <c r="DL53" s="1024">
        <f>SUM(DL42,DL47,DL51)</f>
        <v>2382.3296383785714</v>
      </c>
      <c r="DM53" s="973"/>
      <c r="DO53" s="974"/>
      <c r="DP53" s="1024">
        <f>SUM(BT53,CD53,DL53)</f>
        <v>67278.537534378571</v>
      </c>
      <c r="DQ53" s="975"/>
      <c r="DT53" s="976"/>
      <c r="DU53" s="1024">
        <f>SUM(DU42,DU47,DU51)</f>
        <v>30750</v>
      </c>
      <c r="DW53" s="1024">
        <f>SUM(DW42,DW47,DW51)</f>
        <v>0</v>
      </c>
      <c r="DY53" s="1024">
        <f>SUM(DY42,DY47,DY51)</f>
        <v>812.60902499999997</v>
      </c>
      <c r="EA53" s="1024">
        <f>SUM(DU53,DW53,DY53)</f>
        <v>31562.609025000002</v>
      </c>
      <c r="EB53" s="977"/>
      <c r="ED53" s="976"/>
      <c r="EE53" s="1024">
        <f>SUM(EE42,EE47,EE51)</f>
        <v>12050</v>
      </c>
      <c r="EG53" s="1024">
        <f>SUM(EG42,EG47,EG51)</f>
        <v>0</v>
      </c>
      <c r="EI53" s="1024">
        <f>SUM(EI42,EI47,EI51)</f>
        <v>0</v>
      </c>
      <c r="EK53" s="1024">
        <f>SUM(EE53,EG53,EI53)</f>
        <v>12050</v>
      </c>
      <c r="EL53" s="977"/>
      <c r="EO53" s="1000"/>
      <c r="EP53" s="937"/>
      <c r="EQ53" s="917">
        <f>'[21]FY26-FY28_HoldCo Budget Proj'!P56-BT53</f>
        <v>0</v>
      </c>
      <c r="ER53" s="913">
        <f>SUM(K53:BQ53,BT51)-BT53</f>
        <v>0</v>
      </c>
      <c r="ET53" s="990" t="s">
        <v>709</v>
      </c>
      <c r="EU53" s="913">
        <f>SUM(BW53:CA53)-CD53</f>
        <v>0</v>
      </c>
      <c r="EW53" s="990">
        <f>'[21]FY26-FY28_HydroCo Budget Proj'!P41-DL53</f>
        <v>0</v>
      </c>
      <c r="EX53" s="990" t="s">
        <v>709</v>
      </c>
      <c r="EZ53" s="913">
        <f>SUM('[21]FY26-FY28_HoldCo Budget Proj'!P56,'[21]FY26-FY28_HydroCo Budget Proj'!P41)-DP53</f>
        <v>0</v>
      </c>
      <c r="FB53" s="913">
        <f>SUM('[21]FY26-FY28_HoldCo Budget Proj'!AD56,'[21]FY26-FY28_HydroCo Budget Proj'!AD41)-EA53</f>
        <v>0</v>
      </c>
      <c r="FC53" s="913">
        <f>SUM(EA47,EA42,EA51)-EA53</f>
        <v>0</v>
      </c>
      <c r="FE53" s="913">
        <f>SUM('[21]FY26-FY28_HoldCo Budget Proj'!AF56,'[21]FY26-FY28_HydroCo Budget Proj'!AF41)-EK53</f>
        <v>0</v>
      </c>
      <c r="FF53" s="913">
        <f>SUM(EK42,EK47,EK51)-EK53</f>
        <v>0</v>
      </c>
    </row>
    <row r="54" spans="3:162" s="918" customFormat="1" ht="5.0999999999999996" customHeight="1" thickTop="1">
      <c r="C54" s="968"/>
      <c r="G54" s="970"/>
      <c r="H54" s="971"/>
      <c r="I54" s="971"/>
      <c r="K54" s="1025"/>
      <c r="M54" s="1025"/>
      <c r="O54" s="1025"/>
      <c r="Q54" s="1025"/>
      <c r="S54" s="1025"/>
      <c r="U54" s="1025"/>
      <c r="W54" s="1025"/>
      <c r="Y54" s="1025"/>
      <c r="AA54" s="1025"/>
      <c r="AC54" s="1025"/>
      <c r="AE54" s="1025"/>
      <c r="AG54" s="1025"/>
      <c r="AI54" s="1025"/>
      <c r="AK54" s="1025"/>
      <c r="AM54" s="1025"/>
      <c r="AO54" s="1025"/>
      <c r="AQ54" s="1025"/>
      <c r="AS54" s="1025"/>
      <c r="AU54" s="1025"/>
      <c r="AW54" s="1025"/>
      <c r="AX54" s="970"/>
      <c r="AY54" s="1026"/>
      <c r="AZ54" s="970"/>
      <c r="BA54" s="1026"/>
      <c r="BB54" s="970"/>
      <c r="BC54" s="1026"/>
      <c r="BD54" s="970"/>
      <c r="BE54" s="1026"/>
      <c r="BG54" s="1025"/>
      <c r="BI54" s="1025"/>
      <c r="BK54" s="1025"/>
      <c r="BM54" s="1025"/>
      <c r="BO54" s="1025"/>
      <c r="BQ54" s="1025"/>
      <c r="BS54" s="972"/>
      <c r="BT54" s="1025"/>
      <c r="BU54" s="973"/>
      <c r="BW54" s="1025"/>
      <c r="BY54" s="1026"/>
      <c r="BZ54" s="970"/>
      <c r="CA54" s="1025"/>
      <c r="CC54" s="972"/>
      <c r="CD54" s="1025"/>
      <c r="CE54" s="973"/>
      <c r="CG54" s="1025"/>
      <c r="CI54" s="1025"/>
      <c r="CK54" s="1025"/>
      <c r="CM54" s="1025"/>
      <c r="CO54" s="1025"/>
      <c r="CQ54" s="1025"/>
      <c r="CS54" s="1025"/>
      <c r="CU54" s="1025"/>
      <c r="CW54" s="1026"/>
      <c r="CX54" s="970"/>
      <c r="CY54" s="1026"/>
      <c r="DA54" s="1025"/>
      <c r="DC54" s="1025"/>
      <c r="DE54" s="1025"/>
      <c r="DG54" s="1025"/>
      <c r="DI54" s="1025"/>
      <c r="DK54" s="972"/>
      <c r="DL54" s="1025"/>
      <c r="DM54" s="973"/>
      <c r="DO54" s="974"/>
      <c r="DP54" s="1025"/>
      <c r="DQ54" s="975"/>
      <c r="DT54" s="976"/>
      <c r="DU54" s="1025"/>
      <c r="DW54" s="1025"/>
      <c r="DY54" s="1025"/>
      <c r="EA54" s="1025"/>
      <c r="EB54" s="977"/>
      <c r="ED54" s="976"/>
      <c r="EE54" s="1025"/>
      <c r="EG54" s="1025"/>
      <c r="EI54" s="1025"/>
      <c r="EK54" s="1025"/>
      <c r="EL54" s="977"/>
      <c r="EO54" s="1000"/>
      <c r="EP54" s="937"/>
      <c r="EQ54" s="917"/>
      <c r="ER54" s="913"/>
      <c r="ET54" s="917"/>
      <c r="EU54" s="913"/>
      <c r="EW54" s="990"/>
      <c r="EX54" s="913"/>
      <c r="EZ54" s="913"/>
      <c r="FB54" s="913"/>
      <c r="FC54" s="913"/>
      <c r="FE54" s="913"/>
      <c r="FF54" s="913"/>
    </row>
    <row r="55" spans="3:162" s="918" customFormat="1" ht="5.0999999999999996" customHeight="1">
      <c r="C55" s="968"/>
      <c r="G55" s="970"/>
      <c r="H55" s="971"/>
      <c r="I55" s="971"/>
      <c r="K55" s="1025"/>
      <c r="M55" s="1025"/>
      <c r="O55" s="1025"/>
      <c r="Q55" s="1025"/>
      <c r="S55" s="1025"/>
      <c r="U55" s="1025"/>
      <c r="W55" s="1025"/>
      <c r="Y55" s="1025"/>
      <c r="AA55" s="1025"/>
      <c r="AC55" s="1025"/>
      <c r="AE55" s="1025"/>
      <c r="AG55" s="1025"/>
      <c r="AI55" s="1025"/>
      <c r="AK55" s="1025"/>
      <c r="AM55" s="1025"/>
      <c r="AO55" s="1025"/>
      <c r="AQ55" s="1025"/>
      <c r="AS55" s="1025"/>
      <c r="AU55" s="1025"/>
      <c r="AW55" s="1025"/>
      <c r="AX55" s="970"/>
      <c r="AY55" s="1026"/>
      <c r="AZ55" s="970"/>
      <c r="BA55" s="1026"/>
      <c r="BB55" s="970"/>
      <c r="BC55" s="1026"/>
      <c r="BD55" s="970"/>
      <c r="BE55" s="1026"/>
      <c r="BG55" s="1025"/>
      <c r="BI55" s="1025"/>
      <c r="BK55" s="1025"/>
      <c r="BM55" s="1025"/>
      <c r="BO55" s="1025"/>
      <c r="BQ55" s="1025"/>
      <c r="BS55" s="972"/>
      <c r="BT55" s="1025"/>
      <c r="BU55" s="973"/>
      <c r="BW55" s="1025"/>
      <c r="BY55" s="1026"/>
      <c r="BZ55" s="970"/>
      <c r="CA55" s="1025"/>
      <c r="CC55" s="972"/>
      <c r="CD55" s="1025"/>
      <c r="CE55" s="973"/>
      <c r="CG55" s="1025"/>
      <c r="CI55" s="1025"/>
      <c r="CK55" s="1025"/>
      <c r="CM55" s="1025"/>
      <c r="CO55" s="1025"/>
      <c r="CQ55" s="1025"/>
      <c r="CS55" s="1025"/>
      <c r="CU55" s="1025"/>
      <c r="CW55" s="1026"/>
      <c r="CX55" s="970"/>
      <c r="CY55" s="1026"/>
      <c r="DA55" s="1025"/>
      <c r="DC55" s="1025"/>
      <c r="DE55" s="1025"/>
      <c r="DG55" s="1025"/>
      <c r="DI55" s="1025"/>
      <c r="DK55" s="972"/>
      <c r="DL55" s="1025"/>
      <c r="DM55" s="973"/>
      <c r="DO55" s="974"/>
      <c r="DP55" s="1025"/>
      <c r="DQ55" s="975"/>
      <c r="DT55" s="976"/>
      <c r="DU55" s="1025"/>
      <c r="DW55" s="1025"/>
      <c r="DY55" s="1025"/>
      <c r="EA55" s="1025"/>
      <c r="EB55" s="977"/>
      <c r="ED55" s="976"/>
      <c r="EE55" s="1025"/>
      <c r="EG55" s="1025"/>
      <c r="EI55" s="1025"/>
      <c r="EK55" s="1025"/>
      <c r="EL55" s="977"/>
      <c r="EO55" s="1000"/>
      <c r="EP55" s="937"/>
      <c r="EQ55" s="917"/>
      <c r="ER55" s="913"/>
      <c r="ET55" s="917"/>
      <c r="EU55" s="913"/>
      <c r="EW55" s="990"/>
      <c r="EX55" s="913"/>
      <c r="EZ55" s="913"/>
      <c r="FB55" s="913"/>
      <c r="FC55" s="913"/>
      <c r="FE55" s="913"/>
      <c r="FF55" s="913"/>
    </row>
    <row r="56" spans="3:162" s="918" customFormat="1" ht="15.75" thickBot="1">
      <c r="C56" s="968"/>
      <c r="G56" s="970" t="str">
        <f>IF(I55&gt;0,MAX($G$12:G55)+1,"")</f>
        <v/>
      </c>
      <c r="H56" s="1027" t="s">
        <v>733</v>
      </c>
      <c r="I56" s="1027"/>
      <c r="K56" s="1043" t="e">
        <f>SUM(K35,K53)</f>
        <v>#VALUE!</v>
      </c>
      <c r="M56" s="1043" t="e">
        <f>SUM(M35,M53)</f>
        <v>#VALUE!</v>
      </c>
      <c r="O56" s="1043" t="e">
        <f>SUM(O35,O53)</f>
        <v>#VALUE!</v>
      </c>
      <c r="Q56" s="1043" t="e">
        <f>SUM(Q35,Q53)</f>
        <v>#VALUE!</v>
      </c>
      <c r="S56" s="1043" t="e">
        <f>SUM(S35,S53)</f>
        <v>#VALUE!</v>
      </c>
      <c r="U56" s="1043" t="e">
        <f>SUM(U35,U53)</f>
        <v>#VALUE!</v>
      </c>
      <c r="W56" s="1043" t="e">
        <f>SUM(W35,W53)</f>
        <v>#VALUE!</v>
      </c>
      <c r="Y56" s="1043" t="e">
        <f>SUM(Y35,Y53)</f>
        <v>#VALUE!</v>
      </c>
      <c r="AA56" s="1043" t="e">
        <f>SUM(AA35,AA53)</f>
        <v>#VALUE!</v>
      </c>
      <c r="AC56" s="1043" t="e">
        <f>SUM(AC35,AC53)</f>
        <v>#VALUE!</v>
      </c>
      <c r="AE56" s="1043" t="e">
        <f>SUM(AE35,AE53)</f>
        <v>#VALUE!</v>
      </c>
      <c r="AG56" s="1043" t="e">
        <f>SUM(AG35,AG53)</f>
        <v>#VALUE!</v>
      </c>
      <c r="AI56" s="1043" t="e">
        <f>SUM(AI35,AI53)</f>
        <v>#VALUE!</v>
      </c>
      <c r="AK56" s="1043" t="e">
        <f>SUM(AK35,AK53)</f>
        <v>#VALUE!</v>
      </c>
      <c r="AM56" s="1043" t="e">
        <f>SUM(AM35,AM53)</f>
        <v>#VALUE!</v>
      </c>
      <c r="AO56" s="1043" t="e">
        <f>SUM(AO35,AO53)</f>
        <v>#VALUE!</v>
      </c>
      <c r="AQ56" s="1043" t="e">
        <f>SUM(AQ35,AQ53)</f>
        <v>#VALUE!</v>
      </c>
      <c r="AS56" s="1043" t="e">
        <f>SUM(AS35,AS53)</f>
        <v>#VALUE!</v>
      </c>
      <c r="AU56" s="1043" t="e">
        <f>SUM(AU35,AU53)</f>
        <v>#VALUE!</v>
      </c>
      <c r="AW56" s="1043" t="e">
        <f>SUM(AW35,AW53)</f>
        <v>#VALUE!</v>
      </c>
      <c r="AX56" s="970"/>
      <c r="AY56" s="1043">
        <f>SUM(AY35,AY53)</f>
        <v>5486.2749999999996</v>
      </c>
      <c r="AZ56" s="970"/>
      <c r="BA56" s="1043">
        <f>SUM(BA35,BA53)</f>
        <v>17767</v>
      </c>
      <c r="BB56" s="970"/>
      <c r="BC56" s="1043">
        <f>SUM(BC35,BC53)</f>
        <v>1601.7429999999999</v>
      </c>
      <c r="BD56" s="970"/>
      <c r="BE56" s="1043">
        <f>SUM(BE35,BE53)</f>
        <v>2529.75</v>
      </c>
      <c r="BG56" s="1043">
        <f>SUM(BG35,BG53)</f>
        <v>72</v>
      </c>
      <c r="BI56" s="1043">
        <f>SUM(BI35,BI53)</f>
        <v>2477.5</v>
      </c>
      <c r="BK56" s="1043">
        <f>SUM(BK35,BK53)</f>
        <v>47668.273000000001</v>
      </c>
      <c r="BM56" s="1043">
        <f>SUM(BM35,BM53)</f>
        <v>4208.0724</v>
      </c>
      <c r="BO56" s="1043">
        <f>SUM(BO35,BO53)</f>
        <v>118.18718750000001</v>
      </c>
      <c r="BQ56" s="1043">
        <f>SUM(BQ35,BQ53)</f>
        <v>2412.74420676</v>
      </c>
      <c r="BS56" s="972"/>
      <c r="BT56" s="1043">
        <f>SUM(BT35,BT53)</f>
        <v>109371.83129450999</v>
      </c>
      <c r="BU56" s="973"/>
      <c r="BW56" s="1043">
        <f>SUM(BW35,BW53)</f>
        <v>3787.4201480000002</v>
      </c>
      <c r="BY56" s="1043">
        <f>SUM(BY35,BY53)</f>
        <v>7950</v>
      </c>
      <c r="BZ56" s="970"/>
      <c r="CA56" s="1043">
        <f>SUM(CA35,CA53)</f>
        <v>162.58032</v>
      </c>
      <c r="CC56" s="972"/>
      <c r="CD56" s="1043">
        <f>SUM(CD35,CD53)</f>
        <v>11900.000468</v>
      </c>
      <c r="CE56" s="973"/>
      <c r="CG56" s="1043">
        <f>SUM(CG35,CG53)</f>
        <v>485.95866100000001</v>
      </c>
      <c r="CI56" s="1043">
        <f>SUM(CI35,CI53)</f>
        <v>662.38097960000016</v>
      </c>
      <c r="CK56" s="1043">
        <f>SUM(CK35,CK53)</f>
        <v>100.81403</v>
      </c>
      <c r="CM56" s="1043">
        <f>SUM(CM35,CM53)</f>
        <v>1512.7043134</v>
      </c>
      <c r="CO56" s="1043">
        <f>SUM(CO35,CO53)</f>
        <v>899.41577219999999</v>
      </c>
      <c r="CQ56" s="1043">
        <f>SUM(CQ35,CQ53)</f>
        <v>1446.2587478</v>
      </c>
      <c r="CS56" s="1043">
        <f>SUM(CS35,CS53)</f>
        <v>8059.7305390000001</v>
      </c>
      <c r="CU56" s="1043">
        <f>SUM(CU35,CU53)</f>
        <v>667.15026</v>
      </c>
      <c r="CW56" s="1043">
        <f>SUM(CW35,CW53)</f>
        <v>2104.6460000000002</v>
      </c>
      <c r="CX56" s="970"/>
      <c r="CY56" s="1043">
        <f>SUM(CY35,CY53)</f>
        <v>838</v>
      </c>
      <c r="DA56" s="1043">
        <f>SUM(DA35,DA53)</f>
        <v>80</v>
      </c>
      <c r="DC56" s="1043">
        <f>SUM(DC35,DC53)</f>
        <v>1030</v>
      </c>
      <c r="DE56" s="1043">
        <f>SUM(DE35,DE53)</f>
        <v>2805.3816000000006</v>
      </c>
      <c r="DG56" s="1043">
        <f>SUM(DG35,DG53)</f>
        <v>541.80281249999996</v>
      </c>
      <c r="DI56" s="1043">
        <f>SUM(DI35,DI53)</f>
        <v>3760.7057256856056</v>
      </c>
      <c r="DK56" s="972"/>
      <c r="DL56" s="1043">
        <f>SUM(DL35,DL53)</f>
        <v>27377.279079564178</v>
      </c>
      <c r="DM56" s="973"/>
      <c r="DO56" s="974"/>
      <c r="DP56" s="1043">
        <f>SUM(BT56,CD56,DL56)</f>
        <v>148649.11084207415</v>
      </c>
      <c r="DQ56" s="975"/>
      <c r="DT56" s="976"/>
      <c r="DU56" s="1043">
        <f>SUM(DU35,DU53)</f>
        <v>77562.381370502175</v>
      </c>
      <c r="DW56" s="1043">
        <f>SUM(DW35,DW53)</f>
        <v>12361.974062943676</v>
      </c>
      <c r="DY56" s="1043">
        <f>SUM(DY35,DY53)</f>
        <v>22995.606279630905</v>
      </c>
      <c r="EA56" s="1043">
        <f>SUM(DU56,DW56,DY56)</f>
        <v>112919.96171307674</v>
      </c>
      <c r="EB56" s="977"/>
      <c r="ED56" s="976"/>
      <c r="EE56" s="1043">
        <f>SUM(EE35,EE53)</f>
        <v>55952.144144579375</v>
      </c>
      <c r="EG56" s="1043">
        <f>SUM(EG35,EG53)</f>
        <v>12847.230110475055</v>
      </c>
      <c r="EI56" s="1043">
        <f>SUM(EI35,EI53)</f>
        <v>22259.642434868943</v>
      </c>
      <c r="EK56" s="1043">
        <f>SUM(EE56,EG56,EI56)</f>
        <v>91059.016689923374</v>
      </c>
      <c r="EL56" s="977"/>
      <c r="EO56" s="1000"/>
      <c r="EP56" s="937"/>
      <c r="EQ56" s="917">
        <f>'[21]FY26-FY28_HoldCo Budget Proj'!P59-BT56</f>
        <v>0.18124000000534579</v>
      </c>
      <c r="ER56" s="913" t="e">
        <f>SUM(K56:BQ56,BT51)-BT56</f>
        <v>#VALUE!</v>
      </c>
      <c r="ET56" s="990">
        <f>'[21]FY26-FY28_Retiro Budget Proj'!P31-CD56</f>
        <v>0</v>
      </c>
      <c r="EU56" s="913">
        <f>SUM(BW56:CA56)-CD56</f>
        <v>0</v>
      </c>
      <c r="EW56" s="990">
        <f>'[21]FY26-FY28_HydroCo Budget Proj'!P44-DL56</f>
        <v>0</v>
      </c>
      <c r="EX56" s="990" t="s">
        <v>709</v>
      </c>
      <c r="EZ56" s="913">
        <f>SUM(DP35,DP53)-DP56</f>
        <v>0</v>
      </c>
      <c r="FB56" s="913">
        <f>SUM('[21]FY26-FY28_HoldCo Budget Proj'!AD59,'[21]FY26-FY28_Retiro Budget Proj'!AD31,'[21]FY26-FY28_HydroCo Budget Proj'!AD44)-EA56</f>
        <v>0</v>
      </c>
      <c r="FC56" s="913">
        <f>SUM(EA35,EA53)-EA56</f>
        <v>0</v>
      </c>
      <c r="FE56" s="913">
        <f>SUM('[21]FY26-FY28_HoldCo Budget Proj'!AF59,'[21]FY26-FY28_Retiro Budget Proj'!AF31,'[21]FY26-FY28_HydroCo Budget Proj'!AF33)-EK56</f>
        <v>0</v>
      </c>
      <c r="FF56" s="913">
        <f>SUM(EK35,EK53)-EK56</f>
        <v>0</v>
      </c>
    </row>
    <row r="57" spans="3:162" ht="5.0999999999999996" customHeight="1" thickBot="1">
      <c r="G57" s="914" t="str">
        <f>IF(I56&gt;0,MAX($G$12:G56)+1,"")</f>
        <v/>
      </c>
      <c r="AX57" s="916"/>
      <c r="AY57" s="916"/>
      <c r="AZ57" s="916"/>
      <c r="BA57" s="916"/>
      <c r="BB57" s="916"/>
      <c r="BC57" s="916"/>
      <c r="BD57" s="916"/>
      <c r="BE57" s="916"/>
      <c r="BS57" s="1044"/>
      <c r="BT57" s="1061"/>
      <c r="BU57" s="1045"/>
      <c r="BY57" s="916"/>
      <c r="BZ57" s="916"/>
      <c r="CC57" s="1044"/>
      <c r="CD57" s="1061"/>
      <c r="CE57" s="1045"/>
      <c r="CW57" s="916"/>
      <c r="CX57" s="916"/>
      <c r="CY57" s="916"/>
      <c r="DK57" s="1044"/>
      <c r="DL57" s="1061"/>
      <c r="DM57" s="1045"/>
      <c r="DO57" s="1046"/>
      <c r="DP57" s="1047"/>
      <c r="DQ57" s="1048"/>
      <c r="DT57" s="1049"/>
      <c r="DU57" s="1050"/>
      <c r="DV57" s="1050"/>
      <c r="DW57" s="1050"/>
      <c r="DX57" s="1050"/>
      <c r="DY57" s="1050"/>
      <c r="DZ57" s="1050"/>
      <c r="EA57" s="1050"/>
      <c r="EB57" s="1051"/>
      <c r="ED57" s="1049"/>
      <c r="EE57" s="1050"/>
      <c r="EF57" s="1050"/>
      <c r="EG57" s="1050"/>
      <c r="EH57" s="1050"/>
      <c r="EI57" s="1050"/>
      <c r="EJ57" s="1050"/>
      <c r="EK57" s="1050"/>
      <c r="EL57" s="1051"/>
      <c r="EP57" s="937"/>
    </row>
    <row r="58" spans="3:162">
      <c r="AX58" s="916"/>
      <c r="AY58" s="916"/>
      <c r="AZ58" s="916"/>
      <c r="BA58" s="916"/>
      <c r="BB58" s="916"/>
      <c r="BC58" s="916"/>
      <c r="BD58" s="916"/>
      <c r="BE58" s="916"/>
      <c r="BY58" s="916"/>
      <c r="BZ58" s="916"/>
      <c r="CW58" s="916"/>
      <c r="CX58" s="916"/>
      <c r="CY58" s="916"/>
    </row>
    <row r="59" spans="3:162" ht="15.75" thickBot="1">
      <c r="G59" s="1052" t="s">
        <v>734</v>
      </c>
      <c r="AX59" s="916"/>
      <c r="AY59" s="916"/>
      <c r="AZ59" s="916"/>
      <c r="BA59" s="916"/>
      <c r="BB59" s="916"/>
      <c r="BC59" s="916"/>
      <c r="BD59" s="916"/>
      <c r="BE59" s="916"/>
      <c r="BY59" s="916"/>
      <c r="BZ59" s="916"/>
      <c r="CW59" s="916"/>
      <c r="CX59" s="916"/>
      <c r="CY59" s="916"/>
    </row>
    <row r="60" spans="3:162" s="912" customFormat="1" ht="5.0999999999999996" customHeight="1">
      <c r="C60" s="968"/>
      <c r="E60" s="914"/>
      <c r="F60" s="925"/>
      <c r="K60" s="924"/>
      <c r="M60" s="924"/>
      <c r="O60" s="924"/>
      <c r="Q60" s="924"/>
      <c r="S60" s="924"/>
      <c r="U60" s="924"/>
      <c r="W60" s="924"/>
      <c r="Y60" s="924"/>
      <c r="AA60" s="924"/>
      <c r="AC60" s="924"/>
      <c r="AE60" s="924"/>
      <c r="AG60" s="924"/>
      <c r="AI60" s="924"/>
      <c r="AK60" s="924"/>
      <c r="AM60" s="924"/>
      <c r="AO60" s="924"/>
      <c r="AQ60" s="924"/>
      <c r="AS60" s="924"/>
      <c r="AU60" s="924"/>
      <c r="AW60" s="924"/>
      <c r="AX60" s="926"/>
      <c r="AY60" s="927"/>
      <c r="AZ60" s="926"/>
      <c r="BA60" s="927"/>
      <c r="BB60" s="926"/>
      <c r="BC60" s="927"/>
      <c r="BD60" s="926"/>
      <c r="BE60" s="927"/>
      <c r="BG60" s="924"/>
      <c r="BI60" s="924"/>
      <c r="BK60" s="924"/>
      <c r="BM60" s="924"/>
      <c r="BO60" s="924"/>
      <c r="BQ60" s="924"/>
      <c r="BS60" s="928"/>
      <c r="BT60" s="1055"/>
      <c r="BU60" s="929"/>
      <c r="BW60" s="924"/>
      <c r="BY60" s="927"/>
      <c r="BZ60" s="926"/>
      <c r="CA60" s="924"/>
      <c r="CC60" s="928"/>
      <c r="CD60" s="1055"/>
      <c r="CE60" s="929"/>
      <c r="CF60" s="924"/>
      <c r="CG60" s="924"/>
      <c r="CI60" s="924"/>
      <c r="CK60" s="924"/>
      <c r="CM60" s="924"/>
      <c r="CO60" s="924"/>
      <c r="CQ60" s="924"/>
      <c r="CS60" s="924"/>
      <c r="CU60" s="924"/>
      <c r="CW60" s="927"/>
      <c r="CX60" s="926"/>
      <c r="CY60" s="927"/>
      <c r="DA60" s="924"/>
      <c r="DC60" s="924"/>
      <c r="DE60" s="924"/>
      <c r="DG60" s="924"/>
      <c r="DI60" s="924"/>
      <c r="DK60" s="928"/>
      <c r="DL60" s="1055"/>
      <c r="DM60" s="929"/>
      <c r="DO60" s="930"/>
      <c r="DP60" s="931"/>
      <c r="DQ60" s="932"/>
      <c r="DR60" s="924"/>
      <c r="DS60" s="924"/>
      <c r="DT60" s="933"/>
      <c r="DU60" s="934"/>
      <c r="DV60" s="935"/>
      <c r="DW60" s="934"/>
      <c r="DX60" s="935"/>
      <c r="DY60" s="934"/>
      <c r="DZ60" s="935"/>
      <c r="EA60" s="934"/>
      <c r="EB60" s="936"/>
      <c r="EC60" s="924"/>
      <c r="ED60" s="933"/>
      <c r="EE60" s="934"/>
      <c r="EF60" s="935"/>
      <c r="EG60" s="934"/>
      <c r="EH60" s="935"/>
      <c r="EI60" s="934"/>
      <c r="EJ60" s="935"/>
      <c r="EK60" s="934"/>
      <c r="EL60" s="936"/>
      <c r="EM60" s="924"/>
      <c r="EN60" s="924"/>
      <c r="EO60" s="937"/>
      <c r="EQ60" s="913"/>
      <c r="ER60" s="913"/>
      <c r="ET60" s="913"/>
      <c r="EU60" s="913"/>
      <c r="EW60" s="913"/>
      <c r="EX60" s="913"/>
      <c r="EZ60" s="913"/>
      <c r="FB60" s="913"/>
      <c r="FC60" s="913"/>
      <c r="FE60" s="913"/>
      <c r="FF60" s="913"/>
    </row>
    <row r="61" spans="3:162" s="918" customFormat="1">
      <c r="C61" s="968"/>
      <c r="G61" s="970" t="str">
        <f>IF(I60&gt;0,MAX($G$12:G52)+1,"")</f>
        <v/>
      </c>
      <c r="H61" s="971" t="s">
        <v>735</v>
      </c>
      <c r="I61" s="971"/>
      <c r="K61" s="1025"/>
      <c r="M61" s="1025"/>
      <c r="O61" s="1025"/>
      <c r="Q61" s="1025"/>
      <c r="S61" s="1025"/>
      <c r="U61" s="1025"/>
      <c r="W61" s="1025"/>
      <c r="Y61" s="1025"/>
      <c r="AA61" s="1025"/>
      <c r="AC61" s="1025"/>
      <c r="AE61" s="1025"/>
      <c r="AG61" s="1025"/>
      <c r="AI61" s="1025"/>
      <c r="AK61" s="1025"/>
      <c r="AM61" s="1025"/>
      <c r="AO61" s="1025"/>
      <c r="AQ61" s="1025"/>
      <c r="AS61" s="1025"/>
      <c r="AU61" s="1025"/>
      <c r="AW61" s="1025"/>
      <c r="AX61" s="970"/>
      <c r="AY61" s="1026"/>
      <c r="AZ61" s="970"/>
      <c r="BA61" s="1026"/>
      <c r="BB61" s="970"/>
      <c r="BC61" s="1026"/>
      <c r="BD61" s="970"/>
      <c r="BE61" s="1026"/>
      <c r="BG61" s="1025"/>
      <c r="BI61" s="1025"/>
      <c r="BK61" s="1025"/>
      <c r="BM61" s="1025"/>
      <c r="BO61" s="1025"/>
      <c r="BQ61" s="1025"/>
      <c r="BS61" s="972"/>
      <c r="BT61" s="1025"/>
      <c r="BU61" s="973"/>
      <c r="BW61" s="1025"/>
      <c r="BY61" s="1026"/>
      <c r="BZ61" s="970"/>
      <c r="CA61" s="1025"/>
      <c r="CC61" s="972"/>
      <c r="CD61" s="1025"/>
      <c r="CE61" s="973"/>
      <c r="CG61" s="1025"/>
      <c r="CI61" s="1025"/>
      <c r="CK61" s="1025"/>
      <c r="CM61" s="1025"/>
      <c r="CO61" s="1025"/>
      <c r="CQ61" s="1025"/>
      <c r="CS61" s="1025"/>
      <c r="CU61" s="1025"/>
      <c r="CW61" s="1026"/>
      <c r="CX61" s="970"/>
      <c r="CY61" s="1026"/>
      <c r="DA61" s="1025"/>
      <c r="DC61" s="1025"/>
      <c r="DE61" s="1025"/>
      <c r="DG61" s="1025"/>
      <c r="DI61" s="1025"/>
      <c r="DK61" s="972"/>
      <c r="DL61" s="1025"/>
      <c r="DM61" s="973"/>
      <c r="DO61" s="974"/>
      <c r="DP61" s="1025"/>
      <c r="DQ61" s="975"/>
      <c r="DT61" s="976"/>
      <c r="DU61" s="1025"/>
      <c r="DW61" s="1025"/>
      <c r="DY61" s="1025"/>
      <c r="EA61" s="1025"/>
      <c r="EB61" s="977"/>
      <c r="ED61" s="976"/>
      <c r="EE61" s="1025"/>
      <c r="EG61" s="1025"/>
      <c r="EI61" s="1025"/>
      <c r="EK61" s="1025"/>
      <c r="EL61" s="977"/>
      <c r="EO61" s="1000"/>
      <c r="EP61" s="937"/>
      <c r="EQ61" s="917"/>
      <c r="ER61" s="913"/>
      <c r="ET61" s="917"/>
      <c r="EU61" s="913"/>
      <c r="EW61" s="990"/>
      <c r="EX61" s="913"/>
      <c r="EZ61" s="913"/>
      <c r="FB61" s="913"/>
      <c r="FC61" s="913"/>
      <c r="FE61" s="913"/>
      <c r="FF61" s="913"/>
    </row>
    <row r="62" spans="3:162" s="918" customFormat="1" ht="17.25">
      <c r="C62" s="968"/>
      <c r="G62" s="916" t="str">
        <f>IF(I61&gt;0,MAX($G$12:G61)+1,"")</f>
        <v/>
      </c>
      <c r="H62" s="906" t="s">
        <v>736</v>
      </c>
      <c r="I62" s="80" t="s">
        <v>609</v>
      </c>
      <c r="K62" s="1078"/>
      <c r="L62" s="1078"/>
      <c r="M62" s="1078"/>
      <c r="N62" s="1078"/>
      <c r="O62" s="1078"/>
      <c r="P62" s="1078"/>
      <c r="Q62" s="1078"/>
      <c r="R62" s="1078"/>
      <c r="S62" s="1078"/>
      <c r="T62" s="1078"/>
      <c r="U62" s="1078"/>
      <c r="V62" s="1078"/>
      <c r="W62" s="1078"/>
      <c r="X62" s="1078"/>
      <c r="Y62" s="1078"/>
      <c r="Z62" s="1078"/>
      <c r="AA62" s="1078"/>
      <c r="AB62" s="1078"/>
      <c r="AC62" s="1078"/>
      <c r="AD62" s="1078"/>
      <c r="AE62" s="1078"/>
      <c r="AF62" s="1078"/>
      <c r="AG62" s="1078"/>
      <c r="AH62" s="1078"/>
      <c r="AI62" s="1078"/>
      <c r="AJ62" s="1078"/>
      <c r="AK62" s="1078"/>
      <c r="AL62" s="1078"/>
      <c r="AM62" s="1078"/>
      <c r="AN62" s="1078"/>
      <c r="AO62" s="1078"/>
      <c r="AP62" s="1078"/>
      <c r="AQ62" s="1078"/>
      <c r="AR62" s="1078"/>
      <c r="AS62" s="1078"/>
      <c r="AT62" s="1078"/>
      <c r="AU62" s="1078"/>
      <c r="AV62" s="1078"/>
      <c r="AW62" s="1078"/>
      <c r="AX62" s="1078"/>
      <c r="AY62" s="1078"/>
      <c r="AZ62" s="1078"/>
      <c r="BA62" s="1078"/>
      <c r="BB62" s="1078"/>
      <c r="BC62" s="1078"/>
      <c r="BD62" s="1078"/>
      <c r="BE62" s="1078"/>
      <c r="BF62" s="1078"/>
      <c r="BG62" s="1078"/>
      <c r="BH62" s="1078"/>
      <c r="BI62" s="1078"/>
      <c r="BJ62" s="1078"/>
      <c r="BK62" s="1078"/>
      <c r="BL62" s="1078"/>
      <c r="BM62" s="1078"/>
      <c r="BN62" s="1078"/>
      <c r="BO62" s="1078"/>
      <c r="BP62" s="1078"/>
      <c r="BQ62" s="1078"/>
      <c r="BR62" s="914"/>
      <c r="BS62" s="942"/>
      <c r="BT62" s="1029">
        <v>0</v>
      </c>
      <c r="BU62" s="943"/>
      <c r="BW62" s="1078"/>
      <c r="BX62" s="1078"/>
      <c r="BY62" s="1078"/>
      <c r="BZ62" s="1078"/>
      <c r="CA62" s="1078"/>
      <c r="CB62" s="914"/>
      <c r="CC62" s="942"/>
      <c r="CD62" s="1036">
        <f>'[21]FY26-FY28_Retiro Budget Proj'!P36</f>
        <v>307475.42200000002</v>
      </c>
      <c r="CE62" s="943"/>
      <c r="CF62" s="914"/>
      <c r="CG62" s="1078"/>
      <c r="CH62" s="1078"/>
      <c r="CI62" s="1078"/>
      <c r="CJ62" s="1078"/>
      <c r="CK62" s="1078"/>
      <c r="CL62" s="1078"/>
      <c r="CM62" s="1078"/>
      <c r="CN62" s="1078"/>
      <c r="CO62" s="1078"/>
      <c r="CP62" s="1078"/>
      <c r="CQ62" s="1078"/>
      <c r="CR62" s="1078"/>
      <c r="CS62" s="1078"/>
      <c r="CT62" s="1078"/>
      <c r="CU62" s="1078"/>
      <c r="CV62" s="1078"/>
      <c r="CW62" s="1078"/>
      <c r="CX62" s="1078"/>
      <c r="CY62" s="1078"/>
      <c r="CZ62" s="1078"/>
      <c r="DA62" s="1078"/>
      <c r="DB62" s="1078"/>
      <c r="DC62" s="1078"/>
      <c r="DD62" s="996"/>
      <c r="DE62" s="1078"/>
      <c r="DF62" s="996"/>
      <c r="DG62" s="1078"/>
      <c r="DH62" s="996"/>
      <c r="DI62" s="1078"/>
      <c r="DJ62" s="914"/>
      <c r="DK62" s="942"/>
      <c r="DL62" s="1029">
        <v>0</v>
      </c>
      <c r="DM62" s="973"/>
      <c r="DO62" s="946"/>
      <c r="DP62" s="1072">
        <f>SUM(BT62,CD62,DL62)</f>
        <v>307475.42200000002</v>
      </c>
      <c r="DQ62" s="975"/>
      <c r="DT62" s="949"/>
      <c r="DU62" s="1036">
        <v>0</v>
      </c>
      <c r="DW62" s="1036">
        <f>'[21]FY26-FY28_Retiro Budget Proj'!AD36</f>
        <v>298658.58064</v>
      </c>
      <c r="DY62" s="1036">
        <v>0</v>
      </c>
      <c r="EA62" s="1036">
        <f t="shared" ref="EA62:EA63" si="12">SUM(DU62,DW62,DY62)</f>
        <v>298658.58064</v>
      </c>
      <c r="EB62" s="977"/>
      <c r="ED62" s="949"/>
      <c r="EE62" s="1036">
        <v>0</v>
      </c>
      <c r="EG62" s="1036">
        <f>'[21]FY26-FY28_Retiro Budget Proj'!AF36</f>
        <v>298438.60800000001</v>
      </c>
      <c r="EI62" s="1036">
        <v>0</v>
      </c>
      <c r="EK62" s="1036">
        <f t="shared" ref="EK62:EK63" si="13">SUM(EE62,EG62,EI62)</f>
        <v>298438.60800000001</v>
      </c>
      <c r="EL62" s="977"/>
      <c r="EO62" s="1000"/>
      <c r="EP62" s="937"/>
      <c r="EQ62" s="990" t="s">
        <v>709</v>
      </c>
      <c r="ER62" s="990" t="s">
        <v>709</v>
      </c>
      <c r="ET62" s="990">
        <f>'[21]FY26-FY28_Retiro Budget Proj'!P36-CD62</f>
        <v>0</v>
      </c>
      <c r="EU62" s="990" t="s">
        <v>709</v>
      </c>
      <c r="EW62" s="990" t="s">
        <v>709</v>
      </c>
      <c r="EX62" s="990" t="s">
        <v>709</v>
      </c>
      <c r="EZ62" s="913"/>
      <c r="FB62" s="913"/>
      <c r="FC62" s="913"/>
      <c r="FE62" s="913"/>
      <c r="FF62" s="913"/>
    </row>
    <row r="63" spans="3:162" s="918" customFormat="1" ht="15.75" thickBot="1">
      <c r="C63" s="968"/>
      <c r="G63" s="970" t="e">
        <f>IF(I62&gt;0,MAX($G$12:G62)+1,"")</f>
        <v>#REF!</v>
      </c>
      <c r="H63" s="971" t="s">
        <v>737</v>
      </c>
      <c r="I63" s="971"/>
      <c r="K63" s="1053"/>
      <c r="L63" s="1010"/>
      <c r="M63" s="1053"/>
      <c r="N63" s="1010"/>
      <c r="O63" s="1053"/>
      <c r="P63" s="1010"/>
      <c r="Q63" s="1053"/>
      <c r="R63" s="1010"/>
      <c r="S63" s="1053"/>
      <c r="T63" s="1010"/>
      <c r="U63" s="1053"/>
      <c r="V63" s="1010"/>
      <c r="W63" s="1053"/>
      <c r="X63" s="1010"/>
      <c r="Y63" s="1053"/>
      <c r="Z63" s="1010"/>
      <c r="AA63" s="1053"/>
      <c r="AB63" s="1010"/>
      <c r="AC63" s="1053"/>
      <c r="AD63" s="1010"/>
      <c r="AE63" s="1053"/>
      <c r="AF63" s="1010"/>
      <c r="AG63" s="1053"/>
      <c r="AH63" s="1010"/>
      <c r="AI63" s="1053"/>
      <c r="AJ63" s="1010"/>
      <c r="AK63" s="1053"/>
      <c r="AL63" s="1010"/>
      <c r="AM63" s="1053"/>
      <c r="AN63" s="1010"/>
      <c r="AO63" s="1053"/>
      <c r="AP63" s="1010"/>
      <c r="AQ63" s="1053"/>
      <c r="AR63" s="1010"/>
      <c r="AS63" s="1053"/>
      <c r="AT63" s="1010"/>
      <c r="AU63" s="1053"/>
      <c r="AV63" s="1010"/>
      <c r="AW63" s="1053"/>
      <c r="AX63" s="1009"/>
      <c r="AY63" s="1054"/>
      <c r="AZ63" s="1009"/>
      <c r="BA63" s="1054"/>
      <c r="BB63" s="1009"/>
      <c r="BC63" s="1054"/>
      <c r="BD63" s="1009"/>
      <c r="BE63" s="1054"/>
      <c r="BF63" s="1010"/>
      <c r="BG63" s="1053"/>
      <c r="BH63" s="1010"/>
      <c r="BI63" s="1053"/>
      <c r="BJ63" s="1010"/>
      <c r="BK63" s="1053"/>
      <c r="BL63" s="1010"/>
      <c r="BM63" s="1053"/>
      <c r="BN63" s="1010"/>
      <c r="BO63" s="1053"/>
      <c r="BP63" s="1010"/>
      <c r="BQ63" s="1053"/>
      <c r="BS63" s="972"/>
      <c r="BT63" s="1043">
        <f>SUM(BT62)</f>
        <v>0</v>
      </c>
      <c r="BU63" s="973"/>
      <c r="BW63" s="1053"/>
      <c r="BX63" s="1010"/>
      <c r="BY63" s="1054"/>
      <c r="BZ63" s="1009"/>
      <c r="CA63" s="1053"/>
      <c r="CC63" s="972"/>
      <c r="CD63" s="1062">
        <f>SUM(CD62)</f>
        <v>307475.42200000002</v>
      </c>
      <c r="CE63" s="973"/>
      <c r="CG63" s="1053"/>
      <c r="CH63" s="1010"/>
      <c r="CI63" s="1053"/>
      <c r="CJ63" s="1010"/>
      <c r="CK63" s="1053"/>
      <c r="CL63" s="1010"/>
      <c r="CM63" s="1053"/>
      <c r="CN63" s="1010"/>
      <c r="CO63" s="1053"/>
      <c r="CP63" s="1010"/>
      <c r="CQ63" s="1053"/>
      <c r="CR63" s="1010"/>
      <c r="CS63" s="1053"/>
      <c r="CT63" s="1010"/>
      <c r="CU63" s="1053"/>
      <c r="CV63" s="1010"/>
      <c r="CW63" s="1054"/>
      <c r="CX63" s="1009"/>
      <c r="CY63" s="1054"/>
      <c r="CZ63" s="1010"/>
      <c r="DA63" s="1053"/>
      <c r="DB63" s="1010"/>
      <c r="DC63" s="1053"/>
      <c r="DD63" s="1010"/>
      <c r="DE63" s="1053"/>
      <c r="DF63" s="1010"/>
      <c r="DG63" s="1053"/>
      <c r="DH63" s="1010"/>
      <c r="DI63" s="1053"/>
      <c r="DK63" s="972"/>
      <c r="DL63" s="1043">
        <f>SUM(DL62)</f>
        <v>0</v>
      </c>
      <c r="DM63" s="973"/>
      <c r="DO63" s="974"/>
      <c r="DP63" s="1073">
        <f>SUM(BT63,CD63,DL63)</f>
        <v>307475.42200000002</v>
      </c>
      <c r="DQ63" s="975"/>
      <c r="DT63" s="976"/>
      <c r="DU63" s="1043">
        <f>DU62</f>
        <v>0</v>
      </c>
      <c r="DW63" s="1043">
        <f>DW62</f>
        <v>298658.58064</v>
      </c>
      <c r="DY63" s="1043">
        <f>DY62</f>
        <v>0</v>
      </c>
      <c r="EA63" s="1043">
        <f t="shared" si="12"/>
        <v>298658.58064</v>
      </c>
      <c r="EB63" s="977"/>
      <c r="ED63" s="976"/>
      <c r="EE63" s="1043">
        <f>EE62</f>
        <v>0</v>
      </c>
      <c r="EG63" s="1043">
        <f>EG62</f>
        <v>298438.60800000001</v>
      </c>
      <c r="EI63" s="1043">
        <f>EI62</f>
        <v>0</v>
      </c>
      <c r="EK63" s="1043">
        <f t="shared" si="13"/>
        <v>298438.60800000001</v>
      </c>
      <c r="EL63" s="977"/>
      <c r="EO63" s="1000"/>
      <c r="EP63" s="937"/>
      <c r="EQ63" s="990" t="s">
        <v>709</v>
      </c>
      <c r="ER63" s="990" t="s">
        <v>709</v>
      </c>
      <c r="ET63" s="990">
        <f>'[21]FY26-FY28_Retiro Budget Proj'!P37-CD63</f>
        <v>0</v>
      </c>
      <c r="EU63" s="990" t="s">
        <v>709</v>
      </c>
      <c r="EW63" s="990" t="s">
        <v>709</v>
      </c>
      <c r="EX63" s="990" t="s">
        <v>709</v>
      </c>
      <c r="EZ63" s="913">
        <f>SUM(DP62)-DP63</f>
        <v>0</v>
      </c>
      <c r="FB63" s="913">
        <f>SUM('[21]FY26-FY28_Retiro Budget Proj'!AD36)-DW63</f>
        <v>0</v>
      </c>
      <c r="FC63" s="913">
        <f>SUM(EA62-EA63)</f>
        <v>0</v>
      </c>
      <c r="FE63" s="913">
        <f>SUM('[21]FY26-FY28_Retiro Budget Proj'!AF37)-EK63</f>
        <v>0</v>
      </c>
      <c r="FF63" s="913">
        <f>SUM(EK62-EK63)</f>
        <v>0</v>
      </c>
    </row>
    <row r="64" spans="3:162" s="918" customFormat="1">
      <c r="C64" s="968"/>
      <c r="G64" s="970" t="str">
        <f>IF(I63&gt;0,MAX($G$12:G63)+1,"")</f>
        <v/>
      </c>
      <c r="H64" s="971"/>
      <c r="I64" s="971"/>
      <c r="K64" s="1023"/>
      <c r="M64" s="1023"/>
      <c r="O64" s="1023"/>
      <c r="Q64" s="1023"/>
      <c r="S64" s="1023"/>
      <c r="U64" s="1023"/>
      <c r="W64" s="1023"/>
      <c r="Y64" s="1023"/>
      <c r="AA64" s="1023"/>
      <c r="AC64" s="1023"/>
      <c r="AE64" s="1023"/>
      <c r="AG64" s="1023"/>
      <c r="AI64" s="1023"/>
      <c r="AK64" s="1023"/>
      <c r="AM64" s="1023"/>
      <c r="AO64" s="1023"/>
      <c r="AQ64" s="1023"/>
      <c r="AS64" s="1023"/>
      <c r="AU64" s="1023"/>
      <c r="AW64" s="1023"/>
      <c r="AY64" s="1023"/>
      <c r="BA64" s="1023"/>
      <c r="BC64" s="1023"/>
      <c r="BE64" s="1023"/>
      <c r="BG64" s="1023"/>
      <c r="BI64" s="1023"/>
      <c r="BK64" s="1023"/>
      <c r="BM64" s="1023"/>
      <c r="BO64" s="1023"/>
      <c r="BQ64" s="1023"/>
      <c r="BS64" s="972"/>
      <c r="BT64" s="1023"/>
      <c r="BU64" s="973"/>
      <c r="BW64" s="1023"/>
      <c r="BY64" s="1023"/>
      <c r="CA64" s="1023"/>
      <c r="CC64" s="972"/>
      <c r="CD64" s="1023"/>
      <c r="CE64" s="973"/>
      <c r="CG64" s="1023"/>
      <c r="CI64" s="1023"/>
      <c r="CK64" s="1023"/>
      <c r="CM64" s="1023"/>
      <c r="CO64" s="1023"/>
      <c r="CQ64" s="1023"/>
      <c r="CS64" s="1023"/>
      <c r="CU64" s="1023"/>
      <c r="CW64" s="1038"/>
      <c r="CX64" s="970"/>
      <c r="CY64" s="1038"/>
      <c r="DA64" s="1023"/>
      <c r="DC64" s="1023"/>
      <c r="DE64" s="1023"/>
      <c r="DG64" s="1023"/>
      <c r="DI64" s="1023"/>
      <c r="DK64" s="972"/>
      <c r="DL64" s="1023"/>
      <c r="DM64" s="973"/>
      <c r="DO64" s="974"/>
      <c r="DP64" s="1023"/>
      <c r="DQ64" s="975"/>
      <c r="DT64" s="976"/>
      <c r="DU64" s="1023"/>
      <c r="DW64" s="1023"/>
      <c r="DY64" s="1023"/>
      <c r="EA64" s="1023"/>
      <c r="EB64" s="977"/>
      <c r="ED64" s="976"/>
      <c r="EE64" s="1023"/>
      <c r="EG64" s="1023"/>
      <c r="EI64" s="1023"/>
      <c r="EK64" s="1023"/>
      <c r="EL64" s="977"/>
      <c r="EO64" s="1000"/>
      <c r="EP64" s="937"/>
      <c r="EQ64" s="990"/>
      <c r="ER64" s="990"/>
      <c r="ET64" s="990"/>
      <c r="EU64" s="990"/>
      <c r="EW64" s="990"/>
      <c r="EX64" s="990"/>
      <c r="EZ64" s="913"/>
      <c r="FB64" s="913"/>
      <c r="FC64" s="913"/>
      <c r="FE64" s="913"/>
      <c r="FF64" s="913"/>
    </row>
    <row r="65" spans="3:162" s="918" customFormat="1" ht="17.25">
      <c r="C65" s="968" t="s">
        <v>720</v>
      </c>
      <c r="G65" s="970" t="str">
        <f>IF(I64&gt;0,MAX($G$12:G64)+1,"")</f>
        <v/>
      </c>
      <c r="H65" s="971" t="s">
        <v>738</v>
      </c>
      <c r="I65" s="971"/>
      <c r="K65" s="1025"/>
      <c r="M65" s="1025"/>
      <c r="O65" s="1025"/>
      <c r="Q65" s="1025"/>
      <c r="S65" s="1025"/>
      <c r="U65" s="1025"/>
      <c r="W65" s="1025"/>
      <c r="Y65" s="1025"/>
      <c r="AA65" s="1025"/>
      <c r="AC65" s="1025"/>
      <c r="AE65" s="1025"/>
      <c r="AG65" s="1025"/>
      <c r="AI65" s="1025"/>
      <c r="AK65" s="1025"/>
      <c r="AM65" s="1025"/>
      <c r="AO65" s="1025"/>
      <c r="AQ65" s="1025"/>
      <c r="AS65" s="1025"/>
      <c r="AU65" s="1025"/>
      <c r="AW65" s="1025"/>
      <c r="AX65" s="970"/>
      <c r="AY65" s="1026"/>
      <c r="AZ65" s="970"/>
      <c r="BA65" s="1026"/>
      <c r="BB65" s="970"/>
      <c r="BC65" s="1026"/>
      <c r="BD65" s="970"/>
      <c r="BE65" s="1026"/>
      <c r="BG65" s="1025"/>
      <c r="BI65" s="1025"/>
      <c r="BK65" s="1025"/>
      <c r="BM65" s="1025"/>
      <c r="BO65" s="1025"/>
      <c r="BQ65" s="1025"/>
      <c r="BS65" s="972"/>
      <c r="BT65" s="1025"/>
      <c r="BU65" s="973"/>
      <c r="BW65" s="1025"/>
      <c r="BY65" s="1026"/>
      <c r="BZ65" s="970"/>
      <c r="CA65" s="1025"/>
      <c r="CC65" s="972"/>
      <c r="CD65" s="1025"/>
      <c r="CE65" s="973"/>
      <c r="CG65" s="1025"/>
      <c r="CI65" s="1025"/>
      <c r="CK65" s="1025"/>
      <c r="CM65" s="1025"/>
      <c r="CO65" s="1025"/>
      <c r="CQ65" s="1025"/>
      <c r="CS65" s="1025"/>
      <c r="CU65" s="1025"/>
      <c r="CW65" s="1026"/>
      <c r="CX65" s="970"/>
      <c r="CY65" s="1026"/>
      <c r="DA65" s="1025"/>
      <c r="DC65" s="1025"/>
      <c r="DE65" s="1025"/>
      <c r="DG65" s="1025"/>
      <c r="DI65" s="1025"/>
      <c r="DK65" s="972"/>
      <c r="DL65" s="1025"/>
      <c r="DM65" s="973"/>
      <c r="DO65" s="974"/>
      <c r="DP65" s="1025"/>
      <c r="DQ65" s="975"/>
      <c r="DT65" s="976"/>
      <c r="DU65" s="1025"/>
      <c r="DW65" s="1025"/>
      <c r="DY65" s="1025"/>
      <c r="EA65" s="1025"/>
      <c r="EB65" s="977"/>
      <c r="ED65" s="976"/>
      <c r="EE65" s="1025"/>
      <c r="EG65" s="1025"/>
      <c r="EI65" s="1025"/>
      <c r="EK65" s="1025"/>
      <c r="EL65" s="977"/>
      <c r="EO65" s="1000"/>
      <c r="EP65" s="937"/>
      <c r="EQ65" s="917"/>
      <c r="ET65" s="917"/>
      <c r="EZ65" s="913"/>
      <c r="FB65" s="913"/>
      <c r="FC65" s="913"/>
      <c r="FE65" s="913"/>
      <c r="FF65" s="913"/>
    </row>
    <row r="66" spans="3:162" s="918" customFormat="1">
      <c r="C66" s="968"/>
      <c r="G66" s="916" t="str">
        <f>IF(I65&gt;0,MAX($G$12:G65)+1,"")</f>
        <v/>
      </c>
      <c r="H66" s="1039" t="s">
        <v>739</v>
      </c>
      <c r="I66" s="80"/>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BD66" s="1078"/>
      <c r="BE66" s="1078"/>
      <c r="BF66" s="1078"/>
      <c r="BG66" s="1078"/>
      <c r="BH66" s="1078"/>
      <c r="BI66" s="1078"/>
      <c r="BJ66" s="1078"/>
      <c r="BK66" s="1078"/>
      <c r="BL66" s="1078"/>
      <c r="BM66" s="1078"/>
      <c r="BN66" s="1078"/>
      <c r="BO66" s="1078"/>
      <c r="BP66" s="1078"/>
      <c r="BQ66" s="1078"/>
      <c r="BR66" s="914"/>
      <c r="BS66" s="942"/>
      <c r="BT66" s="1028">
        <f>'[21]FY26-FY28_HoldCo Budget Proj'!P64</f>
        <v>1000</v>
      </c>
      <c r="BU66" s="943"/>
      <c r="BW66" s="1078"/>
      <c r="BX66" s="1078"/>
      <c r="BY66" s="1078"/>
      <c r="BZ66" s="1078"/>
      <c r="CA66" s="1078"/>
      <c r="CB66" s="914"/>
      <c r="CC66" s="942"/>
      <c r="CD66" s="1028">
        <f t="shared" ref="CD66:CD67" si="14">SUM(BW66:CA66)</f>
        <v>0</v>
      </c>
      <c r="CE66" s="943"/>
      <c r="CF66" s="914"/>
      <c r="CG66" s="1078"/>
      <c r="CH66" s="1078"/>
      <c r="CI66" s="1078"/>
      <c r="CJ66" s="1078"/>
      <c r="CK66" s="1078"/>
      <c r="CL66" s="1078"/>
      <c r="CM66" s="1078"/>
      <c r="CN66" s="1078"/>
      <c r="CO66" s="1078"/>
      <c r="CP66" s="1078"/>
      <c r="CQ66" s="1078"/>
      <c r="CR66" s="1078"/>
      <c r="CS66" s="1078"/>
      <c r="CT66" s="1078"/>
      <c r="CU66" s="1078"/>
      <c r="CV66" s="1078"/>
      <c r="CW66" s="1078"/>
      <c r="CX66" s="1078"/>
      <c r="CY66" s="1078"/>
      <c r="CZ66" s="1078"/>
      <c r="DA66" s="1078"/>
      <c r="DB66" s="1078"/>
      <c r="DC66" s="1078"/>
      <c r="DD66" s="996"/>
      <c r="DE66" s="1078"/>
      <c r="DF66" s="996"/>
      <c r="DG66" s="1078"/>
      <c r="DH66" s="996"/>
      <c r="DI66" s="1078"/>
      <c r="DJ66" s="914"/>
      <c r="DK66" s="942"/>
      <c r="DL66" s="1029">
        <f>SUM(CG66:DI66)</f>
        <v>0</v>
      </c>
      <c r="DM66" s="973"/>
      <c r="DO66" s="946"/>
      <c r="DP66" s="1029">
        <f>SUM(BT66,CD66,DL66)</f>
        <v>1000</v>
      </c>
      <c r="DQ66" s="975"/>
      <c r="DT66" s="949"/>
      <c r="DU66" s="1029">
        <f>'[21]FY26-FY28_HoldCo Budget Proj'!AD64</f>
        <v>0</v>
      </c>
      <c r="DW66" s="1029">
        <v>0</v>
      </c>
      <c r="DY66" s="1029">
        <v>0</v>
      </c>
      <c r="EA66" s="1029">
        <f t="shared" ref="EA66:EA68" si="15">SUM(DU66,DW66,DY66)</f>
        <v>0</v>
      </c>
      <c r="EB66" s="977"/>
      <c r="ED66" s="949"/>
      <c r="EE66" s="1029">
        <f>'[21]FY26-FY28_HoldCo Budget Proj'!AF64</f>
        <v>0</v>
      </c>
      <c r="EG66" s="1029">
        <v>0</v>
      </c>
      <c r="EI66" s="1029">
        <v>0</v>
      </c>
      <c r="EK66" s="1029">
        <f t="shared" ref="EK66:EK68" si="16">SUM(EE66,EG66,EI66)</f>
        <v>0</v>
      </c>
      <c r="EL66" s="977"/>
      <c r="EO66" s="1000"/>
      <c r="EP66" s="937"/>
      <c r="EQ66" s="917"/>
      <c r="ER66" s="913"/>
      <c r="ET66" s="917"/>
      <c r="EU66" s="913"/>
      <c r="EW66" s="990"/>
      <c r="EX66" s="913"/>
      <c r="EZ66" s="913"/>
      <c r="FB66" s="913"/>
      <c r="FC66" s="913"/>
      <c r="FE66" s="913"/>
      <c r="FF66" s="913"/>
    </row>
    <row r="67" spans="3:162" s="918" customFormat="1">
      <c r="C67" s="968"/>
      <c r="G67" s="916" t="str">
        <f>IF(I66&gt;0,MAX($G$12:G66)+1,"")</f>
        <v/>
      </c>
      <c r="H67" s="1039" t="s">
        <v>740</v>
      </c>
      <c r="I67" s="80"/>
      <c r="K67" s="1078"/>
      <c r="L67" s="1078"/>
      <c r="M67" s="1078"/>
      <c r="N67" s="1078"/>
      <c r="O67" s="1078"/>
      <c r="P67" s="1078"/>
      <c r="Q67" s="1078"/>
      <c r="R67" s="1078"/>
      <c r="S67" s="1078"/>
      <c r="T67" s="1078"/>
      <c r="U67" s="1078"/>
      <c r="V67" s="1078"/>
      <c r="W67" s="1078"/>
      <c r="X67" s="1078"/>
      <c r="Y67" s="1078"/>
      <c r="Z67" s="1078"/>
      <c r="AA67" s="1078"/>
      <c r="AB67" s="1078"/>
      <c r="AC67" s="1078"/>
      <c r="AD67" s="1078"/>
      <c r="AE67" s="1078"/>
      <c r="AF67" s="1078"/>
      <c r="AG67" s="1078"/>
      <c r="AH67" s="1078"/>
      <c r="AI67" s="1078"/>
      <c r="AJ67" s="1078"/>
      <c r="AK67" s="1078"/>
      <c r="AL67" s="1078"/>
      <c r="AM67" s="1078"/>
      <c r="AN67" s="1078"/>
      <c r="AO67" s="1078"/>
      <c r="AP67" s="1078"/>
      <c r="AQ67" s="1078"/>
      <c r="AR67" s="1078"/>
      <c r="AS67" s="1078"/>
      <c r="AT67" s="1078"/>
      <c r="AU67" s="1078"/>
      <c r="AV67" s="1078"/>
      <c r="AW67" s="1078"/>
      <c r="AX67" s="1078"/>
      <c r="AY67" s="1078"/>
      <c r="AZ67" s="1078"/>
      <c r="BA67" s="1078"/>
      <c r="BB67" s="1078"/>
      <c r="BC67" s="1078"/>
      <c r="BD67" s="1078"/>
      <c r="BE67" s="1078"/>
      <c r="BF67" s="1078"/>
      <c r="BG67" s="1078"/>
      <c r="BH67" s="1078"/>
      <c r="BI67" s="1078"/>
      <c r="BJ67" s="1078"/>
      <c r="BK67" s="1078"/>
      <c r="BL67" s="1078"/>
      <c r="BM67" s="1078"/>
      <c r="BN67" s="1078"/>
      <c r="BO67" s="1078"/>
      <c r="BP67" s="1078"/>
      <c r="BQ67" s="1078"/>
      <c r="BR67" s="914"/>
      <c r="BS67" s="942"/>
      <c r="BT67" s="1030">
        <f>'[21]FY26-FY28_HoldCo Budget Proj'!P65</f>
        <v>3000</v>
      </c>
      <c r="BU67" s="943"/>
      <c r="BW67" s="1078"/>
      <c r="BX67" s="1078"/>
      <c r="BY67" s="1078"/>
      <c r="BZ67" s="1078"/>
      <c r="CA67" s="1078"/>
      <c r="CB67" s="914"/>
      <c r="CC67" s="942"/>
      <c r="CD67" s="1030">
        <f t="shared" si="14"/>
        <v>0</v>
      </c>
      <c r="CE67" s="943"/>
      <c r="CF67" s="914"/>
      <c r="CG67" s="1078"/>
      <c r="CH67" s="1078"/>
      <c r="CI67" s="1078"/>
      <c r="CJ67" s="1078"/>
      <c r="CK67" s="1078"/>
      <c r="CL67" s="1078"/>
      <c r="CM67" s="1078"/>
      <c r="CN67" s="1078"/>
      <c r="CO67" s="1078"/>
      <c r="CP67" s="1078"/>
      <c r="CQ67" s="1078"/>
      <c r="CR67" s="1078"/>
      <c r="CS67" s="1078"/>
      <c r="CT67" s="1078"/>
      <c r="CU67" s="1078"/>
      <c r="CV67" s="1078"/>
      <c r="CW67" s="1078"/>
      <c r="CX67" s="1078"/>
      <c r="CY67" s="1078"/>
      <c r="CZ67" s="1078"/>
      <c r="DA67" s="1078"/>
      <c r="DB67" s="1078"/>
      <c r="DC67" s="1078"/>
      <c r="DD67" s="996"/>
      <c r="DE67" s="1078"/>
      <c r="DF67" s="996"/>
      <c r="DG67" s="1078"/>
      <c r="DH67" s="996"/>
      <c r="DI67" s="1078"/>
      <c r="DJ67" s="914"/>
      <c r="DK67" s="942"/>
      <c r="DL67" s="1006">
        <f>SUM(CG67:DI67)</f>
        <v>0</v>
      </c>
      <c r="DM67" s="973"/>
      <c r="DO67" s="946"/>
      <c r="DP67" s="1016">
        <f>SUM(BT67,CD67,DL67)</f>
        <v>3000</v>
      </c>
      <c r="DQ67" s="975"/>
      <c r="DT67" s="949"/>
      <c r="DU67" s="1031">
        <f>'[21]FY26-FY28_HoldCo Budget Proj'!AD65</f>
        <v>0</v>
      </c>
      <c r="DW67" s="1031">
        <v>0</v>
      </c>
      <c r="DY67" s="1031">
        <v>0</v>
      </c>
      <c r="EA67" s="1031">
        <f t="shared" si="15"/>
        <v>0</v>
      </c>
      <c r="EB67" s="977"/>
      <c r="ED67" s="949"/>
      <c r="EE67" s="1031">
        <f>'[21]FY26-FY28_HoldCo Budget Proj'!AF65</f>
        <v>0</v>
      </c>
      <c r="EG67" s="1031">
        <v>0</v>
      </c>
      <c r="EI67" s="1031">
        <v>0</v>
      </c>
      <c r="EK67" s="1031">
        <f t="shared" si="16"/>
        <v>0</v>
      </c>
      <c r="EL67" s="977"/>
      <c r="EO67" s="1000"/>
      <c r="EP67" s="937"/>
      <c r="EQ67" s="917"/>
      <c r="ER67" s="913"/>
      <c r="ET67" s="917"/>
      <c r="EU67" s="913"/>
      <c r="EW67" s="990"/>
      <c r="EX67" s="913"/>
      <c r="EZ67" s="913"/>
      <c r="FB67" s="913"/>
      <c r="FC67" s="913"/>
      <c r="FE67" s="913"/>
      <c r="FF67" s="913"/>
    </row>
    <row r="68" spans="3:162" s="918" customFormat="1" ht="15.75" thickBot="1">
      <c r="C68" s="968"/>
      <c r="G68" s="970" t="str">
        <f>IF(I67&gt;0,MAX($G$12:G67)+1,"")</f>
        <v/>
      </c>
      <c r="H68" s="971" t="s">
        <v>741</v>
      </c>
      <c r="I68" s="914"/>
      <c r="K68" s="1053"/>
      <c r="L68" s="1010"/>
      <c r="M68" s="1053"/>
      <c r="N68" s="1010"/>
      <c r="O68" s="1053"/>
      <c r="P68" s="1010"/>
      <c r="Q68" s="1053"/>
      <c r="R68" s="1010"/>
      <c r="S68" s="1053"/>
      <c r="T68" s="1010"/>
      <c r="U68" s="1053"/>
      <c r="V68" s="1010"/>
      <c r="W68" s="1053"/>
      <c r="X68" s="1010"/>
      <c r="Y68" s="1053"/>
      <c r="Z68" s="1010"/>
      <c r="AA68" s="1053"/>
      <c r="AB68" s="1010"/>
      <c r="AC68" s="1053"/>
      <c r="AD68" s="1010"/>
      <c r="AE68" s="1053"/>
      <c r="AF68" s="1010"/>
      <c r="AG68" s="1053"/>
      <c r="AH68" s="1010"/>
      <c r="AI68" s="1053"/>
      <c r="AJ68" s="1010"/>
      <c r="AK68" s="1053"/>
      <c r="AL68" s="1010"/>
      <c r="AM68" s="1053"/>
      <c r="AN68" s="1010"/>
      <c r="AO68" s="1053"/>
      <c r="AP68" s="1010"/>
      <c r="AQ68" s="1053"/>
      <c r="AR68" s="1010"/>
      <c r="AS68" s="1053"/>
      <c r="AT68" s="1010"/>
      <c r="AU68" s="1053"/>
      <c r="AV68" s="1010"/>
      <c r="AW68" s="1053"/>
      <c r="AX68" s="1009"/>
      <c r="AY68" s="1054"/>
      <c r="AZ68" s="1009"/>
      <c r="BA68" s="1054"/>
      <c r="BB68" s="1009"/>
      <c r="BC68" s="1054"/>
      <c r="BD68" s="1009"/>
      <c r="BE68" s="1054"/>
      <c r="BF68" s="1010"/>
      <c r="BG68" s="1053"/>
      <c r="BH68" s="1010"/>
      <c r="BI68" s="1053"/>
      <c r="BJ68" s="1010"/>
      <c r="BK68" s="1053"/>
      <c r="BL68" s="1010"/>
      <c r="BM68" s="1053"/>
      <c r="BN68" s="1010"/>
      <c r="BO68" s="1053"/>
      <c r="BP68" s="1010"/>
      <c r="BQ68" s="1053"/>
      <c r="BS68" s="972"/>
      <c r="BT68" s="1043">
        <f>SUM(BT66:BT67)</f>
        <v>4000</v>
      </c>
      <c r="BU68" s="973"/>
      <c r="BW68" s="1053"/>
      <c r="BX68" s="1010"/>
      <c r="BY68" s="1054"/>
      <c r="BZ68" s="1009"/>
      <c r="CA68" s="1053"/>
      <c r="CC68" s="972"/>
      <c r="CD68" s="1043">
        <f>SUM(CD66:CD67)</f>
        <v>0</v>
      </c>
      <c r="CE68" s="973"/>
      <c r="CG68" s="1053"/>
      <c r="CH68" s="1010"/>
      <c r="CI68" s="1053"/>
      <c r="CJ68" s="1010"/>
      <c r="CK68" s="1053"/>
      <c r="CL68" s="1010"/>
      <c r="CM68" s="1053"/>
      <c r="CN68" s="1010"/>
      <c r="CO68" s="1053"/>
      <c r="CP68" s="1010"/>
      <c r="CQ68" s="1053"/>
      <c r="CR68" s="1010"/>
      <c r="CS68" s="1053"/>
      <c r="CT68" s="1010"/>
      <c r="CU68" s="1053"/>
      <c r="CV68" s="1010"/>
      <c r="CW68" s="1054"/>
      <c r="CX68" s="1009"/>
      <c r="CY68" s="1054"/>
      <c r="CZ68" s="1010"/>
      <c r="DA68" s="1053"/>
      <c r="DB68" s="1010"/>
      <c r="DC68" s="1053"/>
      <c r="DD68" s="1010"/>
      <c r="DE68" s="1053"/>
      <c r="DF68" s="1010"/>
      <c r="DG68" s="1053"/>
      <c r="DH68" s="1010"/>
      <c r="DI68" s="1053"/>
      <c r="DK68" s="972"/>
      <c r="DL68" s="1043">
        <f>SUM(DL66:DL67)</f>
        <v>0</v>
      </c>
      <c r="DM68" s="973"/>
      <c r="DO68" s="974"/>
      <c r="DP68" s="1043">
        <f>SUM(BT68,CD68,DL68)</f>
        <v>4000</v>
      </c>
      <c r="DQ68" s="975"/>
      <c r="DT68" s="976"/>
      <c r="DU68" s="1043">
        <f>SUM(DU66:DU67)</f>
        <v>0</v>
      </c>
      <c r="DW68" s="1043">
        <f>SUM(DW66:DW67)</f>
        <v>0</v>
      </c>
      <c r="DY68" s="1043">
        <f>SUM(DY66:DY67)</f>
        <v>0</v>
      </c>
      <c r="EA68" s="1043">
        <f t="shared" si="15"/>
        <v>0</v>
      </c>
      <c r="EB68" s="977"/>
      <c r="ED68" s="976"/>
      <c r="EE68" s="1043">
        <f>SUM(EE66:EE67)</f>
        <v>0</v>
      </c>
      <c r="EG68" s="1043">
        <f>SUM(EG66:EG67)</f>
        <v>0</v>
      </c>
      <c r="EI68" s="1043">
        <f>SUM(EI66:EI67)</f>
        <v>0</v>
      </c>
      <c r="EK68" s="1043">
        <f t="shared" si="16"/>
        <v>0</v>
      </c>
      <c r="EL68" s="977"/>
      <c r="EO68" s="1000"/>
      <c r="EP68" s="937"/>
      <c r="EQ68" s="917">
        <f>'[21]FY26_Shared Services Separation'!F13/10^3-BT68</f>
        <v>0</v>
      </c>
      <c r="ER68" s="990" t="s">
        <v>709</v>
      </c>
      <c r="ET68" s="990" t="s">
        <v>709</v>
      </c>
      <c r="EU68" s="990" t="s">
        <v>709</v>
      </c>
      <c r="EW68" s="990" t="s">
        <v>709</v>
      </c>
      <c r="EX68" s="990" t="s">
        <v>709</v>
      </c>
      <c r="EZ68" s="913">
        <f>SUM(DP66:DP67)-DP68</f>
        <v>0</v>
      </c>
      <c r="FB68" s="913">
        <f>'[21]FY26-FY28_HoldCo Budget Proj'!AD66-EA68</f>
        <v>0</v>
      </c>
      <c r="FC68" s="913">
        <f>SUM(EA66:EA67)-EA68</f>
        <v>0</v>
      </c>
      <c r="FE68" s="913">
        <f>'[21]FY26-FY28_HoldCo Budget Proj'!AF66-EK68</f>
        <v>0</v>
      </c>
      <c r="FF68" s="913">
        <f>SUM(EK66:EK67)-EK68</f>
        <v>0</v>
      </c>
    </row>
    <row r="69" spans="3:162" ht="5.0999999999999996" customHeight="1" thickBot="1">
      <c r="G69" s="914" t="str">
        <f>IF(I68&gt;0,MAX($G$12:G68)+1,"")</f>
        <v/>
      </c>
      <c r="AX69" s="916"/>
      <c r="AY69" s="916"/>
      <c r="AZ69" s="916"/>
      <c r="BA69" s="916"/>
      <c r="BB69" s="916"/>
      <c r="BC69" s="916"/>
      <c r="BD69" s="916"/>
      <c r="BE69" s="916"/>
      <c r="BS69" s="1044"/>
      <c r="BT69" s="1061"/>
      <c r="BU69" s="1045"/>
      <c r="BY69" s="916"/>
      <c r="BZ69" s="916"/>
      <c r="CC69" s="1044"/>
      <c r="CD69" s="1061"/>
      <c r="CE69" s="1045"/>
      <c r="CW69" s="916"/>
      <c r="CX69" s="916"/>
      <c r="CY69" s="916"/>
      <c r="DK69" s="1044"/>
      <c r="DL69" s="1061"/>
      <c r="DM69" s="1045"/>
      <c r="DO69" s="1046"/>
      <c r="DP69" s="1047"/>
      <c r="DQ69" s="1048"/>
      <c r="DT69" s="1049"/>
      <c r="DU69" s="1050"/>
      <c r="DV69" s="1050"/>
      <c r="DW69" s="1050"/>
      <c r="DX69" s="1050"/>
      <c r="DY69" s="1050"/>
      <c r="DZ69" s="1050"/>
      <c r="EA69" s="1050"/>
      <c r="EB69" s="1051"/>
      <c r="ED69" s="1049"/>
      <c r="EE69" s="1050"/>
      <c r="EF69" s="1050"/>
      <c r="EG69" s="1050"/>
      <c r="EH69" s="1050"/>
      <c r="EI69" s="1050"/>
      <c r="EJ69" s="1050"/>
      <c r="EK69" s="1050"/>
      <c r="EL69" s="1051"/>
      <c r="EP69" s="937"/>
    </row>
    <row r="70" spans="3:162" ht="5.0999999999999996" customHeight="1">
      <c r="AX70" s="916"/>
      <c r="AY70" s="916"/>
      <c r="AZ70" s="916"/>
      <c r="BA70" s="916"/>
      <c r="BB70" s="916"/>
      <c r="BC70" s="916"/>
      <c r="BD70" s="916"/>
      <c r="BE70" s="916"/>
      <c r="BY70" s="916"/>
      <c r="BZ70" s="916"/>
      <c r="CW70" s="916"/>
      <c r="CX70" s="916"/>
      <c r="CY70" s="916"/>
    </row>
    <row r="71" spans="3:162">
      <c r="I71" s="912" t="s">
        <v>742</v>
      </c>
      <c r="AX71" s="916"/>
      <c r="AY71" s="916"/>
      <c r="AZ71" s="916"/>
      <c r="BA71" s="916"/>
      <c r="BB71" s="916"/>
      <c r="BC71" s="916"/>
      <c r="BD71" s="916"/>
      <c r="BE71" s="916"/>
      <c r="BY71" s="916"/>
      <c r="BZ71" s="916"/>
      <c r="CW71" s="916"/>
      <c r="CX71" s="916"/>
      <c r="CY71" s="916"/>
    </row>
    <row r="72" spans="3:162">
      <c r="G72" s="912" t="s">
        <v>743</v>
      </c>
      <c r="H72" s="912" t="s">
        <v>742</v>
      </c>
      <c r="I72" s="912" t="s">
        <v>744</v>
      </c>
      <c r="AX72" s="916"/>
      <c r="AY72" s="916"/>
      <c r="AZ72" s="916"/>
      <c r="BA72" s="916"/>
      <c r="BB72" s="916"/>
      <c r="BC72" s="916"/>
      <c r="BD72" s="916"/>
      <c r="BE72" s="916"/>
      <c r="BY72" s="916"/>
      <c r="BZ72" s="916"/>
      <c r="CW72" s="916"/>
      <c r="CX72" s="916"/>
      <c r="CY72" s="916"/>
    </row>
    <row r="73" spans="3:162">
      <c r="G73" s="912"/>
      <c r="H73" s="912" t="s">
        <v>744</v>
      </c>
      <c r="I73" s="912" t="s">
        <v>745</v>
      </c>
      <c r="AX73" s="916"/>
      <c r="AY73" s="916"/>
      <c r="AZ73" s="916"/>
      <c r="BA73" s="916"/>
      <c r="BB73" s="916"/>
      <c r="BC73" s="916"/>
      <c r="BD73" s="916"/>
      <c r="BE73" s="916"/>
      <c r="BY73" s="916"/>
      <c r="BZ73" s="916"/>
      <c r="CW73" s="916"/>
      <c r="CX73" s="916"/>
      <c r="CY73" s="916"/>
    </row>
    <row r="74" spans="3:162">
      <c r="G74" s="912"/>
      <c r="H74" s="912" t="s">
        <v>745</v>
      </c>
      <c r="I74" s="912" t="s">
        <v>746</v>
      </c>
      <c r="AX74" s="916"/>
      <c r="AY74" s="916"/>
      <c r="AZ74" s="916"/>
      <c r="BA74" s="916"/>
      <c r="BB74" s="916"/>
      <c r="BC74" s="916"/>
      <c r="BD74" s="916"/>
      <c r="BE74" s="916"/>
      <c r="BY74" s="916"/>
      <c r="BZ74" s="916"/>
      <c r="CW74" s="916"/>
      <c r="CX74" s="916"/>
      <c r="CY74" s="916"/>
    </row>
    <row r="75" spans="3:162" s="912" customFormat="1">
      <c r="C75" s="968"/>
      <c r="G75" s="912" t="s">
        <v>747</v>
      </c>
      <c r="H75" s="912" t="s">
        <v>746</v>
      </c>
      <c r="I75" s="912" t="s">
        <v>748</v>
      </c>
      <c r="AX75" s="926"/>
      <c r="AY75" s="926"/>
      <c r="AZ75" s="926"/>
      <c r="BA75" s="926"/>
      <c r="BB75" s="926"/>
      <c r="BC75" s="926"/>
      <c r="BD75" s="926"/>
      <c r="BE75" s="926"/>
      <c r="BY75" s="926"/>
      <c r="BZ75" s="926"/>
      <c r="CW75" s="926"/>
      <c r="CX75" s="926"/>
      <c r="CY75" s="926"/>
      <c r="EQ75" s="913"/>
      <c r="ER75" s="913"/>
      <c r="ET75" s="913"/>
      <c r="EU75" s="913"/>
      <c r="EW75" s="913"/>
      <c r="EX75" s="913"/>
      <c r="EZ75" s="913"/>
      <c r="FB75" s="913"/>
      <c r="FC75" s="913"/>
      <c r="FE75" s="913"/>
      <c r="FF75" s="913"/>
    </row>
    <row r="76" spans="3:162">
      <c r="G76" s="912" t="s">
        <v>749</v>
      </c>
      <c r="H76" s="912" t="s">
        <v>748</v>
      </c>
      <c r="I76" s="912" t="s">
        <v>750</v>
      </c>
    </row>
    <row r="77" spans="3:162">
      <c r="G77" s="912" t="s">
        <v>751</v>
      </c>
      <c r="H77" s="912" t="s">
        <v>750</v>
      </c>
      <c r="I77" s="912" t="s">
        <v>752</v>
      </c>
    </row>
    <row r="78" spans="3:162">
      <c r="G78" s="912" t="s">
        <v>753</v>
      </c>
      <c r="H78" s="912" t="s">
        <v>752</v>
      </c>
      <c r="I78" s="912" t="s">
        <v>754</v>
      </c>
    </row>
    <row r="79" spans="3:162">
      <c r="G79" s="912" t="s">
        <v>755</v>
      </c>
      <c r="H79" s="912" t="s">
        <v>754</v>
      </c>
    </row>
    <row r="82" spans="8:9">
      <c r="I82" s="1064"/>
    </row>
    <row r="83" spans="8:9">
      <c r="H83" s="1064"/>
      <c r="I83" s="1064"/>
    </row>
    <row r="84" spans="8:9">
      <c r="H84" s="1064"/>
    </row>
    <row r="87" spans="8:9">
      <c r="I87" s="1065"/>
    </row>
    <row r="88" spans="8:9">
      <c r="H88" s="1065"/>
    </row>
  </sheetData>
  <pageMargins left="0.7" right="0.7" top="0.75" bottom="0.75" header="0.3" footer="0.3"/>
  <pageSetup scale="1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960DD-806E-4C4C-BE92-F18896AB097D}">
  <dimension ref="B3:K40"/>
  <sheetViews>
    <sheetView showGridLines="0" topLeftCell="A2" zoomScale="70" zoomScaleNormal="70" workbookViewId="0">
      <selection activeCell="H6" sqref="H6"/>
    </sheetView>
    <sheetView workbookViewId="1"/>
    <sheetView workbookViewId="2"/>
  </sheetViews>
  <sheetFormatPr defaultColWidth="8.7109375" defaultRowHeight="15" customHeight="1"/>
  <cols>
    <col min="1" max="1" width="6.28515625" customWidth="1"/>
    <col min="2" max="2" width="35.140625" bestFit="1" customWidth="1"/>
    <col min="3" max="3" width="17.28515625" bestFit="1" customWidth="1"/>
    <col min="4" max="4" width="50.7109375" customWidth="1"/>
    <col min="5" max="5" width="17.7109375" bestFit="1" customWidth="1"/>
    <col min="6" max="7" width="16.7109375" bestFit="1" customWidth="1"/>
    <col min="8" max="10" width="13.28515625" customWidth="1"/>
    <col min="11" max="11" width="50.7109375" customWidth="1"/>
  </cols>
  <sheetData>
    <row r="3" spans="2:11" ht="15" customHeight="1">
      <c r="B3" s="1068" t="s">
        <v>109</v>
      </c>
    </row>
    <row r="4" spans="2:11" ht="15" customHeight="1">
      <c r="E4" s="1207" t="s">
        <v>3344</v>
      </c>
      <c r="F4" s="1207"/>
      <c r="G4" s="1207"/>
      <c r="H4" s="1207" t="s">
        <v>3345</v>
      </c>
      <c r="I4" s="1207"/>
      <c r="J4" s="1207"/>
    </row>
    <row r="5" spans="2:11" ht="15" customHeight="1">
      <c r="B5" s="1131" t="s">
        <v>3346</v>
      </c>
      <c r="C5" s="1132" t="s">
        <v>3347</v>
      </c>
      <c r="D5" s="1133" t="s">
        <v>3348</v>
      </c>
      <c r="E5" s="1131" t="s">
        <v>393</v>
      </c>
      <c r="F5" s="1132" t="s">
        <v>394</v>
      </c>
      <c r="G5" s="1133" t="s">
        <v>395</v>
      </c>
      <c r="H5" s="1131" t="s">
        <v>393</v>
      </c>
      <c r="I5" s="1132" t="s">
        <v>394</v>
      </c>
      <c r="J5" s="1133" t="s">
        <v>395</v>
      </c>
      <c r="K5" s="1133" t="s">
        <v>3349</v>
      </c>
    </row>
    <row r="6" spans="2:11" ht="15" customHeight="1">
      <c r="B6" s="1134" t="s">
        <v>566</v>
      </c>
      <c r="C6" s="1135"/>
      <c r="D6" s="1136"/>
      <c r="E6" s="1137">
        <v>30000000</v>
      </c>
      <c r="F6" s="1138">
        <v>30000000</v>
      </c>
      <c r="G6" s="1139">
        <v>30000000</v>
      </c>
      <c r="H6" s="1137">
        <v>0</v>
      </c>
      <c r="I6" s="1138">
        <v>0</v>
      </c>
      <c r="J6" s="1139">
        <v>0</v>
      </c>
      <c r="K6" s="1140" t="s">
        <v>3350</v>
      </c>
    </row>
    <row r="7" spans="2:11" ht="15" customHeight="1">
      <c r="B7" s="77" t="s">
        <v>3351</v>
      </c>
      <c r="D7" s="1141"/>
      <c r="E7" s="1142">
        <v>67403088.084444597</v>
      </c>
      <c r="F7" s="1143">
        <v>34288638.684478603</v>
      </c>
      <c r="G7" s="1144">
        <v>8502694.1737267897</v>
      </c>
      <c r="H7" s="1142">
        <v>0</v>
      </c>
      <c r="I7" s="1143">
        <v>0</v>
      </c>
      <c r="J7" s="1144">
        <v>0</v>
      </c>
      <c r="K7" s="1145" t="s">
        <v>3352</v>
      </c>
    </row>
    <row r="8" spans="2:11" ht="15" customHeight="1">
      <c r="B8" s="1134" t="s">
        <v>3353</v>
      </c>
      <c r="C8" s="1135" t="s">
        <v>2241</v>
      </c>
      <c r="D8" s="1136" t="s">
        <v>2259</v>
      </c>
      <c r="E8" s="1137">
        <v>1825000</v>
      </c>
      <c r="F8" s="1138">
        <v>0</v>
      </c>
      <c r="G8" s="1139">
        <v>0</v>
      </c>
      <c r="H8" s="1137">
        <v>0</v>
      </c>
      <c r="I8" s="1138">
        <v>0</v>
      </c>
      <c r="J8" s="1139">
        <v>0</v>
      </c>
      <c r="K8" s="1140" t="s">
        <v>3354</v>
      </c>
    </row>
    <row r="9" spans="2:11" ht="15" customHeight="1">
      <c r="B9" s="77" t="s">
        <v>3353</v>
      </c>
      <c r="C9" t="s">
        <v>2120</v>
      </c>
      <c r="D9" s="1141" t="s">
        <v>2355</v>
      </c>
      <c r="E9" s="1142">
        <v>0</v>
      </c>
      <c r="F9" s="1143">
        <v>0</v>
      </c>
      <c r="G9" s="1144">
        <v>2190000</v>
      </c>
      <c r="H9" s="1142">
        <v>0</v>
      </c>
      <c r="I9" s="1143">
        <v>0</v>
      </c>
      <c r="J9" s="1144">
        <v>0</v>
      </c>
      <c r="K9" s="1145" t="s">
        <v>3355</v>
      </c>
    </row>
    <row r="10" spans="2:11" ht="15" customHeight="1">
      <c r="B10" s="1134" t="s">
        <v>3353</v>
      </c>
      <c r="C10" s="1135" t="s">
        <v>2120</v>
      </c>
      <c r="D10" s="1136" t="s">
        <v>2369</v>
      </c>
      <c r="E10" s="1137">
        <v>1825000</v>
      </c>
      <c r="F10" s="1138">
        <v>0</v>
      </c>
      <c r="G10" s="1139">
        <v>0</v>
      </c>
      <c r="H10" s="1137">
        <v>0</v>
      </c>
      <c r="I10" s="1138">
        <v>0</v>
      </c>
      <c r="J10" s="1139">
        <v>0</v>
      </c>
      <c r="K10" s="1140" t="s">
        <v>3356</v>
      </c>
    </row>
    <row r="11" spans="2:11" ht="15" customHeight="1">
      <c r="B11" s="77" t="s">
        <v>3353</v>
      </c>
      <c r="C11" t="s">
        <v>2120</v>
      </c>
      <c r="D11" s="1141" t="s">
        <v>2370</v>
      </c>
      <c r="E11" s="1142">
        <v>1460000</v>
      </c>
      <c r="F11" s="1143">
        <v>0</v>
      </c>
      <c r="G11" s="1144">
        <v>0</v>
      </c>
      <c r="H11" s="1142">
        <v>0</v>
      </c>
      <c r="I11" s="1143">
        <v>0</v>
      </c>
      <c r="J11" s="1144">
        <v>0</v>
      </c>
      <c r="K11" s="1145" t="s">
        <v>3357</v>
      </c>
    </row>
    <row r="12" spans="2:11" ht="15" customHeight="1">
      <c r="B12" s="1134" t="s">
        <v>3353</v>
      </c>
      <c r="C12" s="1135" t="s">
        <v>2120</v>
      </c>
      <c r="D12" s="1136" t="s">
        <v>2371</v>
      </c>
      <c r="E12" s="1137">
        <v>4380000</v>
      </c>
      <c r="F12" s="1138">
        <v>0</v>
      </c>
      <c r="G12" s="1139">
        <v>0</v>
      </c>
      <c r="H12" s="1137">
        <v>0</v>
      </c>
      <c r="I12" s="1138">
        <v>0</v>
      </c>
      <c r="J12" s="1139">
        <v>0</v>
      </c>
      <c r="K12" s="1140" t="s">
        <v>3358</v>
      </c>
    </row>
    <row r="13" spans="2:11" ht="15" customHeight="1">
      <c r="B13" s="77" t="s">
        <v>3353</v>
      </c>
      <c r="C13" t="s">
        <v>2120</v>
      </c>
      <c r="D13" s="1141" t="s">
        <v>2374</v>
      </c>
      <c r="E13" s="1142">
        <v>730000</v>
      </c>
      <c r="F13" s="1143">
        <v>730000</v>
      </c>
      <c r="G13" s="1144">
        <v>0</v>
      </c>
      <c r="H13" s="1142">
        <v>0</v>
      </c>
      <c r="I13" s="1143">
        <v>0</v>
      </c>
      <c r="J13" s="1144">
        <v>0</v>
      </c>
      <c r="K13" s="1145" t="s">
        <v>3359</v>
      </c>
    </row>
    <row r="14" spans="2:11" ht="15" customHeight="1">
      <c r="B14" s="1134" t="s">
        <v>3353</v>
      </c>
      <c r="C14" s="1135" t="s">
        <v>2120</v>
      </c>
      <c r="D14" s="1136" t="s">
        <v>2394</v>
      </c>
      <c r="E14" s="1137">
        <v>2500000</v>
      </c>
      <c r="F14" s="1138">
        <v>2500000</v>
      </c>
      <c r="G14" s="1139">
        <v>292000</v>
      </c>
      <c r="H14" s="1137">
        <v>0</v>
      </c>
      <c r="I14" s="1138">
        <v>0</v>
      </c>
      <c r="J14" s="1139">
        <v>0</v>
      </c>
      <c r="K14" s="1140" t="s">
        <v>3360</v>
      </c>
    </row>
    <row r="15" spans="2:11" ht="15" customHeight="1">
      <c r="B15" s="77" t="s">
        <v>3353</v>
      </c>
      <c r="C15" t="s">
        <v>2120</v>
      </c>
      <c r="D15" s="1141" t="s">
        <v>2395</v>
      </c>
      <c r="E15" s="1142">
        <v>0</v>
      </c>
      <c r="F15" s="1143">
        <v>0</v>
      </c>
      <c r="G15" s="1144">
        <v>1766892</v>
      </c>
      <c r="H15" s="1142">
        <v>0</v>
      </c>
      <c r="I15" s="1143">
        <v>0</v>
      </c>
      <c r="J15" s="1144">
        <v>0</v>
      </c>
      <c r="K15" s="1145" t="s">
        <v>3361</v>
      </c>
    </row>
    <row r="16" spans="2:11" ht="15" customHeight="1">
      <c r="B16" s="1134" t="s">
        <v>3353</v>
      </c>
      <c r="C16" s="1135" t="s">
        <v>2122</v>
      </c>
      <c r="D16" s="1136" t="s">
        <v>2418</v>
      </c>
      <c r="E16" s="1137">
        <v>5110000</v>
      </c>
      <c r="F16" s="1138">
        <v>0</v>
      </c>
      <c r="G16" s="1139">
        <v>0</v>
      </c>
      <c r="H16" s="1137">
        <v>0</v>
      </c>
      <c r="I16" s="1138">
        <v>0</v>
      </c>
      <c r="J16" s="1139">
        <v>0</v>
      </c>
      <c r="K16" s="1140" t="s">
        <v>3362</v>
      </c>
    </row>
    <row r="17" spans="2:11" ht="15" customHeight="1">
      <c r="B17" s="77" t="s">
        <v>3353</v>
      </c>
      <c r="C17" t="s">
        <v>2122</v>
      </c>
      <c r="D17" s="1141" t="s">
        <v>2420</v>
      </c>
      <c r="E17" s="1142">
        <v>0</v>
      </c>
      <c r="F17" s="1143">
        <v>5475000</v>
      </c>
      <c r="G17" s="1144">
        <v>0</v>
      </c>
      <c r="H17" s="1142">
        <v>0</v>
      </c>
      <c r="I17" s="1143">
        <v>0</v>
      </c>
      <c r="J17" s="1144">
        <v>0</v>
      </c>
      <c r="K17" s="1145" t="s">
        <v>3363</v>
      </c>
    </row>
    <row r="18" spans="2:11" ht="15" customHeight="1">
      <c r="B18" s="1134" t="s">
        <v>3353</v>
      </c>
      <c r="C18" s="1135" t="s">
        <v>2123</v>
      </c>
      <c r="D18" s="1136" t="s">
        <v>2427</v>
      </c>
      <c r="E18" s="1137">
        <v>29000000</v>
      </c>
      <c r="F18" s="1138">
        <v>2000000</v>
      </c>
      <c r="G18" s="1139">
        <v>15000000</v>
      </c>
      <c r="H18" s="1137">
        <v>0</v>
      </c>
      <c r="I18" s="1138">
        <v>0</v>
      </c>
      <c r="J18" s="1139">
        <v>0</v>
      </c>
      <c r="K18" s="1140" t="s">
        <v>3364</v>
      </c>
    </row>
    <row r="19" spans="2:11" ht="15" customHeight="1">
      <c r="B19" s="1146" t="s">
        <v>3353</v>
      </c>
      <c r="C19" s="648" t="s">
        <v>2123</v>
      </c>
      <c r="D19" s="1147" t="s">
        <v>2429</v>
      </c>
      <c r="E19" s="1148">
        <v>3500000</v>
      </c>
      <c r="F19" s="1149">
        <v>3500000</v>
      </c>
      <c r="G19" s="1150">
        <v>0</v>
      </c>
      <c r="H19" s="1148">
        <v>0</v>
      </c>
      <c r="I19" s="1149">
        <v>0</v>
      </c>
      <c r="J19" s="1150">
        <v>0</v>
      </c>
      <c r="K19" s="1151" t="s">
        <v>3365</v>
      </c>
    </row>
    <row r="20" spans="2:11" ht="15" customHeight="1">
      <c r="B20" s="1152" t="s">
        <v>2611</v>
      </c>
      <c r="C20" s="1153"/>
      <c r="D20" s="1154"/>
      <c r="E20" s="1155">
        <f>SUM(E6:E19)</f>
        <v>147733088.08444458</v>
      </c>
      <c r="F20" s="1156">
        <f t="shared" ref="F20:J20" si="0">SUM(F6:F19)</f>
        <v>78493638.684478611</v>
      </c>
      <c r="G20" s="1157">
        <f t="shared" si="0"/>
        <v>57751586.17372679</v>
      </c>
      <c r="H20" s="1155">
        <f t="shared" si="0"/>
        <v>0</v>
      </c>
      <c r="I20" s="1156">
        <f t="shared" si="0"/>
        <v>0</v>
      </c>
      <c r="J20" s="1157">
        <f t="shared" si="0"/>
        <v>0</v>
      </c>
      <c r="K20" s="1154"/>
    </row>
    <row r="24" spans="2:11" ht="15" customHeight="1">
      <c r="B24" s="1068" t="s">
        <v>102</v>
      </c>
    </row>
    <row r="25" spans="2:11" ht="15" customHeight="1">
      <c r="E25" s="1207" t="s">
        <v>3344</v>
      </c>
      <c r="F25" s="1207"/>
      <c r="G25" s="1207"/>
      <c r="H25" s="1207" t="s">
        <v>3345</v>
      </c>
      <c r="I25" s="1207"/>
      <c r="J25" s="1207"/>
    </row>
    <row r="26" spans="2:11" ht="15" customHeight="1">
      <c r="B26" s="1131" t="s">
        <v>3346</v>
      </c>
      <c r="C26" s="1132" t="s">
        <v>3347</v>
      </c>
      <c r="D26" s="1133" t="s">
        <v>3348</v>
      </c>
      <c r="E26" s="1131" t="s">
        <v>393</v>
      </c>
      <c r="F26" s="1132" t="s">
        <v>394</v>
      </c>
      <c r="G26" s="1133" t="s">
        <v>395</v>
      </c>
      <c r="H26" s="1131" t="s">
        <v>393</v>
      </c>
      <c r="I26" s="1132" t="s">
        <v>394</v>
      </c>
      <c r="J26" s="1133" t="s">
        <v>395</v>
      </c>
      <c r="K26" s="1133" t="s">
        <v>3348</v>
      </c>
    </row>
    <row r="27" spans="2:11" ht="15" customHeight="1">
      <c r="B27" s="1134" t="s">
        <v>3351</v>
      </c>
      <c r="C27" s="1135"/>
      <c r="D27" s="1136"/>
      <c r="E27" s="1137">
        <v>67403088.084444597</v>
      </c>
      <c r="F27" s="1138">
        <v>34288638.684478603</v>
      </c>
      <c r="G27" s="1139">
        <v>8502694.1737267897</v>
      </c>
      <c r="H27" s="1137">
        <v>0</v>
      </c>
      <c r="I27" s="1138">
        <v>0</v>
      </c>
      <c r="J27" s="1139">
        <v>0</v>
      </c>
      <c r="K27" s="1140" t="s">
        <v>3366</v>
      </c>
    </row>
    <row r="28" spans="2:11" ht="15" customHeight="1">
      <c r="B28" s="77" t="s">
        <v>3353</v>
      </c>
      <c r="C28" t="s">
        <v>2241</v>
      </c>
      <c r="D28" s="1141" t="s">
        <v>2259</v>
      </c>
      <c r="E28" s="1142">
        <v>2500000</v>
      </c>
      <c r="F28" s="1143">
        <v>0</v>
      </c>
      <c r="G28" s="1144">
        <v>0</v>
      </c>
      <c r="H28" s="1142">
        <v>0</v>
      </c>
      <c r="I28" s="1143">
        <v>0</v>
      </c>
      <c r="J28" s="1144">
        <v>0</v>
      </c>
      <c r="K28" s="1145" t="s">
        <v>3367</v>
      </c>
    </row>
    <row r="29" spans="2:11" ht="15" customHeight="1">
      <c r="B29" s="1134" t="s">
        <v>3353</v>
      </c>
      <c r="C29" s="1135" t="s">
        <v>2120</v>
      </c>
      <c r="D29" s="1136" t="s">
        <v>2355</v>
      </c>
      <c r="E29" s="1137">
        <v>0</v>
      </c>
      <c r="F29" s="1138">
        <v>0</v>
      </c>
      <c r="G29" s="1139">
        <v>3000000</v>
      </c>
      <c r="H29" s="1137">
        <v>0</v>
      </c>
      <c r="I29" s="1138">
        <v>0</v>
      </c>
      <c r="J29" s="1139">
        <v>0</v>
      </c>
      <c r="K29" s="1140" t="s">
        <v>3368</v>
      </c>
    </row>
    <row r="30" spans="2:11" ht="15" customHeight="1">
      <c r="B30" s="77" t="s">
        <v>3353</v>
      </c>
      <c r="C30" t="s">
        <v>2120</v>
      </c>
      <c r="D30" s="1141" t="s">
        <v>2369</v>
      </c>
      <c r="E30" s="1142">
        <v>2500000</v>
      </c>
      <c r="F30" s="1143">
        <v>0</v>
      </c>
      <c r="G30" s="1144">
        <v>0</v>
      </c>
      <c r="H30" s="1142">
        <v>0</v>
      </c>
      <c r="I30" s="1143">
        <v>0</v>
      </c>
      <c r="J30" s="1144">
        <v>0</v>
      </c>
      <c r="K30" s="1145" t="s">
        <v>3369</v>
      </c>
    </row>
    <row r="31" spans="2:11" ht="15" customHeight="1">
      <c r="B31" s="1134" t="s">
        <v>3353</v>
      </c>
      <c r="C31" s="1135" t="s">
        <v>2120</v>
      </c>
      <c r="D31" s="1136" t="s">
        <v>2370</v>
      </c>
      <c r="E31" s="1137">
        <v>2000000</v>
      </c>
      <c r="F31" s="1138">
        <v>0</v>
      </c>
      <c r="G31" s="1139">
        <v>0</v>
      </c>
      <c r="H31" s="1137">
        <v>0</v>
      </c>
      <c r="I31" s="1138">
        <v>0</v>
      </c>
      <c r="J31" s="1139">
        <v>0</v>
      </c>
      <c r="K31" s="1140" t="s">
        <v>3370</v>
      </c>
    </row>
    <row r="32" spans="2:11" ht="15" customHeight="1">
      <c r="B32" s="77" t="s">
        <v>3353</v>
      </c>
      <c r="C32" t="s">
        <v>2120</v>
      </c>
      <c r="D32" s="1141" t="s">
        <v>2371</v>
      </c>
      <c r="E32" s="1142">
        <v>6000000</v>
      </c>
      <c r="F32" s="1143">
        <v>0</v>
      </c>
      <c r="G32" s="1144">
        <v>0</v>
      </c>
      <c r="H32" s="1142">
        <v>0</v>
      </c>
      <c r="I32" s="1143">
        <v>0</v>
      </c>
      <c r="J32" s="1144">
        <v>0</v>
      </c>
      <c r="K32" s="1145" t="s">
        <v>3371</v>
      </c>
    </row>
    <row r="33" spans="2:11" ht="15" customHeight="1">
      <c r="B33" s="1134" t="s">
        <v>3353</v>
      </c>
      <c r="C33" s="1135" t="s">
        <v>2120</v>
      </c>
      <c r="D33" s="1136" t="s">
        <v>2374</v>
      </c>
      <c r="E33" s="1137">
        <v>1000000</v>
      </c>
      <c r="F33" s="1138">
        <v>1000000</v>
      </c>
      <c r="G33" s="1139">
        <v>0</v>
      </c>
      <c r="H33" s="1137">
        <v>0</v>
      </c>
      <c r="I33" s="1138">
        <v>0</v>
      </c>
      <c r="J33" s="1139">
        <v>0</v>
      </c>
      <c r="K33" s="1140" t="s">
        <v>3372</v>
      </c>
    </row>
    <row r="34" spans="2:11" ht="15" customHeight="1">
      <c r="B34" s="77" t="s">
        <v>3353</v>
      </c>
      <c r="C34" t="s">
        <v>2120</v>
      </c>
      <c r="D34" s="1141" t="s">
        <v>2394</v>
      </c>
      <c r="E34" s="1142">
        <v>2900000</v>
      </c>
      <c r="F34" s="1143">
        <v>2600000</v>
      </c>
      <c r="G34" s="1144">
        <v>400000</v>
      </c>
      <c r="H34" s="1142">
        <v>0</v>
      </c>
      <c r="I34" s="1143">
        <v>0</v>
      </c>
      <c r="J34" s="1144">
        <v>0</v>
      </c>
      <c r="K34" s="1145" t="s">
        <v>3373</v>
      </c>
    </row>
    <row r="35" spans="2:11" ht="15" customHeight="1">
      <c r="B35" s="1134" t="s">
        <v>3353</v>
      </c>
      <c r="C35" s="1135" t="s">
        <v>2120</v>
      </c>
      <c r="D35" s="1136" t="s">
        <v>2395</v>
      </c>
      <c r="E35" s="1137">
        <v>0</v>
      </c>
      <c r="F35" s="1138">
        <v>0</v>
      </c>
      <c r="G35" s="1139">
        <v>2420400</v>
      </c>
      <c r="H35" s="1137">
        <v>0</v>
      </c>
      <c r="I35" s="1138">
        <v>0</v>
      </c>
      <c r="J35" s="1139">
        <v>0</v>
      </c>
      <c r="K35" s="1140" t="s">
        <v>3374</v>
      </c>
    </row>
    <row r="36" spans="2:11" ht="15" customHeight="1">
      <c r="B36" s="77" t="s">
        <v>3353</v>
      </c>
      <c r="C36" t="s">
        <v>2122</v>
      </c>
      <c r="D36" s="1141" t="s">
        <v>2418</v>
      </c>
      <c r="E36" s="1142">
        <v>7000000</v>
      </c>
      <c r="F36" s="1143">
        <v>0</v>
      </c>
      <c r="G36" s="1144">
        <v>0</v>
      </c>
      <c r="H36" s="1142">
        <v>0</v>
      </c>
      <c r="I36" s="1143">
        <v>0</v>
      </c>
      <c r="J36" s="1144">
        <v>0</v>
      </c>
      <c r="K36" s="1145" t="s">
        <v>3375</v>
      </c>
    </row>
    <row r="37" spans="2:11" ht="15" customHeight="1">
      <c r="B37" s="1134" t="s">
        <v>3353</v>
      </c>
      <c r="C37" s="1135" t="s">
        <v>2122</v>
      </c>
      <c r="D37" s="1136" t="s">
        <v>2420</v>
      </c>
      <c r="E37" s="1137">
        <v>0</v>
      </c>
      <c r="F37" s="1138">
        <v>7500000</v>
      </c>
      <c r="G37" s="1139">
        <v>0</v>
      </c>
      <c r="H37" s="1137">
        <v>0</v>
      </c>
      <c r="I37" s="1138">
        <v>0</v>
      </c>
      <c r="J37" s="1139">
        <v>0</v>
      </c>
      <c r="K37" s="1140" t="s">
        <v>3376</v>
      </c>
    </row>
    <row r="38" spans="2:11" ht="15" customHeight="1">
      <c r="B38" s="77" t="s">
        <v>3353</v>
      </c>
      <c r="C38" t="s">
        <v>2123</v>
      </c>
      <c r="D38" s="1141" t="s">
        <v>2427</v>
      </c>
      <c r="E38" s="1142">
        <v>29000000</v>
      </c>
      <c r="F38" s="1143">
        <v>2000000</v>
      </c>
      <c r="G38" s="1144">
        <v>15000000</v>
      </c>
      <c r="H38" s="1142">
        <v>0</v>
      </c>
      <c r="I38" s="1143">
        <v>0</v>
      </c>
      <c r="J38" s="1144">
        <v>0</v>
      </c>
      <c r="K38" s="1145" t="s">
        <v>3377</v>
      </c>
    </row>
    <row r="39" spans="2:11" ht="15" customHeight="1">
      <c r="B39" s="1134" t="s">
        <v>3353</v>
      </c>
      <c r="C39" s="1135" t="s">
        <v>2123</v>
      </c>
      <c r="D39" s="1136" t="s">
        <v>2429</v>
      </c>
      <c r="E39" s="1137">
        <v>3500000</v>
      </c>
      <c r="F39" s="1138">
        <v>3500000</v>
      </c>
      <c r="G39" s="1139">
        <v>0</v>
      </c>
      <c r="H39" s="1137">
        <v>0</v>
      </c>
      <c r="I39" s="1138">
        <v>0</v>
      </c>
      <c r="J39" s="1139">
        <v>0</v>
      </c>
      <c r="K39" s="1140" t="s">
        <v>3378</v>
      </c>
    </row>
    <row r="40" spans="2:11" ht="15" customHeight="1">
      <c r="B40" s="1152" t="s">
        <v>2611</v>
      </c>
      <c r="C40" s="1153"/>
      <c r="D40" s="1154"/>
      <c r="E40" s="1155">
        <f t="shared" ref="E40:J40" si="1">SUM(E27:E39)</f>
        <v>123803088.0844446</v>
      </c>
      <c r="F40" s="1156">
        <f t="shared" si="1"/>
        <v>50888638.684478603</v>
      </c>
      <c r="G40" s="1157">
        <f t="shared" si="1"/>
        <v>29323094.17372679</v>
      </c>
      <c r="H40" s="1155">
        <f t="shared" si="1"/>
        <v>0</v>
      </c>
      <c r="I40" s="1156">
        <f t="shared" si="1"/>
        <v>0</v>
      </c>
      <c r="J40" s="1157">
        <f t="shared" si="1"/>
        <v>0</v>
      </c>
      <c r="K40" s="1154"/>
    </row>
  </sheetData>
  <mergeCells count="4">
    <mergeCell ref="E4:G4"/>
    <mergeCell ref="H4:J4"/>
    <mergeCell ref="E25:G25"/>
    <mergeCell ref="H25:J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A5BE8-A81C-4616-8A6F-6674F2597945}">
  <sheetPr>
    <tabColor theme="0"/>
  </sheetPr>
  <dimension ref="A1:N59"/>
  <sheetViews>
    <sheetView workbookViewId="0">
      <selection sqref="A1:D1"/>
    </sheetView>
    <sheetView workbookViewId="1">
      <selection sqref="A1:D1"/>
    </sheetView>
    <sheetView workbookViewId="2">
      <selection sqref="A1:D1"/>
    </sheetView>
  </sheetViews>
  <sheetFormatPr defaultRowHeight="15"/>
  <cols>
    <col min="1" max="1" width="16.5703125" style="2" customWidth="1"/>
    <col min="2" max="2" width="85.5703125" bestFit="1" customWidth="1"/>
    <col min="3" max="3" width="21.140625" style="2" customWidth="1"/>
    <col min="4" max="4" width="84" bestFit="1" customWidth="1"/>
    <col min="5" max="5" width="195.85546875" customWidth="1"/>
    <col min="6" max="6" width="33.5703125" customWidth="1"/>
    <col min="8" max="10" width="14.140625" style="2" customWidth="1"/>
    <col min="11" max="11" width="12.42578125" customWidth="1"/>
    <col min="12" max="12" width="8.5703125" customWidth="1"/>
    <col min="13" max="13" width="18.5703125" customWidth="1"/>
    <col min="14" max="14" width="12.5703125" customWidth="1"/>
  </cols>
  <sheetData>
    <row r="1" spans="1:14">
      <c r="A1" s="1177" t="s">
        <v>0</v>
      </c>
      <c r="B1" s="1177"/>
      <c r="C1" s="1177"/>
      <c r="D1" s="1177"/>
    </row>
    <row r="2" spans="1:14">
      <c r="A2" s="1177" t="s">
        <v>88</v>
      </c>
      <c r="B2" s="1177"/>
      <c r="C2" s="1177"/>
      <c r="D2" s="1177"/>
    </row>
    <row r="3" spans="1:14" ht="15.75" thickBot="1">
      <c r="A3" s="1178"/>
      <c r="B3" s="1178"/>
      <c r="C3" s="1178"/>
      <c r="D3" s="1178"/>
      <c r="H3" s="1163"/>
      <c r="I3" s="1163"/>
      <c r="J3" s="56"/>
    </row>
    <row r="4" spans="1:14" ht="30.75" thickBot="1">
      <c r="A4" s="108" t="s">
        <v>89</v>
      </c>
      <c r="B4" s="105" t="s">
        <v>90</v>
      </c>
      <c r="C4" s="106" t="s">
        <v>91</v>
      </c>
      <c r="D4" s="106" t="s">
        <v>92</v>
      </c>
      <c r="E4" s="107" t="s">
        <v>93</v>
      </c>
      <c r="F4" s="70" t="s">
        <v>94</v>
      </c>
      <c r="H4" s="70" t="s">
        <v>95</v>
      </c>
      <c r="I4" s="82" t="s">
        <v>96</v>
      </c>
      <c r="J4" s="82" t="s">
        <v>97</v>
      </c>
      <c r="K4" s="177" t="s">
        <v>98</v>
      </c>
      <c r="M4" s="1172" t="s">
        <v>99</v>
      </c>
      <c r="N4" s="1173"/>
    </row>
    <row r="5" spans="1:14">
      <c r="A5" s="1179" t="s">
        <v>100</v>
      </c>
      <c r="B5" s="1180"/>
      <c r="C5" s="1180"/>
      <c r="D5" s="1180"/>
      <c r="E5" s="1181"/>
      <c r="F5" s="363"/>
      <c r="M5" s="91" t="s">
        <v>95</v>
      </c>
      <c r="N5" s="93">
        <f>1 - (COUNTBLANK(H6:H55) / COUNTA(A6:A7,A9:A15,A17:A28,A30:A33,A39:A43,A45:A51,A53,A55))</f>
        <v>0.53846153846153844</v>
      </c>
    </row>
    <row r="6" spans="1:14">
      <c r="A6" s="171" t="s">
        <v>101</v>
      </c>
      <c r="B6" s="36" t="s">
        <v>102</v>
      </c>
      <c r="C6" s="345" t="s">
        <v>103</v>
      </c>
      <c r="D6" s="254" t="s">
        <v>104</v>
      </c>
      <c r="E6" s="102" t="s">
        <v>105</v>
      </c>
      <c r="F6" t="s">
        <v>106</v>
      </c>
      <c r="H6" s="71" t="s">
        <v>107</v>
      </c>
      <c r="I6" s="71" t="str">
        <f>IF(ISBLANK(J6),"","x")</f>
        <v/>
      </c>
      <c r="J6" s="71"/>
      <c r="K6" s="87"/>
      <c r="L6" s="77"/>
      <c r="M6" s="92" t="s">
        <v>96</v>
      </c>
      <c r="N6" s="94">
        <f>1 - COUNTBLANK(I6:I55) / COUNTA(A6:A7,A9:A15,A17:A28,A30:A33,A39:A43,A45:A51,A53,A55)</f>
        <v>0</v>
      </c>
    </row>
    <row r="7" spans="1:14">
      <c r="A7" s="171" t="s">
        <v>108</v>
      </c>
      <c r="B7" s="36" t="s">
        <v>109</v>
      </c>
      <c r="C7" s="345" t="s">
        <v>103</v>
      </c>
      <c r="D7" s="254" t="s">
        <v>95</v>
      </c>
      <c r="E7" s="102"/>
      <c r="F7" t="s">
        <v>106</v>
      </c>
      <c r="H7" s="71" t="s">
        <v>107</v>
      </c>
      <c r="I7" s="71" t="str">
        <f>IF(ISBLANK(J7),"","x")</f>
        <v/>
      </c>
      <c r="J7" s="71"/>
      <c r="K7" s="77"/>
    </row>
    <row r="8" spans="1:14">
      <c r="A8" s="1174" t="s">
        <v>110</v>
      </c>
      <c r="B8" s="1175"/>
      <c r="C8" s="1175"/>
      <c r="D8" s="1175"/>
      <c r="E8" s="1176"/>
      <c r="F8" s="363"/>
      <c r="H8" s="76" t="s">
        <v>107</v>
      </c>
      <c r="I8" s="76" t="s">
        <v>107</v>
      </c>
      <c r="J8" s="76" t="s">
        <v>107</v>
      </c>
      <c r="M8" s="1168" t="s">
        <v>111</v>
      </c>
      <c r="N8" s="1169"/>
    </row>
    <row r="9" spans="1:14">
      <c r="A9" s="73" t="s">
        <v>9</v>
      </c>
      <c r="B9" s="36" t="s">
        <v>8</v>
      </c>
      <c r="C9" s="354" t="s">
        <v>112</v>
      </c>
      <c r="D9" s="95" t="s">
        <v>113</v>
      </c>
      <c r="E9" s="102"/>
      <c r="F9" t="s">
        <v>106</v>
      </c>
      <c r="H9" s="71" t="s">
        <v>107</v>
      </c>
      <c r="I9" s="71" t="str">
        <f t="shared" ref="I9:I27" si="0">IF(ISBLANK(J9),"","x")</f>
        <v/>
      </c>
      <c r="J9" s="71"/>
      <c r="M9" s="1170" t="s">
        <v>114</v>
      </c>
      <c r="N9" s="1171"/>
    </row>
    <row r="10" spans="1:14">
      <c r="A10" s="73" t="s">
        <v>11</v>
      </c>
      <c r="B10" s="36" t="s">
        <v>10</v>
      </c>
      <c r="C10" s="354" t="s">
        <v>112</v>
      </c>
      <c r="D10" s="95" t="s">
        <v>115</v>
      </c>
      <c r="E10" s="102" t="s">
        <v>116</v>
      </c>
      <c r="F10" t="s">
        <v>106</v>
      </c>
      <c r="H10" s="71" t="s">
        <v>107</v>
      </c>
      <c r="I10" s="71" t="str">
        <f t="shared" si="0"/>
        <v/>
      </c>
      <c r="J10" s="71"/>
      <c r="M10" s="1164" t="s">
        <v>117</v>
      </c>
      <c r="N10" s="1165"/>
    </row>
    <row r="11" spans="1:14">
      <c r="A11" s="73" t="s">
        <v>13</v>
      </c>
      <c r="B11" s="36" t="s">
        <v>12</v>
      </c>
      <c r="C11" s="354" t="s">
        <v>112</v>
      </c>
      <c r="D11" s="99" t="s">
        <v>118</v>
      </c>
      <c r="E11" s="173" t="s">
        <v>119</v>
      </c>
      <c r="F11" t="s">
        <v>106</v>
      </c>
      <c r="H11" s="71" t="s">
        <v>107</v>
      </c>
      <c r="I11" s="71" t="str">
        <f t="shared" si="0"/>
        <v/>
      </c>
      <c r="J11" s="71"/>
      <c r="M11" s="1166" t="s">
        <v>120</v>
      </c>
      <c r="N11" s="1167"/>
    </row>
    <row r="12" spans="1:14">
      <c r="A12" s="73" t="s">
        <v>15</v>
      </c>
      <c r="B12" s="36" t="s">
        <v>14</v>
      </c>
      <c r="C12" s="354" t="s">
        <v>112</v>
      </c>
      <c r="D12" s="99" t="s">
        <v>121</v>
      </c>
      <c r="E12" s="102" t="s">
        <v>122</v>
      </c>
      <c r="F12" t="s">
        <v>106</v>
      </c>
      <c r="H12" s="71" t="s">
        <v>107</v>
      </c>
      <c r="I12" s="71" t="str">
        <f t="shared" si="0"/>
        <v/>
      </c>
      <c r="J12" s="71"/>
    </row>
    <row r="13" spans="1:14">
      <c r="A13" s="73" t="s">
        <v>17</v>
      </c>
      <c r="B13" s="36" t="s">
        <v>16</v>
      </c>
      <c r="C13" s="354" t="s">
        <v>112</v>
      </c>
      <c r="D13" s="96" t="s">
        <v>123</v>
      </c>
      <c r="E13" s="102" t="s">
        <v>124</v>
      </c>
      <c r="F13" t="s">
        <v>106</v>
      </c>
      <c r="H13" s="71" t="str">
        <f>IF(ISBLANK(J13),"","x")</f>
        <v>x</v>
      </c>
      <c r="I13" s="71" t="str">
        <f t="shared" si="0"/>
        <v>x</v>
      </c>
      <c r="J13" s="71" t="s">
        <v>125</v>
      </c>
    </row>
    <row r="14" spans="1:14">
      <c r="A14" s="73" t="s">
        <v>19</v>
      </c>
      <c r="B14" s="36" t="s">
        <v>18</v>
      </c>
      <c r="C14" s="354" t="s">
        <v>112</v>
      </c>
      <c r="D14" s="95" t="s">
        <v>126</v>
      </c>
      <c r="E14" s="102" t="s">
        <v>127</v>
      </c>
      <c r="F14" t="s">
        <v>106</v>
      </c>
      <c r="H14" s="71" t="s">
        <v>107</v>
      </c>
      <c r="I14" s="71" t="str">
        <f t="shared" si="0"/>
        <v/>
      </c>
      <c r="J14" s="71"/>
    </row>
    <row r="15" spans="1:14">
      <c r="A15" s="73" t="s">
        <v>21</v>
      </c>
      <c r="B15" s="36" t="s">
        <v>20</v>
      </c>
      <c r="C15" s="354" t="s">
        <v>112</v>
      </c>
      <c r="D15" s="95" t="s">
        <v>128</v>
      </c>
      <c r="E15" s="102" t="s">
        <v>129</v>
      </c>
      <c r="F15" t="s">
        <v>106</v>
      </c>
      <c r="H15" s="71" t="str">
        <f t="shared" ref="H15" si="1">IF(ISBLANK(J15),"","x")</f>
        <v/>
      </c>
      <c r="I15" s="71" t="str">
        <f t="shared" si="0"/>
        <v/>
      </c>
      <c r="J15" s="71"/>
      <c r="K15" s="178" t="s">
        <v>130</v>
      </c>
    </row>
    <row r="16" spans="1:14">
      <c r="A16" s="1174" t="s">
        <v>131</v>
      </c>
      <c r="B16" s="1175"/>
      <c r="C16" s="1175"/>
      <c r="D16" s="1175"/>
      <c r="E16" s="1176"/>
      <c r="F16" s="363"/>
      <c r="H16" s="76" t="s">
        <v>107</v>
      </c>
      <c r="I16" s="76" t="s">
        <v>107</v>
      </c>
      <c r="J16" s="76" t="s">
        <v>107</v>
      </c>
    </row>
    <row r="17" spans="1:11">
      <c r="A17" s="72" t="s">
        <v>23</v>
      </c>
      <c r="B17" s="36" t="s">
        <v>22</v>
      </c>
      <c r="C17" s="345" t="s">
        <v>112</v>
      </c>
      <c r="D17" s="97" t="s">
        <v>132</v>
      </c>
      <c r="E17" s="102" t="s">
        <v>124</v>
      </c>
      <c r="F17" t="s">
        <v>106</v>
      </c>
      <c r="H17" s="71" t="s">
        <v>107</v>
      </c>
      <c r="I17" s="71" t="str">
        <f t="shared" si="0"/>
        <v>x</v>
      </c>
      <c r="J17" s="71" t="s">
        <v>107</v>
      </c>
    </row>
    <row r="18" spans="1:11">
      <c r="A18" s="38" t="s">
        <v>25</v>
      </c>
      <c r="B18" s="36" t="s">
        <v>24</v>
      </c>
      <c r="C18" s="345" t="s">
        <v>112</v>
      </c>
      <c r="D18" s="95" t="s">
        <v>133</v>
      </c>
      <c r="E18" s="102" t="s">
        <v>134</v>
      </c>
      <c r="F18" t="s">
        <v>106</v>
      </c>
      <c r="H18" s="71" t="s">
        <v>107</v>
      </c>
      <c r="I18" s="71" t="str">
        <f t="shared" si="0"/>
        <v/>
      </c>
      <c r="J18" s="71"/>
      <c r="K18" s="178"/>
    </row>
    <row r="19" spans="1:11">
      <c r="A19" s="72" t="s">
        <v>27</v>
      </c>
      <c r="B19" s="36" t="s">
        <v>26</v>
      </c>
      <c r="C19" s="345" t="s">
        <v>112</v>
      </c>
      <c r="D19" s="97" t="s">
        <v>135</v>
      </c>
      <c r="E19" s="102" t="s">
        <v>136</v>
      </c>
      <c r="F19" t="s">
        <v>106</v>
      </c>
      <c r="H19" s="71" t="s">
        <v>107</v>
      </c>
      <c r="I19" s="71" t="str">
        <f t="shared" si="0"/>
        <v/>
      </c>
      <c r="J19" s="71"/>
      <c r="K19" s="179"/>
    </row>
    <row r="20" spans="1:11">
      <c r="A20" s="72" t="s">
        <v>29</v>
      </c>
      <c r="B20" s="36" t="s">
        <v>28</v>
      </c>
      <c r="C20" s="345" t="s">
        <v>112</v>
      </c>
      <c r="D20" s="97" t="s">
        <v>137</v>
      </c>
      <c r="E20" s="102" t="s">
        <v>136</v>
      </c>
      <c r="F20" t="s">
        <v>106</v>
      </c>
      <c r="H20" s="71" t="s">
        <v>107</v>
      </c>
      <c r="I20" s="71" t="str">
        <f t="shared" si="0"/>
        <v/>
      </c>
      <c r="J20" s="71"/>
      <c r="K20" s="179"/>
    </row>
    <row r="21" spans="1:11">
      <c r="A21" s="72" t="s">
        <v>31</v>
      </c>
      <c r="B21" s="36" t="s">
        <v>30</v>
      </c>
      <c r="C21" s="345" t="s">
        <v>112</v>
      </c>
      <c r="D21" s="97" t="s">
        <v>138</v>
      </c>
      <c r="E21" s="102" t="s">
        <v>139</v>
      </c>
      <c r="F21" t="s">
        <v>106</v>
      </c>
      <c r="H21" s="71" t="s">
        <v>107</v>
      </c>
      <c r="I21" s="71" t="str">
        <f t="shared" si="0"/>
        <v/>
      </c>
      <c r="J21" s="71"/>
      <c r="K21" s="179"/>
    </row>
    <row r="22" spans="1:11">
      <c r="A22" s="72" t="s">
        <v>33</v>
      </c>
      <c r="B22" s="36" t="s">
        <v>32</v>
      </c>
      <c r="C22" s="345" t="s">
        <v>112</v>
      </c>
      <c r="D22" s="98" t="s">
        <v>140</v>
      </c>
      <c r="E22" s="102"/>
      <c r="F22" t="s">
        <v>141</v>
      </c>
      <c r="H22" s="71" t="s">
        <v>107</v>
      </c>
      <c r="I22" s="71" t="s">
        <v>107</v>
      </c>
      <c r="J22" s="71"/>
    </row>
    <row r="23" spans="1:11">
      <c r="A23" s="38" t="s">
        <v>35</v>
      </c>
      <c r="B23" s="36" t="s">
        <v>34</v>
      </c>
      <c r="C23" s="345" t="s">
        <v>112</v>
      </c>
      <c r="D23" s="96" t="s">
        <v>142</v>
      </c>
      <c r="E23" s="102" t="s">
        <v>124</v>
      </c>
      <c r="F23" t="s">
        <v>106</v>
      </c>
      <c r="H23" s="71" t="str">
        <f t="shared" ref="H23" si="2">IF(ISBLANK(J23),"","x")</f>
        <v>x</v>
      </c>
      <c r="I23" s="71" t="str">
        <f t="shared" si="0"/>
        <v>x</v>
      </c>
      <c r="J23" s="71" t="s">
        <v>107</v>
      </c>
      <c r="K23" s="179" t="s">
        <v>130</v>
      </c>
    </row>
    <row r="24" spans="1:11">
      <c r="A24" s="72" t="s">
        <v>37</v>
      </c>
      <c r="B24" s="36" t="s">
        <v>36</v>
      </c>
      <c r="C24" s="345" t="s">
        <v>143</v>
      </c>
      <c r="D24" s="96" t="s">
        <v>144</v>
      </c>
      <c r="E24" s="170" t="s">
        <v>145</v>
      </c>
      <c r="F24" t="s">
        <v>146</v>
      </c>
      <c r="H24" s="71" t="s">
        <v>125</v>
      </c>
      <c r="I24" s="71" t="str">
        <f t="shared" si="0"/>
        <v/>
      </c>
      <c r="J24" s="71"/>
      <c r="K24" s="180"/>
    </row>
    <row r="25" spans="1:11">
      <c r="A25" s="72" t="s">
        <v>147</v>
      </c>
      <c r="B25" s="36" t="s">
        <v>148</v>
      </c>
      <c r="C25" s="345" t="s">
        <v>143</v>
      </c>
      <c r="D25" s="96"/>
      <c r="E25" s="170"/>
      <c r="F25" t="s">
        <v>146</v>
      </c>
      <c r="H25" s="71" t="s">
        <v>125</v>
      </c>
      <c r="I25" s="71"/>
      <c r="J25" s="71"/>
      <c r="K25" s="180"/>
    </row>
    <row r="26" spans="1:11">
      <c r="A26" s="72" t="s">
        <v>39</v>
      </c>
      <c r="B26" s="36" t="s">
        <v>38</v>
      </c>
      <c r="C26" s="345" t="s">
        <v>112</v>
      </c>
      <c r="D26" s="95" t="s">
        <v>149</v>
      </c>
      <c r="E26" s="102"/>
      <c r="F26" t="s">
        <v>106</v>
      </c>
      <c r="H26" s="71" t="s">
        <v>107</v>
      </c>
      <c r="I26" s="71" t="str">
        <f t="shared" si="0"/>
        <v/>
      </c>
      <c r="J26" s="71"/>
    </row>
    <row r="27" spans="1:11">
      <c r="A27" s="38" t="s">
        <v>41</v>
      </c>
      <c r="B27" s="36" t="s">
        <v>40</v>
      </c>
      <c r="C27" s="345" t="s">
        <v>112</v>
      </c>
      <c r="D27" s="96" t="s">
        <v>150</v>
      </c>
      <c r="E27" s="102" t="s">
        <v>151</v>
      </c>
      <c r="F27" t="s">
        <v>146</v>
      </c>
      <c r="H27" s="71" t="str">
        <f t="shared" ref="H27:H28" si="3">IF(ISBLANK(J27),"","x")</f>
        <v/>
      </c>
      <c r="I27" s="71" t="str">
        <f t="shared" si="0"/>
        <v/>
      </c>
      <c r="J27" s="71"/>
    </row>
    <row r="28" spans="1:11">
      <c r="A28" s="38" t="s">
        <v>43</v>
      </c>
      <c r="B28" s="36" t="s">
        <v>42</v>
      </c>
      <c r="C28" s="345" t="s">
        <v>112</v>
      </c>
      <c r="D28" s="96" t="s">
        <v>150</v>
      </c>
      <c r="E28" s="173" t="s">
        <v>152</v>
      </c>
      <c r="F28" s="75" t="s">
        <v>106</v>
      </c>
      <c r="H28" s="71" t="str">
        <f t="shared" si="3"/>
        <v/>
      </c>
      <c r="I28" s="71" t="str">
        <f>IF(ISBLANK(J28),"","x")</f>
        <v/>
      </c>
      <c r="J28" s="71"/>
    </row>
    <row r="29" spans="1:11">
      <c r="A29" s="1174" t="s">
        <v>153</v>
      </c>
      <c r="B29" s="1175"/>
      <c r="C29" s="1175"/>
      <c r="D29" s="1175"/>
      <c r="E29" s="1176"/>
      <c r="F29" s="363"/>
      <c r="H29" s="76" t="s">
        <v>107</v>
      </c>
      <c r="I29" s="76" t="s">
        <v>107</v>
      </c>
      <c r="J29" s="76" t="s">
        <v>107</v>
      </c>
    </row>
    <row r="30" spans="1:11">
      <c r="A30" s="39" t="s">
        <v>45</v>
      </c>
      <c r="B30" s="36" t="s">
        <v>44</v>
      </c>
      <c r="C30" s="345" t="s">
        <v>112</v>
      </c>
      <c r="D30" s="99" t="s">
        <v>154</v>
      </c>
      <c r="E30" s="102" t="s">
        <v>155</v>
      </c>
      <c r="F30" t="s">
        <v>106</v>
      </c>
      <c r="H30" s="71" t="s">
        <v>107</v>
      </c>
      <c r="I30" s="71" t="str">
        <f>IF(ISBLANK(J30),"","x")</f>
        <v/>
      </c>
      <c r="J30" s="71"/>
      <c r="K30" t="s">
        <v>156</v>
      </c>
    </row>
    <row r="31" spans="1:11">
      <c r="A31" s="39" t="s">
        <v>47</v>
      </c>
      <c r="B31" s="36" t="s">
        <v>46</v>
      </c>
      <c r="C31" s="345" t="s">
        <v>112</v>
      </c>
      <c r="D31" s="99" t="s">
        <v>157</v>
      </c>
      <c r="E31" s="102" t="s">
        <v>158</v>
      </c>
      <c r="F31" t="s">
        <v>97</v>
      </c>
      <c r="H31" s="71" t="s">
        <v>107</v>
      </c>
      <c r="I31" s="71" t="str">
        <f t="shared" ref="I31:I55" si="4">IF(ISBLANK(J31),"","x")</f>
        <v/>
      </c>
      <c r="J31" s="71"/>
      <c r="K31" t="s">
        <v>156</v>
      </c>
    </row>
    <row r="32" spans="1:11">
      <c r="A32" s="39" t="s">
        <v>49</v>
      </c>
      <c r="B32" s="36" t="s">
        <v>48</v>
      </c>
      <c r="C32" s="345" t="s">
        <v>112</v>
      </c>
      <c r="D32" s="99" t="s">
        <v>157</v>
      </c>
      <c r="E32" s="102"/>
      <c r="F32" t="s">
        <v>106</v>
      </c>
      <c r="H32" s="71" t="s">
        <v>107</v>
      </c>
      <c r="I32" s="71" t="str">
        <f t="shared" si="4"/>
        <v/>
      </c>
      <c r="J32" s="71"/>
      <c r="K32" t="s">
        <v>156</v>
      </c>
    </row>
    <row r="33" spans="1:11">
      <c r="A33" s="39" t="s">
        <v>51</v>
      </c>
      <c r="B33" s="36" t="s">
        <v>50</v>
      </c>
      <c r="C33" s="345" t="s">
        <v>112</v>
      </c>
      <c r="D33" s="99" t="s">
        <v>157</v>
      </c>
      <c r="E33" s="102"/>
      <c r="F33" t="s">
        <v>106</v>
      </c>
      <c r="H33" s="71" t="s">
        <v>107</v>
      </c>
      <c r="I33" s="71" t="str">
        <f t="shared" si="4"/>
        <v/>
      </c>
      <c r="J33" s="71"/>
      <c r="K33" t="s">
        <v>156</v>
      </c>
    </row>
    <row r="34" spans="1:11">
      <c r="A34" s="39" t="s">
        <v>52</v>
      </c>
      <c r="B34" s="36" t="s">
        <v>44</v>
      </c>
      <c r="C34" s="2" t="s">
        <v>112</v>
      </c>
      <c r="D34" s="306"/>
      <c r="E34" s="102"/>
      <c r="F34" t="s">
        <v>106</v>
      </c>
    </row>
    <row r="35" spans="1:11">
      <c r="A35" s="39" t="s">
        <v>53</v>
      </c>
      <c r="B35" s="36" t="s">
        <v>46</v>
      </c>
      <c r="C35" s="2" t="s">
        <v>112</v>
      </c>
      <c r="D35" s="306"/>
      <c r="E35" s="102"/>
      <c r="F35" t="s">
        <v>97</v>
      </c>
    </row>
    <row r="36" spans="1:11">
      <c r="A36" s="39" t="s">
        <v>54</v>
      </c>
      <c r="B36" s="36" t="s">
        <v>48</v>
      </c>
      <c r="C36" s="2" t="s">
        <v>112</v>
      </c>
      <c r="D36" s="306"/>
      <c r="E36" s="102"/>
      <c r="F36" t="s">
        <v>106</v>
      </c>
    </row>
    <row r="37" spans="1:11">
      <c r="A37" s="39" t="s">
        <v>55</v>
      </c>
      <c r="B37" s="36" t="s">
        <v>50</v>
      </c>
      <c r="C37" s="2" t="s">
        <v>112</v>
      </c>
      <c r="D37" s="306"/>
      <c r="E37" s="102"/>
      <c r="F37" t="s">
        <v>106</v>
      </c>
    </row>
    <row r="38" spans="1:11">
      <c r="A38" s="1174" t="s">
        <v>159</v>
      </c>
      <c r="B38" s="1175"/>
      <c r="C38" s="1175"/>
      <c r="D38" s="1175"/>
      <c r="E38" s="1176"/>
      <c r="F38" s="363"/>
      <c r="H38" s="76" t="s">
        <v>107</v>
      </c>
      <c r="I38" s="76" t="s">
        <v>107</v>
      </c>
      <c r="J38" s="76" t="s">
        <v>107</v>
      </c>
    </row>
    <row r="39" spans="1:11">
      <c r="A39" s="356" t="s">
        <v>57</v>
      </c>
      <c r="B39" s="36" t="s">
        <v>160</v>
      </c>
      <c r="C39" s="345" t="s">
        <v>103</v>
      </c>
      <c r="D39" s="101" t="s">
        <v>161</v>
      </c>
      <c r="E39" s="102" t="s">
        <v>162</v>
      </c>
      <c r="F39" t="s">
        <v>106</v>
      </c>
      <c r="H39" s="71" t="s">
        <v>125</v>
      </c>
      <c r="I39" s="71" t="str">
        <f t="shared" si="4"/>
        <v/>
      </c>
      <c r="J39" s="71"/>
      <c r="K39" s="255" t="s">
        <v>163</v>
      </c>
    </row>
    <row r="40" spans="1:11">
      <c r="A40" s="41" t="s">
        <v>59</v>
      </c>
      <c r="B40" s="36" t="s">
        <v>164</v>
      </c>
      <c r="C40" s="345" t="s">
        <v>103</v>
      </c>
      <c r="D40" s="100" t="s">
        <v>165</v>
      </c>
      <c r="E40" s="102" t="s">
        <v>166</v>
      </c>
      <c r="F40" t="s">
        <v>106</v>
      </c>
      <c r="H40" s="71" t="s">
        <v>125</v>
      </c>
      <c r="I40" s="71" t="str">
        <f t="shared" si="4"/>
        <v/>
      </c>
      <c r="J40" s="71"/>
      <c r="K40" s="179" t="s">
        <v>163</v>
      </c>
    </row>
    <row r="41" spans="1:11">
      <c r="A41" s="41" t="s">
        <v>61</v>
      </c>
      <c r="B41" s="36" t="s">
        <v>60</v>
      </c>
      <c r="C41" s="345" t="s">
        <v>143</v>
      </c>
      <c r="D41" s="101" t="s">
        <v>167</v>
      </c>
      <c r="F41" t="s">
        <v>168</v>
      </c>
      <c r="H41" s="71" t="str">
        <f t="shared" ref="H41:H43" si="5">IF(ISBLANK(J41),"","x")</f>
        <v/>
      </c>
      <c r="I41" s="71" t="str">
        <f t="shared" si="4"/>
        <v/>
      </c>
      <c r="J41" s="71"/>
    </row>
    <row r="42" spans="1:11">
      <c r="A42" s="41" t="s">
        <v>63</v>
      </c>
      <c r="B42" s="36" t="s">
        <v>62</v>
      </c>
      <c r="C42" s="345" t="s">
        <v>143</v>
      </c>
      <c r="D42" s="100" t="s">
        <v>169</v>
      </c>
      <c r="E42" s="102"/>
      <c r="F42" t="s">
        <v>168</v>
      </c>
      <c r="H42" s="71" t="str">
        <f t="shared" si="5"/>
        <v/>
      </c>
      <c r="I42" s="71" t="str">
        <f t="shared" si="4"/>
        <v/>
      </c>
      <c r="J42" s="71"/>
    </row>
    <row r="43" spans="1:11">
      <c r="A43" s="41" t="s">
        <v>65</v>
      </c>
      <c r="B43" s="36" t="s">
        <v>64</v>
      </c>
      <c r="C43" s="345" t="s">
        <v>143</v>
      </c>
      <c r="D43" s="100" t="s">
        <v>170</v>
      </c>
      <c r="E43" s="102"/>
      <c r="F43" t="s">
        <v>171</v>
      </c>
      <c r="H43" s="71" t="str">
        <f t="shared" si="5"/>
        <v/>
      </c>
      <c r="I43" s="71" t="str">
        <f t="shared" si="4"/>
        <v/>
      </c>
      <c r="J43" s="71"/>
    </row>
    <row r="44" spans="1:11">
      <c r="A44" s="1174" t="s">
        <v>172</v>
      </c>
      <c r="B44" s="1175"/>
      <c r="C44" s="1175"/>
      <c r="D44" s="1175"/>
      <c r="E44" s="1176"/>
      <c r="F44" s="363"/>
      <c r="H44" s="76" t="s">
        <v>107</v>
      </c>
      <c r="I44" s="76" t="s">
        <v>107</v>
      </c>
      <c r="J44" s="76" t="s">
        <v>107</v>
      </c>
    </row>
    <row r="45" spans="1:11">
      <c r="A45" s="85" t="s">
        <v>67</v>
      </c>
      <c r="B45" s="36" t="s">
        <v>66</v>
      </c>
      <c r="C45" s="354" t="s">
        <v>143</v>
      </c>
      <c r="D45" s="100" t="s">
        <v>173</v>
      </c>
      <c r="E45" s="102"/>
      <c r="F45" t="s">
        <v>168</v>
      </c>
      <c r="H45" s="71" t="str">
        <f t="shared" ref="H45:H46" si="6">IF(ISBLANK(J45),"","x")</f>
        <v/>
      </c>
      <c r="I45" s="71" t="str">
        <f t="shared" si="4"/>
        <v/>
      </c>
      <c r="J45" s="71"/>
    </row>
    <row r="46" spans="1:11">
      <c r="A46" s="85" t="s">
        <v>69</v>
      </c>
      <c r="B46" s="36" t="s">
        <v>68</v>
      </c>
      <c r="C46" s="354" t="s">
        <v>143</v>
      </c>
      <c r="D46" s="100" t="s">
        <v>174</v>
      </c>
      <c r="E46" s="102"/>
      <c r="F46" t="s">
        <v>168</v>
      </c>
      <c r="H46" s="71" t="str">
        <f t="shared" si="6"/>
        <v/>
      </c>
      <c r="I46" s="71" t="str">
        <f t="shared" si="4"/>
        <v/>
      </c>
      <c r="J46" s="71"/>
    </row>
    <row r="47" spans="1:11">
      <c r="A47" s="85" t="s">
        <v>71</v>
      </c>
      <c r="B47" s="36" t="s">
        <v>70</v>
      </c>
      <c r="C47" s="354" t="s">
        <v>103</v>
      </c>
      <c r="D47" s="101" t="s">
        <v>175</v>
      </c>
      <c r="E47" s="102"/>
      <c r="F47" t="s">
        <v>168</v>
      </c>
      <c r="H47" s="71" t="s">
        <v>107</v>
      </c>
      <c r="I47" s="71" t="str">
        <f t="shared" si="4"/>
        <v/>
      </c>
      <c r="J47" s="71"/>
    </row>
    <row r="48" spans="1:11">
      <c r="A48" s="85" t="s">
        <v>73</v>
      </c>
      <c r="B48" s="36" t="s">
        <v>72</v>
      </c>
      <c r="C48" s="354" t="s">
        <v>143</v>
      </c>
      <c r="D48" s="101" t="s">
        <v>176</v>
      </c>
      <c r="E48" s="102"/>
      <c r="F48" t="s">
        <v>168</v>
      </c>
      <c r="H48" s="71" t="str">
        <f t="shared" ref="H48:H51" si="7">IF(ISBLANK(J48),"","x")</f>
        <v/>
      </c>
      <c r="I48" s="71" t="str">
        <f t="shared" si="4"/>
        <v/>
      </c>
      <c r="J48" s="71"/>
    </row>
    <row r="49" spans="1:11">
      <c r="A49" s="85" t="s">
        <v>75</v>
      </c>
      <c r="B49" s="36" t="s">
        <v>74</v>
      </c>
      <c r="C49" s="354" t="s">
        <v>143</v>
      </c>
      <c r="D49" s="101" t="s">
        <v>176</v>
      </c>
      <c r="E49" s="102"/>
      <c r="F49" t="s">
        <v>168</v>
      </c>
      <c r="H49" s="71" t="str">
        <f t="shared" si="7"/>
        <v/>
      </c>
      <c r="I49" s="71" t="str">
        <f t="shared" si="4"/>
        <v/>
      </c>
      <c r="J49" s="71"/>
    </row>
    <row r="50" spans="1:11">
      <c r="A50" s="85" t="s">
        <v>77</v>
      </c>
      <c r="B50" s="36" t="s">
        <v>76</v>
      </c>
      <c r="C50" s="355" t="s">
        <v>103</v>
      </c>
      <c r="D50" s="101" t="s">
        <v>176</v>
      </c>
      <c r="E50" s="102" t="s">
        <v>177</v>
      </c>
      <c r="F50" t="s">
        <v>97</v>
      </c>
      <c r="H50" s="71" t="str">
        <f t="shared" si="7"/>
        <v/>
      </c>
      <c r="I50" s="71" t="str">
        <f t="shared" si="4"/>
        <v/>
      </c>
      <c r="J50" s="71"/>
      <c r="K50" t="s">
        <v>130</v>
      </c>
    </row>
    <row r="51" spans="1:11">
      <c r="A51" s="85" t="s">
        <v>79</v>
      </c>
      <c r="B51" s="36" t="s">
        <v>78</v>
      </c>
      <c r="C51" s="354" t="s">
        <v>143</v>
      </c>
      <c r="D51" s="100" t="s">
        <v>178</v>
      </c>
      <c r="E51" s="102" t="s">
        <v>179</v>
      </c>
      <c r="F51" t="s">
        <v>168</v>
      </c>
      <c r="H51" s="71" t="str">
        <f t="shared" si="7"/>
        <v/>
      </c>
      <c r="I51" s="71" t="str">
        <f t="shared" si="4"/>
        <v/>
      </c>
      <c r="J51" s="71"/>
    </row>
    <row r="52" spans="1:11">
      <c r="A52" s="1174" t="s">
        <v>180</v>
      </c>
      <c r="B52" s="1175"/>
      <c r="C52" s="1175"/>
      <c r="D52" s="1175"/>
      <c r="E52" s="1176"/>
      <c r="F52" s="363"/>
      <c r="H52" s="76" t="s">
        <v>107</v>
      </c>
      <c r="I52" s="76" t="s">
        <v>107</v>
      </c>
      <c r="J52" s="76" t="s">
        <v>107</v>
      </c>
    </row>
    <row r="53" spans="1:11">
      <c r="A53" s="353" t="s">
        <v>81</v>
      </c>
      <c r="B53" s="111" t="s">
        <v>80</v>
      </c>
      <c r="C53" s="354" t="s">
        <v>112</v>
      </c>
      <c r="D53" s="112" t="s">
        <v>181</v>
      </c>
      <c r="E53" s="103" t="s">
        <v>182</v>
      </c>
      <c r="F53" t="s">
        <v>97</v>
      </c>
      <c r="H53" s="71" t="str">
        <f>IF(ISBLANK(J53),"","x")</f>
        <v/>
      </c>
      <c r="I53" s="71" t="str">
        <f t="shared" si="4"/>
        <v/>
      </c>
      <c r="J53" s="71"/>
      <c r="K53" t="s">
        <v>183</v>
      </c>
    </row>
    <row r="54" spans="1:11">
      <c r="A54" s="1174" t="s">
        <v>184</v>
      </c>
      <c r="B54" s="1175"/>
      <c r="C54" s="1175"/>
      <c r="D54" s="1175"/>
      <c r="E54" s="1176"/>
      <c r="F54" s="363"/>
      <c r="H54" s="76" t="s">
        <v>107</v>
      </c>
      <c r="I54" s="76" t="s">
        <v>107</v>
      </c>
      <c r="J54" s="76" t="s">
        <v>107</v>
      </c>
    </row>
    <row r="55" spans="1:11" ht="15.75" thickBot="1">
      <c r="A55" s="352" t="s">
        <v>83</v>
      </c>
      <c r="B55" s="109" t="s">
        <v>82</v>
      </c>
      <c r="C55" s="351" t="s">
        <v>112</v>
      </c>
      <c r="D55" s="110" t="s">
        <v>167</v>
      </c>
      <c r="E55" s="104" t="s">
        <v>185</v>
      </c>
      <c r="F55" t="s">
        <v>141</v>
      </c>
      <c r="H55" s="71" t="str">
        <f>IF(ISBLANK(J55),"","x")</f>
        <v/>
      </c>
      <c r="I55" s="71" t="str">
        <f t="shared" si="4"/>
        <v/>
      </c>
      <c r="J55" s="71"/>
      <c r="K55" t="s">
        <v>186</v>
      </c>
    </row>
    <row r="56" spans="1:11">
      <c r="A56" s="1174" t="s">
        <v>187</v>
      </c>
      <c r="B56" s="1175"/>
      <c r="C56" s="1175"/>
      <c r="D56" s="1175"/>
      <c r="E56" s="1176"/>
      <c r="F56" s="363"/>
      <c r="H56" s="76" t="s">
        <v>107</v>
      </c>
      <c r="I56" s="76" t="s">
        <v>107</v>
      </c>
      <c r="J56" s="76" t="s">
        <v>107</v>
      </c>
    </row>
    <row r="57" spans="1:11" ht="15.75" thickBot="1">
      <c r="A57" s="348" t="s">
        <v>85</v>
      </c>
      <c r="B57" s="109" t="s">
        <v>84</v>
      </c>
      <c r="C57" s="351" t="s">
        <v>143</v>
      </c>
      <c r="D57" s="110" t="s">
        <v>188</v>
      </c>
      <c r="E57" s="104" t="s">
        <v>185</v>
      </c>
      <c r="F57" t="s">
        <v>168</v>
      </c>
      <c r="H57" s="71" t="str">
        <f>IF(ISBLANK(J57),"","x")</f>
        <v/>
      </c>
      <c r="I57" s="71" t="str">
        <f>IF(ISBLANK(J57),"","x")</f>
        <v/>
      </c>
      <c r="J57" s="71"/>
      <c r="K57" t="s">
        <v>186</v>
      </c>
    </row>
    <row r="58" spans="1:11">
      <c r="A58" s="1174" t="s">
        <v>189</v>
      </c>
      <c r="B58" s="1175"/>
      <c r="C58" s="1175"/>
      <c r="D58" s="1175"/>
      <c r="E58" s="1176"/>
      <c r="F58" s="363"/>
      <c r="H58" s="76" t="s">
        <v>107</v>
      </c>
      <c r="I58" s="76" t="s">
        <v>107</v>
      </c>
      <c r="J58" s="76" t="s">
        <v>107</v>
      </c>
    </row>
    <row r="59" spans="1:11" ht="15.75" thickBot="1">
      <c r="A59" s="347" t="s">
        <v>87</v>
      </c>
      <c r="B59" s="109" t="s">
        <v>86</v>
      </c>
      <c r="C59" s="351" t="s">
        <v>143</v>
      </c>
      <c r="D59" s="110" t="s">
        <v>188</v>
      </c>
      <c r="E59" s="104" t="s">
        <v>185</v>
      </c>
      <c r="F59" t="s">
        <v>168</v>
      </c>
      <c r="H59" s="71" t="str">
        <f>IF(ISBLANK(J59),"","x")</f>
        <v/>
      </c>
      <c r="I59" s="71" t="str">
        <f>IF(ISBLANK(J59),"","x")</f>
        <v/>
      </c>
      <c r="J59" s="71"/>
      <c r="K59" t="s">
        <v>186</v>
      </c>
    </row>
  </sheetData>
  <mergeCells count="19">
    <mergeCell ref="A56:E56"/>
    <mergeCell ref="A58:E58"/>
    <mergeCell ref="A1:D1"/>
    <mergeCell ref="A2:D2"/>
    <mergeCell ref="A3:D3"/>
    <mergeCell ref="A5:E5"/>
    <mergeCell ref="A8:E8"/>
    <mergeCell ref="A16:E16"/>
    <mergeCell ref="A29:E29"/>
    <mergeCell ref="A38:E38"/>
    <mergeCell ref="A52:E52"/>
    <mergeCell ref="A54:E54"/>
    <mergeCell ref="A44:E44"/>
    <mergeCell ref="H3:I3"/>
    <mergeCell ref="M10:N10"/>
    <mergeCell ref="M11:N11"/>
    <mergeCell ref="M8:N8"/>
    <mergeCell ref="M9:N9"/>
    <mergeCell ref="M4:N4"/>
  </mergeCells>
  <phoneticPr fontId="67" type="noConversion"/>
  <conditionalFormatting sqref="H9:J15 H6:J7 H17:J28 H30:J37 H39:J43 H55:J55 H53:J53 H45:J51">
    <cfRule type="containsBlanks" dxfId="416" priority="25">
      <formula>LEN(TRIM(H6))=0</formula>
    </cfRule>
  </conditionalFormatting>
  <conditionalFormatting sqref="H57:J57">
    <cfRule type="containsBlanks" dxfId="415" priority="6">
      <formula>LEN(TRIM(H57))=0</formula>
    </cfRule>
  </conditionalFormatting>
  <conditionalFormatting sqref="H59:J59">
    <cfRule type="containsBlanks" dxfId="414" priority="3">
      <formula>LEN(TRIM(H59))=0</formula>
    </cfRule>
  </conditionalFormatting>
  <conditionalFormatting sqref="J6">
    <cfRule type="notContainsBlanks" dxfId="413" priority="26">
      <formula>LEN(TRIM(J6))&gt;0</formula>
    </cfRule>
  </conditionalFormatting>
  <conditionalFormatting sqref="J7">
    <cfRule type="notContainsBlanks" dxfId="412" priority="19">
      <formula>LEN(TRIM(J7))&gt;0</formula>
    </cfRule>
    <cfRule type="expression" dxfId="411" priority="20">
      <formula>notblank()</formula>
    </cfRule>
  </conditionalFormatting>
  <conditionalFormatting sqref="J9:J15">
    <cfRule type="notContainsBlanks" dxfId="410" priority="21">
      <formula>LEN(TRIM(J9))&gt;0</formula>
    </cfRule>
    <cfRule type="expression" dxfId="409" priority="22">
      <formula>notblank()</formula>
    </cfRule>
  </conditionalFormatting>
  <conditionalFormatting sqref="J17:J28">
    <cfRule type="notContainsBlanks" dxfId="408" priority="17">
      <formula>LEN(TRIM(J17))&gt;0</formula>
    </cfRule>
    <cfRule type="expression" dxfId="407" priority="18">
      <formula>notblank()</formula>
    </cfRule>
  </conditionalFormatting>
  <conditionalFormatting sqref="J30:J37">
    <cfRule type="notContainsBlanks" dxfId="406" priority="15">
      <formula>LEN(TRIM(J30))&gt;0</formula>
    </cfRule>
    <cfRule type="expression" dxfId="405" priority="16">
      <formula>notblank()</formula>
    </cfRule>
  </conditionalFormatting>
  <conditionalFormatting sqref="J39:J43">
    <cfRule type="notContainsBlanks" dxfId="404" priority="13">
      <formula>LEN(TRIM(J39))&gt;0</formula>
    </cfRule>
    <cfRule type="expression" dxfId="403" priority="14">
      <formula>notblank()</formula>
    </cfRule>
  </conditionalFormatting>
  <conditionalFormatting sqref="J45:J51">
    <cfRule type="notContainsBlanks" dxfId="402" priority="7">
      <formula>LEN(TRIM(J45))&gt;0</formula>
    </cfRule>
    <cfRule type="expression" dxfId="401" priority="8">
      <formula>notblank()</formula>
    </cfRule>
  </conditionalFormatting>
  <conditionalFormatting sqref="J53">
    <cfRule type="notContainsBlanks" dxfId="400" priority="9">
      <formula>LEN(TRIM(J53))&gt;0</formula>
    </cfRule>
    <cfRule type="expression" dxfId="399" priority="10">
      <formula>notblank()</formula>
    </cfRule>
  </conditionalFormatting>
  <conditionalFormatting sqref="J55">
    <cfRule type="notContainsBlanks" dxfId="398" priority="11">
      <formula>LEN(TRIM(J55))&gt;0</formula>
    </cfRule>
    <cfRule type="expression" dxfId="397" priority="12">
      <formula>notblank()</formula>
    </cfRule>
  </conditionalFormatting>
  <conditionalFormatting sqref="J57">
    <cfRule type="notContainsBlanks" dxfId="396" priority="4">
      <formula>LEN(TRIM(J57))&gt;0</formula>
    </cfRule>
    <cfRule type="expression" dxfId="395" priority="5">
      <formula>notblank()</formula>
    </cfRule>
  </conditionalFormatting>
  <conditionalFormatting sqref="J59">
    <cfRule type="notContainsBlanks" dxfId="394" priority="1">
      <formula>LEN(TRIM(J59))&gt;0</formula>
    </cfRule>
    <cfRule type="expression" dxfId="393" priority="2">
      <formula>notblank()</formula>
    </cfRule>
  </conditionalFormatting>
  <dataValidations count="1">
    <dataValidation type="list" allowBlank="1" showInputMessage="1" showErrorMessage="1" sqref="C55 C6:C7 C9:C15 C17:C28 C30:C37 C39:C43 C45:C51 C53 C57 C59" xr:uid="{859CED14-C2AE-45AB-A2D2-4806813D54EE}">
      <formula1>"Phase I, Phase II, Both Phase I &amp; II"</formula1>
    </dataValidation>
  </dataValidations>
  <hyperlinks>
    <hyperlink ref="D22" r:id="rId1" location="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25.XX.XX_LUMA Update #2 to Revenue Requirement\:b:\r\teams\Energy\PREPA\Shared Documents\3. Project Work\7 Rate Case\07 - FY2025 Three Test Year Filing\PREPA - 2025 Certified Fiscal Plan.pdf?csf=1&amp;web=1&amp;e=QFnAMg" display="PREPA - 2025 Certified Fiscal Plan.pdf" xr:uid="{E4E75E12-1BE6-45ED-954F-9D15E6C94AC9}"/>
    <hyperlink ref="A22" location="'C-6'!A1" display="C-6" xr:uid="{95A05F5F-6648-4265-91EE-C70FCCA95097}"/>
    <hyperlink ref="A14" location="'B-6'!A1" display="B-6" xr:uid="{0DB31F22-6C9D-4625-8A37-C2AB61E2C91F}"/>
    <hyperlink ref="A10" location="'B-2'!A1" display="B-2" xr:uid="{144D4F0E-469D-46A4-A9A6-6204BC8BD140}"/>
    <hyperlink ref="A9" location="'B-1'!A1" display="B-1" xr:uid="{99735FBB-ED3D-45E4-A6EC-A2B0A6A37238}"/>
    <hyperlink ref="A26" location="'C-9'!A1" display="C-9" xr:uid="{0ED9D6FE-999B-403F-AA74-618A44DDC353}"/>
    <hyperlink ref="A17" location="'C-1'!A1" display="C-1" xr:uid="{7CC91011-3C2D-4F33-ABB6-2E07F6C5F188}"/>
    <hyperlink ref="A30" location="Index!A1" display="D-1-Optimal" xr:uid="{D0542F98-BCF9-42A0-8020-9720755497CB}"/>
    <hyperlink ref="A47" location="'F-3'!A1" display="F-3" xr:uid="{AC3EDF6D-45E1-4516-8838-45A47F49579B}"/>
    <hyperlink ref="A19" location="'C-3'!A1" display="C-3" xr:uid="{0780A957-388C-4CBF-AFF0-A5A09EECC526}"/>
    <hyperlink ref="A20" location="'C-4'!A1" display="C-4" xr:uid="{7D61837E-FFBB-49DC-9D8A-6806613B8245}"/>
    <hyperlink ref="A21" location="'C-5'!A1" display="C-5" xr:uid="{1AB7040B-F517-4AE9-AC42-4CCC53EDEAD9}"/>
    <hyperlink ref="A6" location="'A-1'!A1" display="A-1" xr:uid="{F98E2113-CEC7-41E9-9269-07D365631D12}"/>
    <hyperlink ref="A7" location="'A-2'!A1" display="A-2" xr:uid="{3ED446DA-35B5-4F00-A379-3C8E181D4F5F}"/>
    <hyperlink ref="A11" location="'B-3'!A1" display="B-3" xr:uid="{4AEEDAFF-A3B7-42FA-A3A9-4747B5533BC3}"/>
    <hyperlink ref="A12" location="'B-4'!A1" display="B-4" xr:uid="{805E1121-ADFA-4B78-A576-B0C35FACF796}"/>
    <hyperlink ref="A24" location="'C-8'!A1" display="C-8" xr:uid="{48AD6E43-CA83-466B-B94E-117401A050B1}"/>
    <hyperlink ref="A34" location="Index!A1" display="D-1-Constrained" xr:uid="{175B9725-BFAD-45B9-A0C9-E46A073C5BBB}"/>
    <hyperlink ref="A59" location="'Schedule J'!A1" display="J" xr:uid="{743F706F-87FD-4917-94A7-02DE7DD0C1A8}"/>
    <hyperlink ref="A57" location="'Schedule I'!A1" display="I" xr:uid="{32D9725E-F484-4B0A-85AD-7FF46A4758EF}"/>
    <hyperlink ref="A55" location="'Schedule H'!A1" display="H" xr:uid="{13AB24B0-592B-4FD8-899D-D97385E77384}"/>
    <hyperlink ref="A53" location="'Schedule G'!A1" display="G" xr:uid="{0A69C092-364D-4184-8EAD-D125652EF140}"/>
    <hyperlink ref="A45" location="'F-1'!A1" display="F-1" xr:uid="{DCCEF11B-A3B6-42FC-8061-BC1D53041A56}"/>
    <hyperlink ref="A46" location="'F-2'!A1" display="F-2" xr:uid="{F103EA0B-D604-46C5-B238-61C2A91A66C0}"/>
    <hyperlink ref="A48" location="'F-4'!A1" display="F-4" xr:uid="{59BD5107-EB04-499A-A8D8-43684AD7D001}"/>
    <hyperlink ref="A49" location="'F-5'!A1" display="F-5" xr:uid="{450466BB-5D3E-42A2-91B0-90376E4CDB9E}"/>
    <hyperlink ref="A50" location="'F-6'!A1" display="F-6" xr:uid="{7EFD60AB-01D2-4356-83DD-0D26F052AE0B}"/>
    <hyperlink ref="A51" location="'F-7'!A1" display="F-7" xr:uid="{ADB67985-B8D9-4516-A9A7-397AB0B01C7D}"/>
    <hyperlink ref="A39" location="'E-1'!A1" display="E-1" xr:uid="{F3298268-9A59-45F1-ACFD-03AA182A51EE}"/>
    <hyperlink ref="A13" location="'B-5'!A1" display="B-5" xr:uid="{A86D0AEF-BA59-4AE8-A7D2-7620093647F3}"/>
    <hyperlink ref="A15" location="'B-7'!A1" display="B-7" xr:uid="{C89B89F4-C62A-4DA5-A772-885E01E41683}"/>
  </hyperlinks>
  <pageMargins left="0.7" right="0.7" top="0.75" bottom="0.75" header="0.3" footer="0.3"/>
  <pageSetup orientation="portrait"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82AD-A027-4D51-A91D-7F32CA9CD6F7}">
  <sheetPr>
    <tabColor theme="6" tint="0.79998168889431442"/>
  </sheetPr>
  <dimension ref="B2:H44"/>
  <sheetViews>
    <sheetView showGridLines="0" topLeftCell="A28" workbookViewId="0">
      <selection activeCell="F39" sqref="F39"/>
    </sheetView>
    <sheetView topLeftCell="A33" workbookViewId="1">
      <selection activeCell="F28" sqref="F28"/>
    </sheetView>
    <sheetView workbookViewId="2">
      <selection activeCell="L19" sqref="L19"/>
    </sheetView>
  </sheetViews>
  <sheetFormatPr defaultColWidth="8.85546875" defaultRowHeight="12.75" customHeight="1"/>
  <cols>
    <col min="1" max="1" width="2.85546875" style="1088" customWidth="1"/>
    <col min="2" max="2" width="13.7109375" style="1088" customWidth="1"/>
    <col min="3" max="4" width="8.85546875" style="1088"/>
    <col min="5" max="5" width="17.85546875" style="1088" customWidth="1"/>
    <col min="6" max="6" width="11.140625" style="1088" customWidth="1"/>
    <col min="7" max="7" width="45.5703125" style="1088" customWidth="1"/>
    <col min="8" max="8" width="28.85546875" style="1088" customWidth="1"/>
    <col min="9" max="16384" width="8.85546875" style="1088"/>
  </cols>
  <sheetData>
    <row r="2" spans="2:8" ht="13.5" thickBot="1">
      <c r="B2" s="1087" t="s">
        <v>3257</v>
      </c>
    </row>
    <row r="3" spans="2:8" ht="13.5" thickBot="1">
      <c r="B3" s="1089" t="s">
        <v>3258</v>
      </c>
      <c r="C3" s="1090" t="s">
        <v>3259</v>
      </c>
      <c r="D3" s="1090" t="s">
        <v>3260</v>
      </c>
      <c r="E3" s="1090" t="s">
        <v>3261</v>
      </c>
      <c r="F3" s="1091" t="s">
        <v>3262</v>
      </c>
      <c r="G3" s="1091" t="s">
        <v>3263</v>
      </c>
      <c r="H3" s="1092" t="s">
        <v>3264</v>
      </c>
    </row>
    <row r="4" spans="2:8" ht="36.75" thickBot="1">
      <c r="B4" s="1093" t="s">
        <v>3265</v>
      </c>
      <c r="C4" s="1094" t="s">
        <v>3266</v>
      </c>
      <c r="D4" s="1094" t="s">
        <v>3267</v>
      </c>
      <c r="E4" s="1094" t="s">
        <v>3268</v>
      </c>
      <c r="F4" s="1094" t="s">
        <v>3269</v>
      </c>
      <c r="G4" s="1094" t="s">
        <v>3270</v>
      </c>
      <c r="H4" s="1095" t="s">
        <v>3271</v>
      </c>
    </row>
    <row r="5" spans="2:8" ht="22.9" customHeight="1">
      <c r="B5" s="1210" t="s">
        <v>3272</v>
      </c>
      <c r="C5" s="1212" t="s">
        <v>3273</v>
      </c>
      <c r="D5" s="1214" t="s">
        <v>3274</v>
      </c>
      <c r="E5" s="1214" t="s">
        <v>3275</v>
      </c>
      <c r="F5" s="1214" t="s">
        <v>3276</v>
      </c>
      <c r="G5" s="1096" t="s">
        <v>3277</v>
      </c>
      <c r="H5" s="1208"/>
    </row>
    <row r="6" spans="2:8" ht="13.9" customHeight="1" thickBot="1">
      <c r="B6" s="1211"/>
      <c r="C6" s="1213"/>
      <c r="D6" s="1215"/>
      <c r="E6" s="1215"/>
      <c r="F6" s="1215"/>
      <c r="G6" s="1097" t="s">
        <v>3278</v>
      </c>
      <c r="H6" s="1209"/>
    </row>
    <row r="7" spans="2:8" ht="72">
      <c r="B7" s="1210" t="s">
        <v>3272</v>
      </c>
      <c r="C7" s="1212" t="s">
        <v>3279</v>
      </c>
      <c r="D7" s="1214" t="s">
        <v>3274</v>
      </c>
      <c r="E7" s="1214" t="s">
        <v>3280</v>
      </c>
      <c r="F7" s="1214" t="s">
        <v>3281</v>
      </c>
      <c r="G7" s="1096" t="s">
        <v>3282</v>
      </c>
      <c r="H7" s="1208"/>
    </row>
    <row r="8" spans="2:8" ht="13.9" customHeight="1" thickBot="1">
      <c r="B8" s="1211"/>
      <c r="C8" s="1213"/>
      <c r="D8" s="1215"/>
      <c r="E8" s="1215"/>
      <c r="F8" s="1215"/>
      <c r="G8" s="1097" t="s">
        <v>3278</v>
      </c>
      <c r="H8" s="1209"/>
    </row>
    <row r="9" spans="2:8" ht="36.75" thickBot="1">
      <c r="B9" s="1098" t="s">
        <v>3272</v>
      </c>
      <c r="C9" s="1099" t="s">
        <v>3273</v>
      </c>
      <c r="D9" s="1100" t="s">
        <v>3283</v>
      </c>
      <c r="E9" s="1100" t="s">
        <v>3275</v>
      </c>
      <c r="F9" s="1100" t="s">
        <v>3284</v>
      </c>
      <c r="G9" s="1101" t="s">
        <v>3285</v>
      </c>
      <c r="H9" s="1102"/>
    </row>
    <row r="10" spans="2:8" ht="72.75" thickBot="1">
      <c r="B10" s="1098" t="s">
        <v>3272</v>
      </c>
      <c r="C10" s="1099" t="s">
        <v>3279</v>
      </c>
      <c r="D10" s="1100" t="s">
        <v>3283</v>
      </c>
      <c r="E10" s="1100" t="s">
        <v>3280</v>
      </c>
      <c r="F10" s="1100" t="s">
        <v>3286</v>
      </c>
      <c r="G10" s="1101" t="s">
        <v>3282</v>
      </c>
      <c r="H10" s="1102"/>
    </row>
    <row r="11" spans="2:8" ht="36.75" thickBot="1">
      <c r="B11" s="1098" t="s">
        <v>3272</v>
      </c>
      <c r="C11" s="1099" t="s">
        <v>3273</v>
      </c>
      <c r="D11" s="1100" t="s">
        <v>3287</v>
      </c>
      <c r="E11" s="1100" t="s">
        <v>3275</v>
      </c>
      <c r="F11" s="1100" t="s">
        <v>3288</v>
      </c>
      <c r="G11" s="1101" t="s">
        <v>3285</v>
      </c>
      <c r="H11" s="1102"/>
    </row>
    <row r="12" spans="2:8" ht="72.75" thickBot="1">
      <c r="B12" s="1098" t="s">
        <v>3272</v>
      </c>
      <c r="C12" s="1099" t="s">
        <v>3279</v>
      </c>
      <c r="D12" s="1100" t="s">
        <v>3287</v>
      </c>
      <c r="E12" s="1100" t="s">
        <v>3280</v>
      </c>
      <c r="F12" s="1100" t="s">
        <v>3289</v>
      </c>
      <c r="G12" s="1101" t="s">
        <v>3290</v>
      </c>
      <c r="H12" s="1102"/>
    </row>
    <row r="13" spans="2:8" ht="36.75" thickBot="1">
      <c r="B13" s="1098" t="s">
        <v>3272</v>
      </c>
      <c r="C13" s="1099" t="s">
        <v>3291</v>
      </c>
      <c r="D13" s="1100" t="s">
        <v>3274</v>
      </c>
      <c r="E13" s="1100" t="s">
        <v>3292</v>
      </c>
      <c r="F13" s="1100" t="s">
        <v>3293</v>
      </c>
      <c r="G13" s="1101" t="s">
        <v>3294</v>
      </c>
      <c r="H13" s="1102"/>
    </row>
    <row r="14" spans="2:8" ht="36.75" thickBot="1">
      <c r="B14" s="1098" t="s">
        <v>3272</v>
      </c>
      <c r="C14" s="1099" t="s">
        <v>3291</v>
      </c>
      <c r="D14" s="1100" t="s">
        <v>3283</v>
      </c>
      <c r="E14" s="1100" t="s">
        <v>3292</v>
      </c>
      <c r="F14" s="1100" t="s">
        <v>3295</v>
      </c>
      <c r="G14" s="1101" t="s">
        <v>3296</v>
      </c>
      <c r="H14" s="1102"/>
    </row>
    <row r="15" spans="2:8" ht="36.75" thickBot="1">
      <c r="B15" s="1098" t="s">
        <v>3272</v>
      </c>
      <c r="C15" s="1099" t="s">
        <v>3291</v>
      </c>
      <c r="D15" s="1100" t="s">
        <v>3287</v>
      </c>
      <c r="E15" s="1100" t="s">
        <v>3292</v>
      </c>
      <c r="F15" s="1100" t="s">
        <v>3297</v>
      </c>
      <c r="G15" s="1101" t="s">
        <v>3298</v>
      </c>
      <c r="H15" s="1102"/>
    </row>
    <row r="16" spans="2:8" ht="24" customHeight="1">
      <c r="B16" s="1216" t="s">
        <v>3299</v>
      </c>
      <c r="C16" s="1218" t="s">
        <v>3300</v>
      </c>
      <c r="D16" s="1220" t="s">
        <v>3301</v>
      </c>
      <c r="E16" s="1220" t="s">
        <v>3302</v>
      </c>
      <c r="F16" s="1222">
        <v>-165935</v>
      </c>
      <c r="G16" s="1104" t="s">
        <v>3303</v>
      </c>
      <c r="H16" s="1105" t="s">
        <v>3304</v>
      </c>
    </row>
    <row r="17" spans="2:8" ht="46.15" customHeight="1" thickBot="1">
      <c r="B17" s="1217"/>
      <c r="C17" s="1219"/>
      <c r="D17" s="1221"/>
      <c r="E17" s="1221"/>
      <c r="F17" s="1223"/>
      <c r="G17" s="1106" t="s">
        <v>3305</v>
      </c>
      <c r="H17" s="1107" t="s">
        <v>3306</v>
      </c>
    </row>
    <row r="18" spans="2:8" ht="25.5">
      <c r="B18" s="1216" t="s">
        <v>3299</v>
      </c>
      <c r="C18" s="1218" t="s">
        <v>3300</v>
      </c>
      <c r="D18" s="1220" t="s">
        <v>3307</v>
      </c>
      <c r="E18" s="1220" t="s">
        <v>3302</v>
      </c>
      <c r="F18" s="1222">
        <v>-172575</v>
      </c>
      <c r="G18" s="1104" t="s">
        <v>3308</v>
      </c>
      <c r="H18" s="1105" t="s">
        <v>3309</v>
      </c>
    </row>
    <row r="19" spans="2:8" ht="46.15" customHeight="1" thickBot="1">
      <c r="B19" s="1217"/>
      <c r="C19" s="1219"/>
      <c r="D19" s="1221"/>
      <c r="E19" s="1221"/>
      <c r="F19" s="1223"/>
      <c r="G19" s="1106" t="s">
        <v>3305</v>
      </c>
      <c r="H19" s="1107" t="s">
        <v>3310</v>
      </c>
    </row>
    <row r="20" spans="2:8">
      <c r="B20" s="1224" t="s">
        <v>3311</v>
      </c>
      <c r="C20" s="1220" t="s">
        <v>3312</v>
      </c>
      <c r="D20" s="1220" t="s">
        <v>3313</v>
      </c>
      <c r="E20" s="1220" t="s">
        <v>3314</v>
      </c>
      <c r="F20" s="1108">
        <v>-150000</v>
      </c>
      <c r="G20" s="1109" t="s">
        <v>3315</v>
      </c>
      <c r="H20" s="1208" t="s">
        <v>3316</v>
      </c>
    </row>
    <row r="21" spans="2:8" ht="13.9" customHeight="1" thickBot="1">
      <c r="B21" s="1228"/>
      <c r="C21" s="1221"/>
      <c r="D21" s="1221"/>
      <c r="E21" s="1221"/>
      <c r="F21" s="1110"/>
      <c r="G21" s="1111" t="s">
        <v>3317</v>
      </c>
      <c r="H21" s="1209"/>
    </row>
    <row r="22" spans="2:8">
      <c r="B22" s="1224" t="s">
        <v>3318</v>
      </c>
      <c r="C22" s="1220" t="s">
        <v>3312</v>
      </c>
      <c r="D22" s="1220" t="s">
        <v>3313</v>
      </c>
      <c r="E22" s="1220" t="s">
        <v>3314</v>
      </c>
      <c r="F22" s="1108">
        <v>-100000</v>
      </c>
      <c r="G22" s="1109" t="s">
        <v>3315</v>
      </c>
      <c r="H22" s="1208" t="s">
        <v>3319</v>
      </c>
    </row>
    <row r="23" spans="2:8" ht="13.9" customHeight="1" thickBot="1">
      <c r="B23" s="1225"/>
      <c r="C23" s="1226"/>
      <c r="D23" s="1226"/>
      <c r="E23" s="1226"/>
      <c r="F23" s="1112"/>
      <c r="G23" s="1113" t="s">
        <v>3320</v>
      </c>
      <c r="H23" s="1227"/>
    </row>
    <row r="24" spans="2:8">
      <c r="B24" s="1114"/>
    </row>
    <row r="25" spans="2:8">
      <c r="B25" s="1115"/>
    </row>
    <row r="26" spans="2:8" ht="13.5" thickBot="1">
      <c r="B26" s="1087" t="s">
        <v>3321</v>
      </c>
    </row>
    <row r="27" spans="2:8" ht="13.5" thickBot="1">
      <c r="B27" s="1089" t="s">
        <v>3258</v>
      </c>
      <c r="C27" s="1090" t="s">
        <v>3259</v>
      </c>
      <c r="D27" s="1090" t="s">
        <v>3260</v>
      </c>
      <c r="E27" s="1090" t="s">
        <v>3261</v>
      </c>
      <c r="F27" s="1091" t="s">
        <v>3262</v>
      </c>
      <c r="G27" s="1091" t="s">
        <v>3263</v>
      </c>
      <c r="H27" s="1092" t="s">
        <v>3264</v>
      </c>
    </row>
    <row r="28" spans="2:8" ht="36.75" thickBot="1">
      <c r="B28" s="1116" t="s">
        <v>3265</v>
      </c>
      <c r="C28" s="1117" t="s">
        <v>3266</v>
      </c>
      <c r="D28" s="1117" t="s">
        <v>3267</v>
      </c>
      <c r="E28" s="1117" t="s">
        <v>3268</v>
      </c>
      <c r="F28" s="1117" t="s">
        <v>3269</v>
      </c>
      <c r="G28" s="1117" t="s">
        <v>3270</v>
      </c>
      <c r="H28" s="1118" t="s">
        <v>3271</v>
      </c>
    </row>
    <row r="29" spans="2:8" ht="24" customHeight="1">
      <c r="B29" s="1216" t="s">
        <v>3299</v>
      </c>
      <c r="C29" s="1220" t="s">
        <v>3322</v>
      </c>
      <c r="D29" s="1220" t="s">
        <v>3301</v>
      </c>
      <c r="E29" s="1220" t="s">
        <v>3302</v>
      </c>
      <c r="F29" s="1160">
        <v>2101176</v>
      </c>
      <c r="G29" s="1229" t="s">
        <v>3323</v>
      </c>
      <c r="H29" s="1119" t="s">
        <v>3324</v>
      </c>
    </row>
    <row r="30" spans="2:8" ht="46.15" customHeight="1" thickBot="1">
      <c r="B30" s="1217"/>
      <c r="C30" s="1221"/>
      <c r="D30" s="1221"/>
      <c r="E30" s="1221"/>
      <c r="F30" s="1161"/>
      <c r="G30" s="1230"/>
      <c r="H30" s="1120" t="s">
        <v>3325</v>
      </c>
    </row>
    <row r="31" spans="2:8">
      <c r="B31" s="1216" t="s">
        <v>3318</v>
      </c>
      <c r="C31" s="1220" t="s">
        <v>3322</v>
      </c>
      <c r="D31" s="1220" t="s">
        <v>3307</v>
      </c>
      <c r="E31" s="1220" t="s">
        <v>3302</v>
      </c>
      <c r="F31" s="1160">
        <v>2206235</v>
      </c>
      <c r="G31" s="1229" t="s">
        <v>3323</v>
      </c>
      <c r="H31" s="1119" t="s">
        <v>3326</v>
      </c>
    </row>
    <row r="32" spans="2:8" ht="46.15" customHeight="1" thickBot="1">
      <c r="B32" s="1217"/>
      <c r="C32" s="1221"/>
      <c r="D32" s="1221"/>
      <c r="E32" s="1221"/>
      <c r="F32" s="1161"/>
      <c r="G32" s="1230"/>
      <c r="H32" s="1120" t="s">
        <v>3327</v>
      </c>
    </row>
    <row r="33" spans="2:8">
      <c r="B33" s="1216" t="s">
        <v>3318</v>
      </c>
      <c r="C33" s="1220" t="s">
        <v>3322</v>
      </c>
      <c r="D33" s="1220" t="s">
        <v>3301</v>
      </c>
      <c r="E33" s="1220" t="s">
        <v>3302</v>
      </c>
      <c r="F33" s="1160">
        <v>-106785</v>
      </c>
      <c r="G33" s="1229" t="s">
        <v>3328</v>
      </c>
      <c r="H33" s="1119" t="s">
        <v>3329</v>
      </c>
    </row>
    <row r="34" spans="2:8" ht="46.15" customHeight="1" thickBot="1">
      <c r="B34" s="1217"/>
      <c r="C34" s="1221"/>
      <c r="D34" s="1221"/>
      <c r="E34" s="1221"/>
      <c r="F34" s="1161"/>
      <c r="G34" s="1230"/>
      <c r="H34" s="1120" t="s">
        <v>3330</v>
      </c>
    </row>
    <row r="35" spans="2:8">
      <c r="B35" s="1216" t="s">
        <v>3318</v>
      </c>
      <c r="C35" s="1220" t="s">
        <v>3322</v>
      </c>
      <c r="D35" s="1220" t="s">
        <v>3307</v>
      </c>
      <c r="E35" s="1220" t="s">
        <v>3302</v>
      </c>
      <c r="F35" s="1160">
        <v>-111056</v>
      </c>
      <c r="G35" s="1229" t="s">
        <v>3328</v>
      </c>
      <c r="H35" s="1119" t="s">
        <v>3331</v>
      </c>
    </row>
    <row r="36" spans="2:8" ht="46.15" customHeight="1" thickBot="1">
      <c r="B36" s="1217"/>
      <c r="C36" s="1221"/>
      <c r="D36" s="1221"/>
      <c r="E36" s="1221"/>
      <c r="F36" s="1161"/>
      <c r="G36" s="1230"/>
      <c r="H36" s="1120" t="s">
        <v>3332</v>
      </c>
    </row>
    <row r="37" spans="2:8" ht="24.75" thickBot="1">
      <c r="B37" s="1121" t="s">
        <v>3318</v>
      </c>
      <c r="C37" s="1122" t="s">
        <v>3333</v>
      </c>
      <c r="D37" s="1122" t="s">
        <v>3301</v>
      </c>
      <c r="E37" s="1122" t="s">
        <v>3334</v>
      </c>
      <c r="F37" s="1123">
        <v>-163879</v>
      </c>
      <c r="G37" s="1124" t="s">
        <v>3335</v>
      </c>
      <c r="H37" s="1125" t="s">
        <v>3336</v>
      </c>
    </row>
    <row r="38" spans="2:8" ht="24.75" thickBot="1">
      <c r="B38" s="1121" t="s">
        <v>3318</v>
      </c>
      <c r="C38" s="1122" t="s">
        <v>3333</v>
      </c>
      <c r="D38" s="1122" t="s">
        <v>3307</v>
      </c>
      <c r="E38" s="1122" t="s">
        <v>3337</v>
      </c>
      <c r="F38" s="1123">
        <v>-172073</v>
      </c>
      <c r="G38" s="1124" t="s">
        <v>3338</v>
      </c>
      <c r="H38" s="1125" t="s">
        <v>3339</v>
      </c>
    </row>
    <row r="39" spans="2:8" ht="36.75" thickBot="1">
      <c r="B39" s="1103" t="s">
        <v>3311</v>
      </c>
      <c r="C39" s="1122" t="s">
        <v>3312</v>
      </c>
      <c r="D39" s="1122" t="s">
        <v>3313</v>
      </c>
      <c r="E39" s="1122" t="s">
        <v>3314</v>
      </c>
      <c r="F39" s="1123">
        <v>-3000000</v>
      </c>
      <c r="G39" s="1124" t="s">
        <v>3340</v>
      </c>
      <c r="H39" s="1125" t="s">
        <v>3341</v>
      </c>
    </row>
    <row r="40" spans="2:8" ht="36.75" thickBot="1">
      <c r="B40" s="1103" t="s">
        <v>3311</v>
      </c>
      <c r="C40" s="1122" t="s">
        <v>3312</v>
      </c>
      <c r="D40" s="1122" t="s">
        <v>3301</v>
      </c>
      <c r="E40" s="1122" t="s">
        <v>3314</v>
      </c>
      <c r="F40" s="1123">
        <v>-3000000</v>
      </c>
      <c r="G40" s="1124" t="s">
        <v>3340</v>
      </c>
      <c r="H40" s="1125" t="s">
        <v>3342</v>
      </c>
    </row>
    <row r="41" spans="2:8" ht="28.15" customHeight="1" thickBot="1">
      <c r="B41" s="1103" t="s">
        <v>3311</v>
      </c>
      <c r="C41" s="1126" t="s">
        <v>3312</v>
      </c>
      <c r="D41" s="1126" t="s">
        <v>3307</v>
      </c>
      <c r="E41" s="1126" t="s">
        <v>3314</v>
      </c>
      <c r="F41" s="1123">
        <v>-3000000</v>
      </c>
      <c r="G41" s="1127" t="s">
        <v>3340</v>
      </c>
      <c r="H41" s="1128" t="s">
        <v>3343</v>
      </c>
    </row>
    <row r="42" spans="2:8" ht="23.45" customHeight="1" thickBot="1">
      <c r="B42" s="1103" t="s">
        <v>3318</v>
      </c>
      <c r="C42" s="1122" t="s">
        <v>3312</v>
      </c>
      <c r="D42" s="1122" t="s">
        <v>3313</v>
      </c>
      <c r="E42" s="1122" t="s">
        <v>3314</v>
      </c>
      <c r="F42" s="1123">
        <v>-830000</v>
      </c>
      <c r="G42" s="1124" t="s">
        <v>3340</v>
      </c>
      <c r="H42" s="1125" t="s">
        <v>3341</v>
      </c>
    </row>
    <row r="43" spans="2:8" ht="19.149999999999999" customHeight="1" thickBot="1">
      <c r="B43" s="1103" t="s">
        <v>3318</v>
      </c>
      <c r="C43" s="1122" t="s">
        <v>3312</v>
      </c>
      <c r="D43" s="1122" t="s">
        <v>3301</v>
      </c>
      <c r="E43" s="1122" t="s">
        <v>3314</v>
      </c>
      <c r="F43" s="1123">
        <v>-830000</v>
      </c>
      <c r="G43" s="1124" t="s">
        <v>3340</v>
      </c>
      <c r="H43" s="1125" t="s">
        <v>3342</v>
      </c>
    </row>
    <row r="44" spans="2:8" ht="24.6" customHeight="1" thickBot="1">
      <c r="B44" s="1129" t="s">
        <v>3318</v>
      </c>
      <c r="C44" s="1130" t="s">
        <v>3312</v>
      </c>
      <c r="D44" s="1126" t="s">
        <v>3307</v>
      </c>
      <c r="E44" s="1126" t="s">
        <v>3314</v>
      </c>
      <c r="F44" s="1123">
        <v>-830000</v>
      </c>
      <c r="G44" s="1127" t="s">
        <v>3340</v>
      </c>
      <c r="H44" s="1128" t="s">
        <v>3343</v>
      </c>
    </row>
  </sheetData>
  <mergeCells count="52">
    <mergeCell ref="B35:B36"/>
    <mergeCell ref="C35:C36"/>
    <mergeCell ref="D35:D36"/>
    <mergeCell ref="E35:E36"/>
    <mergeCell ref="G35:G36"/>
    <mergeCell ref="B33:B34"/>
    <mergeCell ref="C33:C34"/>
    <mergeCell ref="D33:D34"/>
    <mergeCell ref="E33:E34"/>
    <mergeCell ref="G33:G34"/>
    <mergeCell ref="B31:B32"/>
    <mergeCell ref="C31:C32"/>
    <mergeCell ref="D31:D32"/>
    <mergeCell ref="E31:E32"/>
    <mergeCell ref="G31:G32"/>
    <mergeCell ref="B29:B30"/>
    <mergeCell ref="C29:C30"/>
    <mergeCell ref="D29:D30"/>
    <mergeCell ref="E29:E30"/>
    <mergeCell ref="G29:G30"/>
    <mergeCell ref="B20:B21"/>
    <mergeCell ref="C20:C21"/>
    <mergeCell ref="D20:D21"/>
    <mergeCell ref="E20:E21"/>
    <mergeCell ref="H20:H21"/>
    <mergeCell ref="B22:B23"/>
    <mergeCell ref="C22:C23"/>
    <mergeCell ref="D22:D23"/>
    <mergeCell ref="E22:E23"/>
    <mergeCell ref="H22:H23"/>
    <mergeCell ref="B16:B17"/>
    <mergeCell ref="C16:C17"/>
    <mergeCell ref="D16:D17"/>
    <mergeCell ref="E16:E17"/>
    <mergeCell ref="F16:F17"/>
    <mergeCell ref="B18:B19"/>
    <mergeCell ref="C18:C19"/>
    <mergeCell ref="D18:D19"/>
    <mergeCell ref="E18:E19"/>
    <mergeCell ref="F18:F19"/>
    <mergeCell ref="H7:H8"/>
    <mergeCell ref="B5:B6"/>
    <mergeCell ref="C5:C6"/>
    <mergeCell ref="D5:D6"/>
    <mergeCell ref="E5:E6"/>
    <mergeCell ref="F5:F6"/>
    <mergeCell ref="H5:H6"/>
    <mergeCell ref="B7:B8"/>
    <mergeCell ref="C7:C8"/>
    <mergeCell ref="D7:D8"/>
    <mergeCell ref="E7:E8"/>
    <mergeCell ref="F7:F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A50EE-EDF1-4463-856E-AA7CE43EAC86}">
  <sheetPr>
    <tabColor theme="7" tint="0.79998168889431442"/>
  </sheetPr>
  <dimension ref="B1:K4"/>
  <sheetViews>
    <sheetView workbookViewId="0"/>
    <sheetView workbookViewId="1"/>
    <sheetView workbookViewId="2"/>
  </sheetViews>
  <sheetFormatPr defaultRowHeight="15"/>
  <cols>
    <col min="2" max="2" width="8.5703125" customWidth="1"/>
    <col min="3" max="3" width="37.42578125" customWidth="1"/>
    <col min="11" max="11" width="3" customWidth="1"/>
  </cols>
  <sheetData>
    <row r="1" spans="2:11">
      <c r="D1" s="61"/>
    </row>
    <row r="4" spans="2:11" ht="90" customHeight="1">
      <c r="B4" s="1203" t="s">
        <v>756</v>
      </c>
      <c r="C4" s="1204"/>
      <c r="D4" s="1204"/>
      <c r="E4" s="1204"/>
      <c r="F4" s="1204"/>
      <c r="G4" s="1204"/>
      <c r="H4" s="1204"/>
      <c r="I4" s="1204"/>
      <c r="J4" s="1204"/>
      <c r="K4" s="1204"/>
    </row>
  </sheetData>
  <mergeCells count="1">
    <mergeCell ref="B4:K4"/>
  </mergeCells>
  <pageMargins left="0.7" right="0.7" top="0.75" bottom="0.75" header="0.3" footer="0.3"/>
  <pageSetup scale="39" orientation="portrait" r:id="rId1"/>
  <headerFooter>
    <oddHeader xml:space="preserve">&amp;LPuerto Rico Electric Power Authority 
Docket NEPR-AP-2023-0003
Statement of Changes in Financial Position&amp;RSchedule C-3  
Page 1 of 1  </oddHeader>
  </headerFooter>
  <colBreaks count="1" manualBreakCount="1">
    <brk id="10"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09590-A339-42BB-993A-AFCF6565DEAD}">
  <sheetPr>
    <tabColor theme="7" tint="0.79998168889431442"/>
  </sheetPr>
  <dimension ref="B1:K4"/>
  <sheetViews>
    <sheetView workbookViewId="0"/>
    <sheetView workbookViewId="1"/>
    <sheetView workbookViewId="2"/>
  </sheetViews>
  <sheetFormatPr defaultRowHeight="15"/>
  <cols>
    <col min="2" max="2" width="8.5703125" customWidth="1"/>
    <col min="3" max="3" width="23.5703125" customWidth="1"/>
    <col min="11" max="11" width="3" customWidth="1"/>
  </cols>
  <sheetData>
    <row r="1" spans="2:11">
      <c r="D1" s="61"/>
    </row>
    <row r="4" spans="2:11" ht="90" customHeight="1">
      <c r="B4" s="1203" t="s">
        <v>757</v>
      </c>
      <c r="C4" s="1204"/>
      <c r="D4" s="1204"/>
      <c r="E4" s="1204"/>
      <c r="F4" s="1204"/>
      <c r="G4" s="1204"/>
      <c r="H4" s="1204"/>
      <c r="I4" s="1204"/>
      <c r="J4" s="1204"/>
      <c r="K4" s="1204"/>
    </row>
  </sheetData>
  <mergeCells count="1">
    <mergeCell ref="B4:K4"/>
  </mergeCells>
  <pageMargins left="0.7" right="0.7" top="0.75" bottom="0.75" header="0.3" footer="0.3"/>
  <pageSetup scale="87" orientation="portrait" horizontalDpi="1200" verticalDpi="1200" r:id="rId1"/>
  <headerFooter>
    <oddHeader>&amp;LPuerto Rico Electric Power Authority   
Docket NEPR-AP-2023-0003  
Statement of Changes in PREPA's Net Position  &amp;RSchedule C-4
Page &amp;P of &amp;N</oddHeader>
  </headerFooter>
  <colBreaks count="1" manualBreakCount="1">
    <brk id="11" max="3"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1FA09-7220-4EF1-A829-CB25387C99E4}">
  <sheetPr>
    <tabColor theme="7" tint="0.79998168889431442"/>
  </sheetPr>
  <dimension ref="B3:K3"/>
  <sheetViews>
    <sheetView workbookViewId="0"/>
    <sheetView workbookViewId="1"/>
    <sheetView workbookViewId="2"/>
  </sheetViews>
  <sheetFormatPr defaultRowHeight="15"/>
  <cols>
    <col min="2" max="2" width="8.5703125" customWidth="1"/>
    <col min="3" max="3" width="28.85546875" customWidth="1"/>
    <col min="11" max="11" width="3" customWidth="1"/>
  </cols>
  <sheetData>
    <row r="3" spans="2:11" ht="90" customHeight="1">
      <c r="B3" s="1203" t="s">
        <v>758</v>
      </c>
      <c r="C3" s="1204"/>
      <c r="D3" s="1204"/>
      <c r="E3" s="1204"/>
      <c r="F3" s="1204"/>
      <c r="G3" s="1204"/>
      <c r="H3" s="1204"/>
      <c r="I3" s="1204"/>
      <c r="J3" s="1204"/>
      <c r="K3" s="1204"/>
    </row>
  </sheetData>
  <mergeCells count="1">
    <mergeCell ref="B3:K3"/>
  </mergeCells>
  <pageMargins left="0.7" right="0.7" top="0.75" bottom="0.75" header="0.3" footer="0.3"/>
  <pageSetup scale="82" orientation="portrait" r:id="rId1"/>
  <headerFooter>
    <oddHeader>&amp;LPuerto Rico Electric Power Authority   
Docket NEPR-AP-2023-0003
Audited Financial Statements for Historical Year  &amp;RSchedule C-5
Page&amp;P of &amp;N</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867B5-3095-4711-A48C-024BE6AD1C3E}">
  <sheetPr>
    <tabColor theme="7" tint="0.79998168889431442"/>
  </sheetPr>
  <dimension ref="B3:K3"/>
  <sheetViews>
    <sheetView workbookViewId="0"/>
    <sheetView workbookViewId="1"/>
    <sheetView workbookViewId="2"/>
  </sheetViews>
  <sheetFormatPr defaultRowHeight="15"/>
  <cols>
    <col min="2" max="2" width="8.5703125" customWidth="1"/>
    <col min="3" max="3" width="14.5703125" customWidth="1"/>
  </cols>
  <sheetData>
    <row r="3" spans="2:11" ht="68.45" customHeight="1">
      <c r="B3" s="1203" t="s">
        <v>759</v>
      </c>
      <c r="C3" s="1204"/>
      <c r="D3" s="1204"/>
      <c r="E3" s="1204"/>
      <c r="F3" s="1204"/>
      <c r="G3" s="1204"/>
      <c r="H3" s="1204"/>
      <c r="I3" s="1204"/>
      <c r="J3" s="1204"/>
      <c r="K3" s="1204"/>
    </row>
  </sheetData>
  <mergeCells count="1">
    <mergeCell ref="B3:K3"/>
  </mergeCells>
  <pageMargins left="0.7" right="0.7" top="0.75" bottom="0.75" header="0.3" footer="0.3"/>
  <pageSetup orientation="portrait" horizontalDpi="1200" verticalDpi="1200" r:id="rId1"/>
  <headerFooter>
    <oddHeader>&amp;LPuerto Rico Electric Power Authority   
Docket NEPR-AP-2023-0003 
FOMB-Certified PREPA Fiscal Plan  &amp;RSchedule C-6
Page &amp;P of &amp;N</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49160-5490-4321-9A43-6B4E16C99F47}">
  <sheetPr>
    <tabColor theme="7" tint="0.79998168889431442"/>
  </sheetPr>
  <dimension ref="A1:U65"/>
  <sheetViews>
    <sheetView workbookViewId="0"/>
    <sheetView workbookViewId="1"/>
    <sheetView workbookViewId="2"/>
  </sheetViews>
  <sheetFormatPr defaultColWidth="8.5703125" defaultRowHeight="15"/>
  <cols>
    <col min="1" max="1" width="9.42578125" customWidth="1"/>
    <col min="2" max="2" width="9.5703125" customWidth="1"/>
    <col min="3" max="3" width="43.5703125" customWidth="1"/>
    <col min="4" max="4" width="25.5703125" style="61" customWidth="1"/>
    <col min="5" max="5" width="21.5703125" style="2" bestFit="1" customWidth="1"/>
    <col min="6" max="6" width="21.42578125" bestFit="1" customWidth="1"/>
    <col min="7" max="8" width="20.85546875" bestFit="1" customWidth="1"/>
    <col min="9" max="9" width="21.42578125" bestFit="1" customWidth="1"/>
    <col min="10" max="10" width="20.85546875" bestFit="1" customWidth="1"/>
    <col min="11" max="11" width="20.42578125" bestFit="1" customWidth="1"/>
    <col min="12" max="12" width="19.5703125" bestFit="1" customWidth="1"/>
    <col min="13" max="13" width="21.5703125" bestFit="1" customWidth="1"/>
    <col min="14" max="14" width="21.42578125" bestFit="1" customWidth="1"/>
    <col min="15" max="15" width="13.5703125" bestFit="1" customWidth="1"/>
    <col min="16" max="16" width="19.140625" bestFit="1" customWidth="1"/>
    <col min="17" max="17" width="21.5703125" bestFit="1" customWidth="1"/>
    <col min="18" max="18" width="21.42578125" bestFit="1" customWidth="1"/>
    <col min="19" max="19" width="13.42578125" bestFit="1" customWidth="1"/>
    <col min="20" max="20" width="21.42578125" bestFit="1" customWidth="1"/>
    <col min="21" max="21" width="27.140625" bestFit="1" customWidth="1"/>
    <col min="22" max="23" width="20.5703125" customWidth="1"/>
    <col min="25" max="26" width="20.5703125" customWidth="1"/>
    <col min="28" max="29" width="20.5703125" customWidth="1"/>
  </cols>
  <sheetData>
    <row r="1" spans="1:19">
      <c r="A1" s="29" t="s">
        <v>760</v>
      </c>
      <c r="D1"/>
      <c r="E1"/>
      <c r="O1" s="643"/>
      <c r="P1" s="643"/>
      <c r="Q1" s="643"/>
      <c r="R1" s="643"/>
      <c r="S1" s="643"/>
    </row>
    <row r="2" spans="1:19">
      <c r="B2" s="29" t="s">
        <v>761</v>
      </c>
      <c r="D2"/>
      <c r="E2"/>
      <c r="O2" s="643"/>
      <c r="P2" s="643"/>
      <c r="Q2" s="643"/>
      <c r="R2" s="643"/>
      <c r="S2" s="643"/>
    </row>
    <row r="3" spans="1:19" ht="15.75" thickBot="1">
      <c r="B3" s="644" t="s">
        <v>762</v>
      </c>
      <c r="C3" s="65"/>
      <c r="D3" s="65"/>
      <c r="E3" s="65"/>
      <c r="F3" s="65"/>
      <c r="G3" s="65"/>
      <c r="H3" s="65"/>
      <c r="I3" s="65"/>
      <c r="J3" s="65"/>
      <c r="K3" s="65"/>
      <c r="O3" s="643"/>
      <c r="P3" s="643"/>
      <c r="Q3" s="643"/>
      <c r="R3" s="643"/>
      <c r="S3" s="643"/>
    </row>
    <row r="4" spans="1:19" ht="5.0999999999999996" customHeight="1">
      <c r="D4"/>
      <c r="E4"/>
    </row>
    <row r="5" spans="1:19">
      <c r="A5" s="61"/>
      <c r="D5" s="645" t="s">
        <v>763</v>
      </c>
      <c r="E5" s="646"/>
      <c r="G5" s="647" t="s">
        <v>764</v>
      </c>
      <c r="H5" s="646"/>
      <c r="J5" s="647" t="s">
        <v>765</v>
      </c>
      <c r="K5" s="646"/>
    </row>
    <row r="6" spans="1:19" ht="34.5">
      <c r="A6" s="648" t="s">
        <v>766</v>
      </c>
      <c r="D6" s="649" t="s">
        <v>767</v>
      </c>
      <c r="E6" s="649" t="s">
        <v>768</v>
      </c>
      <c r="F6" s="650"/>
      <c r="G6" s="649" t="s">
        <v>767</v>
      </c>
      <c r="H6" s="649" t="s">
        <v>768</v>
      </c>
      <c r="I6" s="650"/>
      <c r="J6" s="649" t="s">
        <v>767</v>
      </c>
      <c r="K6" s="649" t="s">
        <v>768</v>
      </c>
    </row>
    <row r="7" spans="1:19">
      <c r="C7" s="29" t="s">
        <v>769</v>
      </c>
      <c r="D7"/>
      <c r="E7"/>
    </row>
    <row r="8" spans="1:19">
      <c r="A8" s="2">
        <v>1</v>
      </c>
      <c r="C8" s="651" t="s">
        <v>770</v>
      </c>
      <c r="D8" s="368">
        <v>3289514001.8199997</v>
      </c>
      <c r="E8" s="368">
        <v>-1615432087.7600002</v>
      </c>
      <c r="G8" s="368">
        <v>3309806929.1299996</v>
      </c>
      <c r="H8" s="368">
        <v>-1667976365.24</v>
      </c>
      <c r="I8" s="368"/>
      <c r="J8" s="368">
        <v>3357081098.5500002</v>
      </c>
      <c r="K8" s="368">
        <v>-1723414603.04</v>
      </c>
    </row>
    <row r="9" spans="1:19">
      <c r="A9" s="2">
        <v>2</v>
      </c>
      <c r="C9" s="651" t="s">
        <v>771</v>
      </c>
      <c r="D9" s="368">
        <v>511020958.06000006</v>
      </c>
      <c r="E9" s="368">
        <v>-85027856.75</v>
      </c>
      <c r="G9" s="368">
        <v>511287545.95999998</v>
      </c>
      <c r="H9" s="368">
        <v>-86253996.770000011</v>
      </c>
      <c r="I9" s="368"/>
      <c r="J9" s="368">
        <v>514220860.87000006</v>
      </c>
      <c r="K9" s="368">
        <v>-87541404.969999999</v>
      </c>
    </row>
    <row r="10" spans="1:19">
      <c r="A10" s="2">
        <v>3</v>
      </c>
      <c r="C10" s="651" t="s">
        <v>772</v>
      </c>
      <c r="D10" s="368">
        <v>1681434621.25</v>
      </c>
      <c r="E10" s="368">
        <v>-1885767339.9199996</v>
      </c>
      <c r="G10" s="368">
        <v>1760262025.6299996</v>
      </c>
      <c r="H10" s="368">
        <v>-1934020369.6799998</v>
      </c>
      <c r="I10" s="368"/>
      <c r="J10" s="368">
        <v>1844480025.0499997</v>
      </c>
      <c r="K10" s="368">
        <v>-1991412832.8299994</v>
      </c>
    </row>
    <row r="11" spans="1:19">
      <c r="A11" s="2">
        <v>4</v>
      </c>
      <c r="C11" s="651" t="s">
        <v>773</v>
      </c>
      <c r="D11" s="368">
        <v>3074345410.8900003</v>
      </c>
      <c r="E11" s="368">
        <v>-1162600649.1400001</v>
      </c>
      <c r="G11" s="368">
        <v>3074349202.96</v>
      </c>
      <c r="H11" s="368">
        <v>-1219355614.3500001</v>
      </c>
      <c r="I11" s="368"/>
      <c r="J11" s="368">
        <v>3090850601.0800009</v>
      </c>
      <c r="K11" s="368">
        <v>-1272826874.9399996</v>
      </c>
    </row>
    <row r="12" spans="1:19">
      <c r="A12" s="2">
        <v>5</v>
      </c>
      <c r="C12" s="651" t="s">
        <v>774</v>
      </c>
      <c r="D12" s="368">
        <v>4641508688.1000013</v>
      </c>
      <c r="E12" s="368">
        <v>-2677859465.9499993</v>
      </c>
      <c r="G12" s="368">
        <v>4642441119.130002</v>
      </c>
      <c r="H12" s="368">
        <v>-2808625120.4699993</v>
      </c>
      <c r="I12" s="368"/>
      <c r="J12" s="368">
        <v>4668796765.7000027</v>
      </c>
      <c r="K12" s="368">
        <v>-2929866422.7400002</v>
      </c>
    </row>
    <row r="13" spans="1:19">
      <c r="A13" s="2">
        <v>6</v>
      </c>
      <c r="C13" s="651" t="s">
        <v>775</v>
      </c>
      <c r="D13" s="368">
        <v>1848632514.2600002</v>
      </c>
      <c r="E13" s="368">
        <v>-1089879773.2300003</v>
      </c>
      <c r="G13" s="368">
        <v>1851539462.9700003</v>
      </c>
      <c r="H13" s="368">
        <v>-1120384809.8199999</v>
      </c>
      <c r="I13" s="368"/>
      <c r="J13" s="368">
        <v>1868478895.8500001</v>
      </c>
      <c r="K13" s="368">
        <v>-1150459679.1899996</v>
      </c>
    </row>
    <row r="14" spans="1:19">
      <c r="A14" s="2">
        <v>7</v>
      </c>
      <c r="C14" s="29" t="str">
        <f>"Total - "&amp;C7</f>
        <v>Total - PREPA Plant</v>
      </c>
      <c r="D14" s="652">
        <f>SUM(D8:D13)</f>
        <v>15046456194.380001</v>
      </c>
      <c r="E14" s="652">
        <f>SUM(E8:E13)</f>
        <v>-8516567172.749999</v>
      </c>
      <c r="F14" s="653"/>
      <c r="G14" s="652">
        <f>SUM(G8:G13)</f>
        <v>15149686285.780003</v>
      </c>
      <c r="H14" s="652">
        <f>SUM(H8:H13)</f>
        <v>-8836616276.3299999</v>
      </c>
      <c r="I14" s="653"/>
      <c r="J14" s="652">
        <f>SUM(J8:J13)</f>
        <v>15343908247.100002</v>
      </c>
      <c r="K14" s="652">
        <f>SUM(K8:K13)</f>
        <v>-9155521817.7099991</v>
      </c>
    </row>
    <row r="15" spans="1:19" ht="3.95" customHeight="1">
      <c r="A15" s="2"/>
      <c r="D15" s="368"/>
      <c r="E15" s="368"/>
      <c r="G15" s="368"/>
      <c r="H15" s="368"/>
      <c r="I15" s="368"/>
      <c r="J15" s="368"/>
      <c r="K15" s="368"/>
    </row>
    <row r="16" spans="1:19">
      <c r="A16" s="2"/>
      <c r="C16" s="29" t="s">
        <v>776</v>
      </c>
      <c r="D16" s="368"/>
      <c r="E16" s="368"/>
      <c r="G16" s="368"/>
      <c r="H16" s="368"/>
      <c r="I16" s="368"/>
      <c r="J16" s="368"/>
      <c r="K16" s="368"/>
    </row>
    <row r="17" spans="1:21">
      <c r="A17" s="2">
        <f>A14+1</f>
        <v>8</v>
      </c>
      <c r="C17" s="651" t="s">
        <v>772</v>
      </c>
      <c r="D17" s="368">
        <v>69854188.170000002</v>
      </c>
      <c r="E17" s="368">
        <v>-4557819.2</v>
      </c>
      <c r="G17" s="368">
        <v>81195606.359999999</v>
      </c>
      <c r="H17" s="368">
        <v>-6491780.9800000004</v>
      </c>
      <c r="I17" s="368"/>
      <c r="J17" s="368">
        <v>81195606.359999999</v>
      </c>
      <c r="K17" s="368">
        <v>-6491780.9800000004</v>
      </c>
    </row>
    <row r="18" spans="1:21">
      <c r="A18" s="2">
        <f>A17+1</f>
        <v>9</v>
      </c>
      <c r="C18" s="651" t="s">
        <v>773</v>
      </c>
      <c r="D18" s="368">
        <v>-34321836.5</v>
      </c>
      <c r="E18" s="368">
        <v>283661454.82999998</v>
      </c>
      <c r="G18" s="368">
        <v>-32439494.010000002</v>
      </c>
      <c r="H18" s="368">
        <v>285427382.83999997</v>
      </c>
      <c r="I18" s="368"/>
      <c r="J18" s="368">
        <v>-32439494.010000002</v>
      </c>
      <c r="K18" s="368">
        <v>285427382.83999997</v>
      </c>
    </row>
    <row r="19" spans="1:21">
      <c r="A19" s="2">
        <f>A18+1</f>
        <v>10</v>
      </c>
      <c r="C19" s="651" t="s">
        <v>774</v>
      </c>
      <c r="D19" s="368">
        <v>355163826.95999998</v>
      </c>
      <c r="E19" s="368">
        <v>339781002.75</v>
      </c>
      <c r="G19" s="368">
        <v>353361624.76999998</v>
      </c>
      <c r="H19" s="368">
        <v>331826858.18000001</v>
      </c>
      <c r="I19" s="368"/>
      <c r="J19" s="368">
        <v>353360088.66000003</v>
      </c>
      <c r="K19" s="368">
        <v>331826858.18000001</v>
      </c>
    </row>
    <row r="20" spans="1:21">
      <c r="A20" s="2">
        <f>A19+1</f>
        <v>11</v>
      </c>
      <c r="C20" s="651" t="s">
        <v>777</v>
      </c>
      <c r="D20" s="368">
        <v>86474534.540000007</v>
      </c>
      <c r="E20" s="368">
        <v>-8861526.2799999993</v>
      </c>
      <c r="G20" s="368">
        <v>86474534.540000007</v>
      </c>
      <c r="H20" s="368">
        <v>-11856139.41</v>
      </c>
      <c r="I20" s="368"/>
      <c r="J20" s="368">
        <v>86474534.540000007</v>
      </c>
      <c r="K20" s="368">
        <v>-11856139.41</v>
      </c>
    </row>
    <row r="21" spans="1:21">
      <c r="A21" s="2">
        <f>A20+1</f>
        <v>12</v>
      </c>
      <c r="C21" s="29" t="str">
        <f>"Total - "&amp;C16</f>
        <v>Total - Emergency - Hurricane Maria</v>
      </c>
      <c r="D21" s="652">
        <f t="shared" ref="D21:K21" si="0">SUM(D17:D20)</f>
        <v>477170713.17000002</v>
      </c>
      <c r="E21" s="652">
        <f t="shared" si="0"/>
        <v>610023112.10000002</v>
      </c>
      <c r="F21" s="653">
        <f t="shared" si="0"/>
        <v>0</v>
      </c>
      <c r="G21" s="652">
        <f t="shared" si="0"/>
        <v>488592271.66000003</v>
      </c>
      <c r="H21" s="652">
        <f t="shared" si="0"/>
        <v>598906320.63</v>
      </c>
      <c r="I21" s="653">
        <f t="shared" si="0"/>
        <v>0</v>
      </c>
      <c r="J21" s="652">
        <f t="shared" si="0"/>
        <v>488590735.55000001</v>
      </c>
      <c r="K21" s="652">
        <f t="shared" si="0"/>
        <v>598906320.63</v>
      </c>
    </row>
    <row r="22" spans="1:21" ht="16.5" customHeight="1">
      <c r="A22" s="2"/>
      <c r="D22" s="368"/>
      <c r="E22" s="368"/>
      <c r="G22" s="368"/>
      <c r="H22" s="368"/>
      <c r="I22" s="368"/>
      <c r="J22" s="368"/>
      <c r="K22" s="368"/>
    </row>
    <row r="23" spans="1:21" ht="16.5" customHeight="1">
      <c r="A23" s="2"/>
      <c r="D23" s="368"/>
      <c r="E23" s="368"/>
      <c r="G23" s="368"/>
      <c r="H23" s="368"/>
      <c r="I23" s="368"/>
      <c r="J23" s="368"/>
      <c r="K23" s="368"/>
    </row>
    <row r="24" spans="1:21" s="29" customFormat="1" ht="15.75" thickBot="1">
      <c r="A24" s="2">
        <f>A21+1</f>
        <v>13</v>
      </c>
      <c r="C24" s="634" t="s">
        <v>778</v>
      </c>
      <c r="D24" s="654">
        <f>D14+D21</f>
        <v>15523626907.550001</v>
      </c>
      <c r="E24" s="654">
        <f>E14+E21</f>
        <v>-7906544060.6499987</v>
      </c>
      <c r="G24" s="654">
        <f>G14+G21</f>
        <v>15638278557.440002</v>
      </c>
      <c r="H24" s="654">
        <f>H14+H21</f>
        <v>-8237709955.6999998</v>
      </c>
      <c r="I24" s="653"/>
      <c r="J24" s="654">
        <f>J14+J21</f>
        <v>15832498982.650002</v>
      </c>
      <c r="K24" s="654">
        <f>K14+K21</f>
        <v>-8556615497.079999</v>
      </c>
    </row>
    <row r="25" spans="1:21" ht="15.75" thickTop="1">
      <c r="A25" s="2"/>
      <c r="C25" s="29"/>
      <c r="D25" s="368"/>
      <c r="E25" s="368"/>
      <c r="G25" s="368"/>
      <c r="H25" s="368"/>
      <c r="I25" s="368"/>
      <c r="J25" s="368"/>
      <c r="K25" s="368"/>
    </row>
    <row r="26" spans="1:21">
      <c r="A26" s="2"/>
      <c r="D26"/>
      <c r="E26" s="655" t="s">
        <v>779</v>
      </c>
      <c r="F26" s="368"/>
      <c r="G26" s="368"/>
      <c r="I26" s="368"/>
      <c r="J26" s="368"/>
      <c r="K26" s="368"/>
      <c r="L26" s="368"/>
      <c r="M26" s="368"/>
      <c r="Q26" s="643"/>
      <c r="R26" s="643"/>
      <c r="S26" s="643"/>
      <c r="T26" s="643"/>
      <c r="U26" s="643"/>
    </row>
    <row r="28" spans="1:21">
      <c r="A28" s="634" t="s">
        <v>780</v>
      </c>
    </row>
    <row r="30" spans="1:21">
      <c r="A30" s="2"/>
      <c r="B30" s="1238" t="s">
        <v>781</v>
      </c>
      <c r="C30" s="1240" t="s">
        <v>782</v>
      </c>
      <c r="D30" s="1242" t="s">
        <v>783</v>
      </c>
      <c r="E30" s="1241"/>
      <c r="F30" s="1241"/>
      <c r="G30" s="1243"/>
      <c r="H30" s="1241" t="s">
        <v>784</v>
      </c>
      <c r="I30" s="1241"/>
      <c r="J30" s="1241"/>
      <c r="K30" s="1243"/>
      <c r="L30" s="1241" t="s">
        <v>785</v>
      </c>
      <c r="M30" s="1241"/>
      <c r="N30" s="1241"/>
      <c r="O30" s="1243"/>
      <c r="P30" s="1231" t="s">
        <v>786</v>
      </c>
      <c r="Q30" s="1232"/>
      <c r="R30" s="1232"/>
      <c r="S30" s="1233"/>
      <c r="T30" s="1234" t="s">
        <v>787</v>
      </c>
    </row>
    <row r="31" spans="1:21">
      <c r="A31" s="2"/>
      <c r="B31" s="1239"/>
      <c r="C31" s="1241"/>
      <c r="D31" s="656" t="s">
        <v>788</v>
      </c>
      <c r="E31" s="657" t="s">
        <v>789</v>
      </c>
      <c r="F31" s="656" t="s">
        <v>790</v>
      </c>
      <c r="G31" s="658" t="s">
        <v>791</v>
      </c>
      <c r="H31" s="656" t="s">
        <v>788</v>
      </c>
      <c r="I31" s="657" t="s">
        <v>789</v>
      </c>
      <c r="J31" s="656" t="s">
        <v>790</v>
      </c>
      <c r="K31" s="658" t="s">
        <v>791</v>
      </c>
      <c r="L31" s="656" t="s">
        <v>788</v>
      </c>
      <c r="M31" s="657" t="s">
        <v>789</v>
      </c>
      <c r="N31" s="656" t="s">
        <v>790</v>
      </c>
      <c r="O31" s="658" t="s">
        <v>791</v>
      </c>
      <c r="P31" s="656" t="s">
        <v>788</v>
      </c>
      <c r="Q31" s="657" t="s">
        <v>789</v>
      </c>
      <c r="R31" s="656" t="s">
        <v>790</v>
      </c>
      <c r="S31" s="659" t="s">
        <v>791</v>
      </c>
      <c r="T31" s="1235"/>
    </row>
    <row r="32" spans="1:21">
      <c r="A32" s="2"/>
      <c r="B32" s="29"/>
      <c r="C32" s="29" t="s">
        <v>773</v>
      </c>
      <c r="D32" s="660"/>
      <c r="E32" s="660">
        <v>0</v>
      </c>
      <c r="F32" s="660">
        <v>0</v>
      </c>
      <c r="G32" s="661"/>
      <c r="H32" s="660">
        <v>0</v>
      </c>
      <c r="I32" s="660">
        <v>0</v>
      </c>
      <c r="J32" s="660">
        <v>0</v>
      </c>
      <c r="K32" s="661"/>
      <c r="L32" s="660"/>
      <c r="M32" s="660"/>
      <c r="N32" s="660"/>
      <c r="O32" s="661"/>
      <c r="P32" s="660">
        <v>0</v>
      </c>
      <c r="Q32" s="660">
        <v>0</v>
      </c>
      <c r="R32" s="660">
        <v>0</v>
      </c>
      <c r="S32" s="661"/>
      <c r="T32" s="660"/>
    </row>
    <row r="33" spans="1:20">
      <c r="A33" s="2">
        <v>1</v>
      </c>
      <c r="B33">
        <v>35304</v>
      </c>
      <c r="C33" s="660" t="s">
        <v>792</v>
      </c>
      <c r="D33" s="660">
        <v>0</v>
      </c>
      <c r="E33" s="660">
        <v>0</v>
      </c>
      <c r="F33" s="660">
        <v>0</v>
      </c>
      <c r="G33" s="661"/>
      <c r="H33" s="660">
        <v>0</v>
      </c>
      <c r="I33" s="660">
        <v>0</v>
      </c>
      <c r="J33" s="660">
        <v>0</v>
      </c>
      <c r="K33" s="661"/>
      <c r="L33" s="660">
        <v>0</v>
      </c>
      <c r="M33" s="660">
        <v>0</v>
      </c>
      <c r="N33" s="660">
        <v>0</v>
      </c>
      <c r="O33" s="661"/>
      <c r="P33" s="660">
        <v>1490775.29</v>
      </c>
      <c r="Q33" s="660">
        <v>6234.4900000000007</v>
      </c>
      <c r="R33" s="660">
        <v>6234.4900000000007</v>
      </c>
      <c r="S33" s="661">
        <v>1.7520000000000001E-2</v>
      </c>
      <c r="T33" s="660">
        <f t="shared" ref="T33:T61" si="1">D33+H33+L33+P33</f>
        <v>1490775.29</v>
      </c>
    </row>
    <row r="34" spans="1:20">
      <c r="A34" s="2">
        <v>2</v>
      </c>
      <c r="B34">
        <v>35600</v>
      </c>
      <c r="C34" s="660" t="s">
        <v>793</v>
      </c>
      <c r="D34" s="660">
        <v>0</v>
      </c>
      <c r="E34" s="660">
        <v>0</v>
      </c>
      <c r="F34" s="660"/>
      <c r="G34" s="661"/>
      <c r="H34" s="660">
        <v>0</v>
      </c>
      <c r="I34" s="660">
        <v>0</v>
      </c>
      <c r="J34" s="660">
        <v>0</v>
      </c>
      <c r="K34" s="661"/>
      <c r="L34" s="660">
        <v>651.43000000000006</v>
      </c>
      <c r="M34" s="660">
        <v>41.85</v>
      </c>
      <c r="N34" s="660">
        <v>1.55</v>
      </c>
      <c r="O34" s="661">
        <v>2.8539999999999999E-2</v>
      </c>
      <c r="P34" s="660">
        <v>104888.78</v>
      </c>
      <c r="Q34" s="660">
        <v>640.46</v>
      </c>
      <c r="R34" s="660">
        <v>640.46</v>
      </c>
      <c r="S34" s="661">
        <v>2.8539999999999999E-2</v>
      </c>
      <c r="T34" s="660">
        <f t="shared" si="1"/>
        <v>105540.20999999999</v>
      </c>
    </row>
    <row r="35" spans="1:20">
      <c r="A35" s="2"/>
      <c r="B35" s="29"/>
      <c r="C35" s="29" t="s">
        <v>794</v>
      </c>
      <c r="D35" s="660">
        <v>0</v>
      </c>
      <c r="E35" s="660">
        <v>0</v>
      </c>
      <c r="F35" s="660">
        <v>0</v>
      </c>
      <c r="G35" s="661"/>
      <c r="H35" s="660"/>
      <c r="I35" s="660"/>
      <c r="J35" s="660"/>
      <c r="K35" s="661"/>
      <c r="L35" s="660"/>
      <c r="M35" s="660"/>
      <c r="N35" s="660"/>
      <c r="O35" s="661"/>
      <c r="P35" s="660"/>
      <c r="Q35" s="660"/>
      <c r="R35" s="660"/>
      <c r="S35" s="661"/>
      <c r="T35" s="660">
        <f t="shared" si="1"/>
        <v>0</v>
      </c>
    </row>
    <row r="36" spans="1:20">
      <c r="A36" s="2">
        <f>A34+1</f>
        <v>3</v>
      </c>
      <c r="B36">
        <v>36101</v>
      </c>
      <c r="C36" s="660" t="s">
        <v>795</v>
      </c>
      <c r="D36" s="660">
        <v>0</v>
      </c>
      <c r="E36" s="660">
        <v>0</v>
      </c>
      <c r="F36" s="660">
        <v>0</v>
      </c>
      <c r="G36" s="661"/>
      <c r="H36" s="660">
        <v>86096</v>
      </c>
      <c r="I36" s="660">
        <v>2160.12</v>
      </c>
      <c r="J36" s="660">
        <v>-273.85000000000002</v>
      </c>
      <c r="K36" s="661">
        <v>2.5090000000000001E-2</v>
      </c>
      <c r="L36" s="660"/>
      <c r="M36" s="660"/>
      <c r="N36" s="660"/>
      <c r="O36" s="661"/>
      <c r="P36" s="660">
        <v>0</v>
      </c>
      <c r="Q36" s="660">
        <v>0</v>
      </c>
      <c r="R36" s="660">
        <v>0</v>
      </c>
      <c r="S36" s="661"/>
      <c r="T36" s="660">
        <f t="shared" si="1"/>
        <v>86096</v>
      </c>
    </row>
    <row r="37" spans="1:20">
      <c r="A37" s="2">
        <f t="shared" ref="A37:A47" si="2">A36+1</f>
        <v>4</v>
      </c>
      <c r="B37">
        <v>36203</v>
      </c>
      <c r="C37" s="660" t="s">
        <v>796</v>
      </c>
      <c r="D37" s="660">
        <v>0</v>
      </c>
      <c r="E37" s="660">
        <v>0</v>
      </c>
      <c r="F37" s="660">
        <v>0</v>
      </c>
      <c r="G37" s="661"/>
      <c r="H37" s="660">
        <v>0</v>
      </c>
      <c r="I37" s="660">
        <v>0</v>
      </c>
      <c r="J37" s="660">
        <v>0</v>
      </c>
      <c r="K37" s="661"/>
      <c r="L37" s="660">
        <v>9762.64</v>
      </c>
      <c r="M37" s="660">
        <v>223.57</v>
      </c>
      <c r="N37" s="660">
        <v>17.130000000000003</v>
      </c>
      <c r="O37" s="661">
        <v>2.1059999999999999E-2</v>
      </c>
      <c r="P37" s="660">
        <v>65581.34</v>
      </c>
      <c r="Q37" s="660">
        <v>980.26</v>
      </c>
      <c r="R37" s="660">
        <v>115.10000000000001</v>
      </c>
      <c r="S37" s="661">
        <v>2.1059999999999999E-2</v>
      </c>
      <c r="T37" s="660">
        <f t="shared" si="1"/>
        <v>75343.98</v>
      </c>
    </row>
    <row r="38" spans="1:20">
      <c r="A38" s="2">
        <f t="shared" si="2"/>
        <v>5</v>
      </c>
      <c r="B38">
        <v>36204</v>
      </c>
      <c r="C38" s="660" t="s">
        <v>792</v>
      </c>
      <c r="D38" s="660">
        <v>0</v>
      </c>
      <c r="E38" s="660">
        <v>0</v>
      </c>
      <c r="F38" s="660">
        <v>0</v>
      </c>
      <c r="G38" s="661"/>
      <c r="H38" s="660">
        <v>36958.29</v>
      </c>
      <c r="I38" s="660">
        <v>412.7</v>
      </c>
      <c r="J38" s="660">
        <v>-0.75</v>
      </c>
      <c r="K38" s="661">
        <v>2.1440000000000001E-2</v>
      </c>
      <c r="L38" s="660">
        <v>7685509.9300000034</v>
      </c>
      <c r="M38" s="660">
        <v>248916.49999999997</v>
      </c>
      <c r="N38" s="660">
        <v>13731.390000000001</v>
      </c>
      <c r="O38" s="661">
        <v>2.1440000000000001E-2</v>
      </c>
      <c r="P38" s="660">
        <v>647225.13</v>
      </c>
      <c r="Q38" s="660">
        <v>5597.3100000000013</v>
      </c>
      <c r="R38" s="660">
        <v>3449.9900000000002</v>
      </c>
      <c r="S38" s="661">
        <v>2.1440000000000001E-2</v>
      </c>
      <c r="T38" s="660">
        <f t="shared" si="1"/>
        <v>8369693.3500000034</v>
      </c>
    </row>
    <row r="39" spans="1:20">
      <c r="A39" s="2">
        <f t="shared" si="2"/>
        <v>6</v>
      </c>
      <c r="B39">
        <v>36401</v>
      </c>
      <c r="C39" s="660" t="s">
        <v>797</v>
      </c>
      <c r="D39" s="660">
        <v>0</v>
      </c>
      <c r="E39" s="660">
        <v>0</v>
      </c>
      <c r="F39" s="660">
        <v>0</v>
      </c>
      <c r="G39" s="661"/>
      <c r="H39" s="660">
        <v>0</v>
      </c>
      <c r="I39" s="660">
        <v>0</v>
      </c>
      <c r="J39" s="660">
        <v>0</v>
      </c>
      <c r="K39" s="661"/>
      <c r="L39" s="660">
        <v>53449.549999999996</v>
      </c>
      <c r="M39" s="660">
        <v>10157.23</v>
      </c>
      <c r="N39" s="660">
        <v>442.07000000000005</v>
      </c>
      <c r="O39" s="661">
        <v>9.9250000000000005E-2</v>
      </c>
      <c r="P39" s="660">
        <v>0</v>
      </c>
      <c r="Q39" s="660">
        <v>0</v>
      </c>
      <c r="R39" s="660">
        <v>0</v>
      </c>
      <c r="S39" s="661"/>
      <c r="T39" s="660">
        <f t="shared" si="1"/>
        <v>53449.549999999996</v>
      </c>
    </row>
    <row r="40" spans="1:20">
      <c r="A40" s="2">
        <f t="shared" si="2"/>
        <v>7</v>
      </c>
      <c r="B40">
        <v>36402</v>
      </c>
      <c r="C40" s="660" t="s">
        <v>798</v>
      </c>
      <c r="D40" s="660">
        <v>0</v>
      </c>
      <c r="E40" s="660">
        <v>0</v>
      </c>
      <c r="F40" s="660">
        <v>0</v>
      </c>
      <c r="G40" s="661"/>
      <c r="H40" s="660">
        <v>1651.63</v>
      </c>
      <c r="I40" s="660">
        <v>40.479999999999997</v>
      </c>
      <c r="J40" s="660">
        <v>-25.39</v>
      </c>
      <c r="K40" s="661">
        <v>3.6760000000000001E-2</v>
      </c>
      <c r="L40" s="660">
        <v>77596048.179999977</v>
      </c>
      <c r="M40" s="660">
        <v>4430272.7300000004</v>
      </c>
      <c r="N40" s="660">
        <v>223684.36999999994</v>
      </c>
      <c r="O40" s="661">
        <v>3.6760000000000001E-2</v>
      </c>
      <c r="P40" s="660">
        <v>-4137112.6800000016</v>
      </c>
      <c r="Q40" s="660">
        <v>2573369.2500000005</v>
      </c>
      <c r="R40" s="660">
        <v>138978.38999999998</v>
      </c>
      <c r="S40" s="661">
        <v>3.6760000000000001E-2</v>
      </c>
      <c r="T40" s="660">
        <f t="shared" si="1"/>
        <v>73460587.129999965</v>
      </c>
    </row>
    <row r="41" spans="1:20">
      <c r="A41" s="2">
        <f t="shared" si="2"/>
        <v>8</v>
      </c>
      <c r="B41">
        <v>36403</v>
      </c>
      <c r="C41" s="660" t="s">
        <v>799</v>
      </c>
      <c r="D41" s="660">
        <v>0</v>
      </c>
      <c r="E41" s="660">
        <v>0</v>
      </c>
      <c r="F41" s="660">
        <v>0</v>
      </c>
      <c r="G41" s="661"/>
      <c r="H41" s="660">
        <v>0</v>
      </c>
      <c r="I41" s="660">
        <v>0</v>
      </c>
      <c r="J41" s="660">
        <v>0</v>
      </c>
      <c r="K41" s="661"/>
      <c r="L41" s="660">
        <v>1073843.5999999999</v>
      </c>
      <c r="M41" s="660">
        <v>37240.18</v>
      </c>
      <c r="N41" s="660">
        <v>3139.2000000000003</v>
      </c>
      <c r="O41" s="661">
        <v>3.508E-2</v>
      </c>
      <c r="P41" s="660">
        <v>99539.3</v>
      </c>
      <c r="Q41" s="660">
        <v>2909.9</v>
      </c>
      <c r="R41" s="660">
        <v>290.99</v>
      </c>
      <c r="S41" s="661">
        <v>3.508E-2</v>
      </c>
      <c r="T41" s="660">
        <f t="shared" si="1"/>
        <v>1173382.8999999999</v>
      </c>
    </row>
    <row r="42" spans="1:20">
      <c r="A42" s="2">
        <f t="shared" si="2"/>
        <v>9</v>
      </c>
      <c r="B42">
        <v>36500</v>
      </c>
      <c r="C42" s="660" t="s">
        <v>793</v>
      </c>
      <c r="D42" s="660">
        <v>0</v>
      </c>
      <c r="E42" s="660">
        <v>0</v>
      </c>
      <c r="F42" s="660">
        <v>0</v>
      </c>
      <c r="G42" s="661"/>
      <c r="H42" s="660">
        <v>1070.02</v>
      </c>
      <c r="I42" s="660">
        <v>11.16</v>
      </c>
      <c r="J42" s="660">
        <v>-3</v>
      </c>
      <c r="K42" s="661">
        <v>4.1759999999999999E-2</v>
      </c>
      <c r="L42" s="660">
        <v>53427522.859999985</v>
      </c>
      <c r="M42" s="660">
        <v>2866258.9700000025</v>
      </c>
      <c r="N42" s="660">
        <v>181669.10000000015</v>
      </c>
      <c r="O42" s="661">
        <v>4.1759999999999999E-2</v>
      </c>
      <c r="P42" s="660">
        <v>-141726.74999999997</v>
      </c>
      <c r="Q42" s="660">
        <v>10859.390000000001</v>
      </c>
      <c r="R42" s="660">
        <v>6506.0699999999988</v>
      </c>
      <c r="S42" s="661">
        <v>4.1759999999999999E-2</v>
      </c>
      <c r="T42" s="660">
        <f t="shared" si="1"/>
        <v>53286866.129999988</v>
      </c>
    </row>
    <row r="43" spans="1:20">
      <c r="A43" s="2">
        <f t="shared" si="2"/>
        <v>10</v>
      </c>
      <c r="B43">
        <v>36600</v>
      </c>
      <c r="C43" s="660" t="s">
        <v>800</v>
      </c>
      <c r="D43" s="660">
        <v>0</v>
      </c>
      <c r="E43" s="660">
        <v>0</v>
      </c>
      <c r="F43" s="660">
        <v>0</v>
      </c>
      <c r="G43" s="661"/>
      <c r="H43" s="660">
        <v>0</v>
      </c>
      <c r="I43" s="660">
        <v>0</v>
      </c>
      <c r="J43" s="660">
        <v>0</v>
      </c>
      <c r="K43" s="661"/>
      <c r="L43" s="660">
        <v>6500.0599999999995</v>
      </c>
      <c r="M43" s="660">
        <v>172.24</v>
      </c>
      <c r="N43" s="660">
        <v>11.7</v>
      </c>
      <c r="O43" s="661">
        <v>2.2069999999999999E-2</v>
      </c>
      <c r="P43" s="660">
        <v>234.76000000000002</v>
      </c>
      <c r="Q43" s="660">
        <v>45.519999999999996</v>
      </c>
      <c r="R43" s="660">
        <v>2.83</v>
      </c>
      <c r="S43" s="661">
        <v>2.2069999999999999E-2</v>
      </c>
      <c r="T43" s="660">
        <f t="shared" si="1"/>
        <v>6734.82</v>
      </c>
    </row>
    <row r="44" spans="1:20">
      <c r="A44" s="2">
        <f t="shared" si="2"/>
        <v>11</v>
      </c>
      <c r="B44">
        <v>36800</v>
      </c>
      <c r="C44" s="660" t="s">
        <v>801</v>
      </c>
      <c r="D44" s="660">
        <v>0</v>
      </c>
      <c r="E44" s="660">
        <v>0</v>
      </c>
      <c r="F44" s="660">
        <v>0</v>
      </c>
      <c r="G44" s="661"/>
      <c r="H44" s="660">
        <v>20480.22</v>
      </c>
      <c r="I44" s="660">
        <v>510.4</v>
      </c>
      <c r="J44" s="660">
        <v>-310.83999999999997</v>
      </c>
      <c r="K44" s="661">
        <v>3.7379999999999997E-2</v>
      </c>
      <c r="L44" s="660">
        <v>30325208.300000012</v>
      </c>
      <c r="M44" s="660">
        <v>1916239.8</v>
      </c>
      <c r="N44" s="660">
        <v>105216.16999999995</v>
      </c>
      <c r="O44" s="661">
        <v>3.7379999999999997E-2</v>
      </c>
      <c r="P44" s="660">
        <v>-427775.98000000016</v>
      </c>
      <c r="Q44" s="660">
        <v>5509.33</v>
      </c>
      <c r="R44" s="660">
        <v>641.56999999999994</v>
      </c>
      <c r="S44" s="661">
        <v>3.7379999999999997E-2</v>
      </c>
      <c r="T44" s="660">
        <f t="shared" si="1"/>
        <v>29917912.54000001</v>
      </c>
    </row>
    <row r="45" spans="1:20">
      <c r="A45" s="2">
        <f t="shared" si="2"/>
        <v>12</v>
      </c>
      <c r="B45">
        <v>36900</v>
      </c>
      <c r="C45" s="660" t="s">
        <v>802</v>
      </c>
      <c r="D45" s="660">
        <v>0</v>
      </c>
      <c r="E45" s="660">
        <v>0</v>
      </c>
      <c r="F45" s="660">
        <v>0</v>
      </c>
      <c r="G45" s="661"/>
      <c r="H45" s="660">
        <v>0</v>
      </c>
      <c r="I45" s="660">
        <v>0</v>
      </c>
      <c r="J45" s="660">
        <v>0</v>
      </c>
      <c r="K45" s="661"/>
      <c r="L45" s="660">
        <v>281449.06</v>
      </c>
      <c r="M45" s="660">
        <v>15550.570000000002</v>
      </c>
      <c r="N45" s="660">
        <v>1079.23</v>
      </c>
      <c r="O45" s="661">
        <v>4.7050000000000002E-2</v>
      </c>
      <c r="P45" s="660">
        <v>2930.8600000000006</v>
      </c>
      <c r="Q45" s="660">
        <v>316.64</v>
      </c>
      <c r="R45" s="660">
        <v>36.39</v>
      </c>
      <c r="S45" s="661">
        <v>4.7050000000000002E-2</v>
      </c>
      <c r="T45" s="660">
        <f t="shared" si="1"/>
        <v>284379.92</v>
      </c>
    </row>
    <row r="46" spans="1:20">
      <c r="A46" s="2">
        <f t="shared" si="2"/>
        <v>13</v>
      </c>
      <c r="B46">
        <v>37000</v>
      </c>
      <c r="C46" s="660" t="s">
        <v>803</v>
      </c>
      <c r="D46" s="660">
        <v>0</v>
      </c>
      <c r="E46" s="660">
        <v>0</v>
      </c>
      <c r="F46" s="660">
        <v>0</v>
      </c>
      <c r="G46" s="661"/>
      <c r="H46" s="660">
        <v>5952439.7899999982</v>
      </c>
      <c r="I46" s="660">
        <v>56198.13</v>
      </c>
      <c r="J46" s="660">
        <v>2244.5899999999997</v>
      </c>
      <c r="K46" s="661">
        <v>1.9689999999999999E-2</v>
      </c>
      <c r="L46" s="660">
        <v>11011911.08</v>
      </c>
      <c r="M46" s="660">
        <v>230788.43999999997</v>
      </c>
      <c r="N46" s="660">
        <v>18068.689999999999</v>
      </c>
      <c r="O46" s="661">
        <v>1.9689999999999999E-2</v>
      </c>
      <c r="P46" s="660">
        <v>5550404.1200000001</v>
      </c>
      <c r="Q46" s="660">
        <v>43064.890000000014</v>
      </c>
      <c r="R46" s="660">
        <v>9107.31</v>
      </c>
      <c r="S46" s="661">
        <v>1.9689999999999999E-2</v>
      </c>
      <c r="T46" s="660">
        <f t="shared" si="1"/>
        <v>22514754.989999998</v>
      </c>
    </row>
    <row r="47" spans="1:20">
      <c r="A47" s="2">
        <f t="shared" si="2"/>
        <v>14</v>
      </c>
      <c r="B47">
        <v>37300</v>
      </c>
      <c r="C47" s="660" t="s">
        <v>804</v>
      </c>
      <c r="D47" s="660">
        <v>0</v>
      </c>
      <c r="E47" s="660">
        <v>0</v>
      </c>
      <c r="F47" s="660">
        <v>0</v>
      </c>
      <c r="G47" s="661"/>
      <c r="H47" s="660">
        <v>0</v>
      </c>
      <c r="I47" s="660">
        <v>0</v>
      </c>
      <c r="J47" s="660">
        <v>0</v>
      </c>
      <c r="K47" s="661"/>
      <c r="L47" s="660">
        <v>101967904.58000004</v>
      </c>
      <c r="M47" s="660">
        <v>3820225.8199999966</v>
      </c>
      <c r="N47" s="660">
        <v>209592.2</v>
      </c>
      <c r="O47" s="661">
        <v>2.4740000000000002E-2</v>
      </c>
      <c r="P47" s="660">
        <v>-223425</v>
      </c>
      <c r="Q47" s="660">
        <v>243.89000000000001</v>
      </c>
      <c r="R47" s="660">
        <v>49.019999999999996</v>
      </c>
      <c r="S47" s="661">
        <v>4.7050000000000002E-2</v>
      </c>
      <c r="T47" s="660">
        <f t="shared" si="1"/>
        <v>101744479.58000004</v>
      </c>
    </row>
    <row r="48" spans="1:20">
      <c r="A48" s="2"/>
      <c r="B48" s="29"/>
      <c r="C48" s="29" t="s">
        <v>777</v>
      </c>
      <c r="D48" s="660"/>
      <c r="E48" s="660">
        <v>0</v>
      </c>
      <c r="F48" s="660">
        <v>0</v>
      </c>
      <c r="G48" s="661"/>
      <c r="H48" s="660"/>
      <c r="I48" s="660"/>
      <c r="J48" s="660"/>
      <c r="K48" s="661"/>
      <c r="L48" s="660"/>
      <c r="M48" s="660"/>
      <c r="N48" s="660"/>
      <c r="O48" s="661"/>
      <c r="P48" s="660"/>
      <c r="Q48" s="660"/>
      <c r="R48" s="660"/>
      <c r="S48" s="661"/>
      <c r="T48" s="660">
        <f t="shared" si="1"/>
        <v>0</v>
      </c>
    </row>
    <row r="49" spans="1:20">
      <c r="A49" s="2">
        <f>A47+1</f>
        <v>15</v>
      </c>
      <c r="B49">
        <v>39001</v>
      </c>
      <c r="C49" s="660" t="s">
        <v>795</v>
      </c>
      <c r="D49" s="660">
        <v>0</v>
      </c>
      <c r="E49" s="660">
        <v>0</v>
      </c>
      <c r="F49" s="660">
        <v>0</v>
      </c>
      <c r="G49" s="661"/>
      <c r="H49" s="660">
        <v>75617</v>
      </c>
      <c r="I49" s="660">
        <v>1605.36</v>
      </c>
      <c r="J49" s="660">
        <v>-210.74</v>
      </c>
      <c r="K49" s="661">
        <v>2.1229999999999999E-2</v>
      </c>
      <c r="L49" s="660">
        <v>1904244.5699999994</v>
      </c>
      <c r="M49" s="660">
        <v>60841.249999999993</v>
      </c>
      <c r="N49" s="660">
        <v>3365.8199999999997</v>
      </c>
      <c r="O49" s="661">
        <v>2.1229999999999999E-2</v>
      </c>
      <c r="P49" s="660">
        <v>309765.73</v>
      </c>
      <c r="Q49" s="660">
        <v>2368.3000000000002</v>
      </c>
      <c r="R49" s="660">
        <v>551.13</v>
      </c>
      <c r="S49" s="661">
        <v>2.1229999999999999E-2</v>
      </c>
      <c r="T49" s="660">
        <f t="shared" si="1"/>
        <v>2289627.2999999993</v>
      </c>
    </row>
    <row r="50" spans="1:20">
      <c r="A50" s="2">
        <f>A49+1</f>
        <v>16</v>
      </c>
      <c r="B50">
        <v>39003</v>
      </c>
      <c r="C50" s="660" t="s">
        <v>805</v>
      </c>
      <c r="D50" s="660">
        <v>0</v>
      </c>
      <c r="E50" s="660">
        <v>0</v>
      </c>
      <c r="F50" s="660">
        <v>0</v>
      </c>
      <c r="G50" s="661"/>
      <c r="H50" s="660"/>
      <c r="I50" s="660"/>
      <c r="J50" s="660"/>
      <c r="K50" s="661"/>
      <c r="L50" s="660">
        <v>0</v>
      </c>
      <c r="M50" s="660">
        <v>0</v>
      </c>
      <c r="N50" s="660">
        <v>0</v>
      </c>
      <c r="O50" s="661"/>
      <c r="P50" s="660">
        <v>7593300.8299999991</v>
      </c>
      <c r="Q50" s="660">
        <v>67741.02</v>
      </c>
      <c r="R50" s="660">
        <v>13111.1</v>
      </c>
      <c r="S50" s="661">
        <v>2.0719999999999999E-2</v>
      </c>
      <c r="T50" s="660">
        <f t="shared" si="1"/>
        <v>7593300.8299999991</v>
      </c>
    </row>
    <row r="51" spans="1:20">
      <c r="A51" s="2">
        <f>A50+1</f>
        <v>17</v>
      </c>
      <c r="B51">
        <v>39100</v>
      </c>
      <c r="C51" s="660" t="s">
        <v>806</v>
      </c>
      <c r="D51" s="660"/>
      <c r="E51" s="660"/>
      <c r="F51" s="660"/>
      <c r="G51" s="661"/>
      <c r="H51" s="660">
        <v>357090.55000000005</v>
      </c>
      <c r="I51" s="660">
        <v>4297.76</v>
      </c>
      <c r="J51" s="660">
        <v>-4529.4800000000005</v>
      </c>
      <c r="K51" s="661">
        <v>3.3529999999999997E-2</v>
      </c>
      <c r="L51" s="660">
        <v>2651004.2400000002</v>
      </c>
      <c r="M51" s="660">
        <v>115640.54000000002</v>
      </c>
      <c r="N51" s="660">
        <v>7405.83</v>
      </c>
      <c r="O51" s="661">
        <v>3.3529999999999997E-2</v>
      </c>
      <c r="P51" s="660">
        <v>30437.95</v>
      </c>
      <c r="Q51" s="660">
        <v>4086.59</v>
      </c>
      <c r="R51" s="660">
        <v>85.05</v>
      </c>
      <c r="S51" s="661">
        <v>3.3529999999999997E-2</v>
      </c>
      <c r="T51" s="660">
        <f t="shared" si="1"/>
        <v>3038532.74</v>
      </c>
    </row>
    <row r="52" spans="1:20">
      <c r="A52" s="2">
        <f>A51+1</f>
        <v>18</v>
      </c>
      <c r="B52">
        <v>39101</v>
      </c>
      <c r="C52" s="660" t="s">
        <v>806</v>
      </c>
      <c r="D52" s="660">
        <v>4424137.55</v>
      </c>
      <c r="E52" s="660">
        <v>183977.76000000673</v>
      </c>
      <c r="F52" s="660">
        <v>183977.76000000673</v>
      </c>
      <c r="G52" s="661">
        <v>3.2800000000000003E-2</v>
      </c>
      <c r="H52" s="660">
        <v>1483399.2100000002</v>
      </c>
      <c r="I52" s="660">
        <v>81308.579999999987</v>
      </c>
      <c r="J52" s="660">
        <v>4360.79</v>
      </c>
      <c r="K52" s="661">
        <v>3.2800000000000003E-2</v>
      </c>
      <c r="L52" s="660">
        <v>1371177.14</v>
      </c>
      <c r="M52" s="660">
        <v>60630.540000000008</v>
      </c>
      <c r="N52" s="660">
        <v>3436.1400000000003</v>
      </c>
      <c r="O52" s="661">
        <v>3.2800000000000003E-2</v>
      </c>
      <c r="P52" s="660">
        <v>0</v>
      </c>
      <c r="Q52" s="660">
        <v>0</v>
      </c>
      <c r="R52" s="660">
        <v>0</v>
      </c>
      <c r="S52" s="661">
        <v>3.2800000000000003E-2</v>
      </c>
      <c r="T52" s="660">
        <f t="shared" si="1"/>
        <v>7278713.8999999994</v>
      </c>
    </row>
    <row r="53" spans="1:20">
      <c r="A53" s="2">
        <v>19</v>
      </c>
      <c r="B53">
        <v>39202</v>
      </c>
      <c r="C53" s="660" t="s">
        <v>807</v>
      </c>
      <c r="D53" s="660">
        <v>7218844.3799999999</v>
      </c>
      <c r="E53" s="660">
        <v>0</v>
      </c>
      <c r="F53" s="660">
        <v>0</v>
      </c>
      <c r="G53" s="661">
        <v>2.564E-2</v>
      </c>
      <c r="H53" s="660">
        <v>1255.76</v>
      </c>
      <c r="I53" s="660">
        <v>2783.1</v>
      </c>
      <c r="J53" s="660">
        <v>86.86</v>
      </c>
      <c r="K53" s="661">
        <v>2.564E-2</v>
      </c>
      <c r="L53" s="660">
        <v>4892217.3999999929</v>
      </c>
      <c r="M53" s="660">
        <v>177698.59999999998</v>
      </c>
      <c r="N53" s="660">
        <v>10452.820000000007</v>
      </c>
      <c r="O53" s="661">
        <v>2.564E-2</v>
      </c>
      <c r="P53" s="660">
        <v>0</v>
      </c>
      <c r="Q53" s="660">
        <v>0</v>
      </c>
      <c r="R53" s="660">
        <v>0</v>
      </c>
      <c r="S53" s="661"/>
      <c r="T53" s="660">
        <f t="shared" si="1"/>
        <v>12112317.539999992</v>
      </c>
    </row>
    <row r="54" spans="1:20">
      <c r="A54" s="2">
        <f t="shared" ref="A54:A62" si="3">A53+1</f>
        <v>20</v>
      </c>
      <c r="B54">
        <v>39204</v>
      </c>
      <c r="C54" s="660" t="s">
        <v>808</v>
      </c>
      <c r="D54" s="660">
        <v>7624942.7300000004</v>
      </c>
      <c r="E54" s="660">
        <v>0</v>
      </c>
      <c r="F54" s="660">
        <v>0</v>
      </c>
      <c r="G54" s="661">
        <v>8.2729999999999998E-2</v>
      </c>
      <c r="H54" s="660">
        <v>0</v>
      </c>
      <c r="I54" s="660">
        <v>0</v>
      </c>
      <c r="J54" s="660">
        <v>0</v>
      </c>
      <c r="K54" s="661"/>
      <c r="L54" s="660">
        <v>4499978.0100000007</v>
      </c>
      <c r="M54" s="660">
        <v>527399.06999999995</v>
      </c>
      <c r="N54" s="660">
        <v>31023.44999999999</v>
      </c>
      <c r="O54" s="661">
        <v>8.2729999999999998E-2</v>
      </c>
      <c r="P54" s="660">
        <v>0</v>
      </c>
      <c r="Q54" s="660">
        <v>0</v>
      </c>
      <c r="R54" s="660">
        <v>0</v>
      </c>
      <c r="S54" s="661"/>
      <c r="T54" s="660">
        <f t="shared" si="1"/>
        <v>12124920.740000002</v>
      </c>
    </row>
    <row r="55" spans="1:20">
      <c r="A55" s="2">
        <f t="shared" si="3"/>
        <v>21</v>
      </c>
      <c r="B55">
        <v>39207</v>
      </c>
      <c r="C55" s="660" t="s">
        <v>809</v>
      </c>
      <c r="D55" s="660">
        <v>145467.9</v>
      </c>
      <c r="E55" s="660">
        <v>0</v>
      </c>
      <c r="F55" s="660">
        <v>0</v>
      </c>
      <c r="G55" s="661">
        <v>5.287E-2</v>
      </c>
      <c r="H55" s="660">
        <v>482796.16000000015</v>
      </c>
      <c r="I55" s="660">
        <v>46835.220000000008</v>
      </c>
      <c r="J55" s="660">
        <v>1641.64</v>
      </c>
      <c r="K55" s="661">
        <v>5.287E-2</v>
      </c>
      <c r="L55" s="660">
        <v>36580.379999999997</v>
      </c>
      <c r="M55" s="660">
        <v>1450.25</v>
      </c>
      <c r="N55" s="660">
        <v>161.13999999999999</v>
      </c>
      <c r="O55" s="661">
        <v>5.8700000000000002E-2</v>
      </c>
      <c r="P55" s="660">
        <v>0</v>
      </c>
      <c r="Q55" s="660">
        <v>0</v>
      </c>
      <c r="R55" s="660">
        <v>0</v>
      </c>
      <c r="S55" s="661"/>
      <c r="T55" s="660">
        <f t="shared" si="1"/>
        <v>664844.44000000018</v>
      </c>
    </row>
    <row r="56" spans="1:20">
      <c r="A56" s="2">
        <f t="shared" si="3"/>
        <v>22</v>
      </c>
      <c r="B56">
        <v>39300</v>
      </c>
      <c r="C56" s="660" t="s">
        <v>810</v>
      </c>
      <c r="D56" s="660">
        <v>0</v>
      </c>
      <c r="E56" s="660">
        <v>0</v>
      </c>
      <c r="F56" s="660">
        <v>0</v>
      </c>
      <c r="G56" s="661"/>
      <c r="H56" s="660">
        <v>0</v>
      </c>
      <c r="I56" s="660">
        <v>0</v>
      </c>
      <c r="J56" s="660">
        <v>0</v>
      </c>
      <c r="K56" s="661"/>
      <c r="L56" s="660">
        <v>88959.4</v>
      </c>
      <c r="M56" s="660">
        <v>147.35</v>
      </c>
      <c r="N56" s="660">
        <v>10.52</v>
      </c>
      <c r="O56" s="661">
        <v>2.63E-2</v>
      </c>
      <c r="P56" s="660">
        <v>55603.76</v>
      </c>
      <c r="Q56" s="660">
        <v>1079.73</v>
      </c>
      <c r="R56" s="660">
        <v>6.59</v>
      </c>
      <c r="S56" s="661">
        <v>2.63E-2</v>
      </c>
      <c r="T56" s="660">
        <f t="shared" si="1"/>
        <v>144563.16</v>
      </c>
    </row>
    <row r="57" spans="1:20">
      <c r="A57" s="2">
        <f t="shared" si="3"/>
        <v>23</v>
      </c>
      <c r="B57">
        <v>39400</v>
      </c>
      <c r="C57" s="660" t="s">
        <v>811</v>
      </c>
      <c r="D57" s="660">
        <v>0</v>
      </c>
      <c r="E57" s="660">
        <v>0</v>
      </c>
      <c r="F57" s="660">
        <v>0</v>
      </c>
      <c r="G57" s="661"/>
      <c r="H57" s="660">
        <v>0</v>
      </c>
      <c r="I57" s="660">
        <v>0</v>
      </c>
      <c r="J57" s="660">
        <v>0</v>
      </c>
      <c r="K57" s="661"/>
      <c r="L57" s="660">
        <v>1167099.5899999999</v>
      </c>
      <c r="M57" s="660">
        <v>49097.88</v>
      </c>
      <c r="N57" s="660">
        <v>2645.4300000000003</v>
      </c>
      <c r="O57" s="661">
        <v>2.7199999999999998E-2</v>
      </c>
      <c r="P57" s="660">
        <v>0</v>
      </c>
      <c r="Q57" s="660">
        <v>0</v>
      </c>
      <c r="R57" s="660">
        <v>0</v>
      </c>
      <c r="S57" s="661"/>
      <c r="T57" s="660">
        <f t="shared" si="1"/>
        <v>1167099.5899999999</v>
      </c>
    </row>
    <row r="58" spans="1:20">
      <c r="A58" s="2">
        <f t="shared" si="3"/>
        <v>24</v>
      </c>
      <c r="B58">
        <v>39500</v>
      </c>
      <c r="C58" s="660" t="s">
        <v>812</v>
      </c>
      <c r="D58" s="660">
        <v>0</v>
      </c>
      <c r="E58" s="660">
        <v>0</v>
      </c>
      <c r="F58" s="660">
        <v>0</v>
      </c>
      <c r="G58" s="661"/>
      <c r="H58" s="660">
        <v>0</v>
      </c>
      <c r="I58" s="660">
        <v>0</v>
      </c>
      <c r="J58" s="660">
        <v>0</v>
      </c>
      <c r="K58" s="661"/>
      <c r="L58" s="660">
        <v>4452323.78</v>
      </c>
      <c r="M58" s="660">
        <v>202420.19</v>
      </c>
      <c r="N58" s="660">
        <v>10698.769999999997</v>
      </c>
      <c r="O58" s="661">
        <v>2.8879999999999999E-2</v>
      </c>
      <c r="P58" s="660">
        <v>-6850.41</v>
      </c>
      <c r="Q58" s="660">
        <v>3397.5</v>
      </c>
      <c r="R58" s="660">
        <v>194.88</v>
      </c>
      <c r="S58" s="661">
        <v>2.8879999999999999E-2</v>
      </c>
      <c r="T58" s="660">
        <f t="shared" si="1"/>
        <v>4445473.37</v>
      </c>
    </row>
    <row r="59" spans="1:20">
      <c r="A59" s="2">
        <f t="shared" si="3"/>
        <v>25</v>
      </c>
      <c r="B59">
        <v>39600</v>
      </c>
      <c r="C59" s="660" t="s">
        <v>813</v>
      </c>
      <c r="D59" s="660">
        <v>0</v>
      </c>
      <c r="E59" s="660">
        <v>0</v>
      </c>
      <c r="F59" s="660">
        <v>0</v>
      </c>
      <c r="G59" s="661"/>
      <c r="H59" s="660">
        <v>0</v>
      </c>
      <c r="I59" s="660">
        <v>0</v>
      </c>
      <c r="J59" s="660">
        <v>0</v>
      </c>
      <c r="K59" s="661"/>
      <c r="L59" s="660">
        <v>1244726.04</v>
      </c>
      <c r="M59" s="660">
        <v>83066.850000000006</v>
      </c>
      <c r="N59" s="660">
        <v>3076.55</v>
      </c>
      <c r="O59" s="661">
        <v>2.9659999999999999E-2</v>
      </c>
      <c r="P59" s="660">
        <v>0</v>
      </c>
      <c r="Q59" s="660">
        <v>0</v>
      </c>
      <c r="R59" s="660">
        <v>0</v>
      </c>
      <c r="S59" s="661"/>
      <c r="T59" s="660">
        <f t="shared" si="1"/>
        <v>1244726.04</v>
      </c>
    </row>
    <row r="60" spans="1:20">
      <c r="A60" s="2">
        <f t="shared" si="3"/>
        <v>26</v>
      </c>
      <c r="B60">
        <v>39700</v>
      </c>
      <c r="C60" s="660" t="s">
        <v>814</v>
      </c>
      <c r="D60" s="660">
        <v>0</v>
      </c>
      <c r="E60" s="660">
        <v>0</v>
      </c>
      <c r="F60" s="660">
        <v>0</v>
      </c>
      <c r="G60" s="661"/>
      <c r="H60" s="660">
        <v>1244484.7100000002</v>
      </c>
      <c r="I60" s="660">
        <v>172553.11000000004</v>
      </c>
      <c r="J60" s="660">
        <v>7068.2099999999991</v>
      </c>
      <c r="K60" s="661">
        <v>6.5430000000000002E-2</v>
      </c>
      <c r="L60" s="660">
        <v>866014.67000000016</v>
      </c>
      <c r="M60" s="660">
        <v>83038.98000000001</v>
      </c>
      <c r="N60" s="660">
        <v>4374.8300000000008</v>
      </c>
      <c r="O60" s="661">
        <v>6.5430000000000002E-2</v>
      </c>
      <c r="P60" s="660">
        <v>-11820.95</v>
      </c>
      <c r="Q60" s="660">
        <v>10793.07</v>
      </c>
      <c r="R60" s="660">
        <v>599.62</v>
      </c>
      <c r="S60" s="661">
        <v>6.5430000000000002E-2</v>
      </c>
      <c r="T60" s="660">
        <f t="shared" si="1"/>
        <v>2098678.4300000002</v>
      </c>
    </row>
    <row r="61" spans="1:20">
      <c r="A61" s="2">
        <f t="shared" si="3"/>
        <v>27</v>
      </c>
      <c r="B61">
        <v>39800</v>
      </c>
      <c r="C61" s="660" t="s">
        <v>815</v>
      </c>
      <c r="D61" s="660">
        <v>0</v>
      </c>
      <c r="E61" s="660">
        <v>0</v>
      </c>
      <c r="F61" s="660">
        <v>0</v>
      </c>
      <c r="G61" s="661"/>
      <c r="H61" s="660">
        <v>294659.87</v>
      </c>
      <c r="I61" s="660">
        <v>16684.78</v>
      </c>
      <c r="J61" s="660">
        <v>556.75</v>
      </c>
      <c r="K61" s="661">
        <v>2.2550000000000001E-2</v>
      </c>
      <c r="L61" s="660">
        <v>5135108.55</v>
      </c>
      <c r="M61" s="660">
        <v>181277.36999999997</v>
      </c>
      <c r="N61" s="660">
        <v>9558.6899999999987</v>
      </c>
      <c r="O61" s="661">
        <v>2.2550000000000001E-2</v>
      </c>
      <c r="P61" s="660">
        <v>857973.76000000001</v>
      </c>
      <c r="Q61" s="660">
        <v>5629.6299999999992</v>
      </c>
      <c r="R61" s="660">
        <v>3121.95</v>
      </c>
      <c r="S61" s="661">
        <v>2.2499999999999999E-2</v>
      </c>
      <c r="T61" s="660">
        <f t="shared" si="1"/>
        <v>6287742.1799999997</v>
      </c>
    </row>
    <row r="62" spans="1:20" ht="15.75" thickBot="1">
      <c r="A62" s="2">
        <f t="shared" si="3"/>
        <v>28</v>
      </c>
      <c r="B62" s="1236" t="s">
        <v>816</v>
      </c>
      <c r="C62" s="1237"/>
      <c r="D62" s="662">
        <f>SUM(D35:D61)</f>
        <v>19413392.559999999</v>
      </c>
      <c r="E62" s="663">
        <f>SUM(E32:E61)</f>
        <v>183977.76000000673</v>
      </c>
      <c r="F62" s="663"/>
      <c r="G62" s="664"/>
      <c r="H62" s="665">
        <f>SUM(H35:H61)</f>
        <v>10037999.209999999</v>
      </c>
      <c r="I62" s="663">
        <f>SUM(I32:I61)</f>
        <v>385400.9</v>
      </c>
      <c r="J62" s="663"/>
      <c r="K62" s="666"/>
      <c r="L62" s="662">
        <f>SUM(L35:L61)</f>
        <v>311748543.60999995</v>
      </c>
      <c r="M62" s="663">
        <f>SUM(M32:M61)</f>
        <v>15118796.769999998</v>
      </c>
      <c r="N62" s="663"/>
      <c r="O62" s="664"/>
      <c r="P62" s="665">
        <f>SUM(P35:P61)</f>
        <v>10264285.769999996</v>
      </c>
      <c r="Q62" s="663">
        <f>SUM(Q32:Q61)</f>
        <v>2744867.1700000004</v>
      </c>
      <c r="R62" s="663"/>
      <c r="S62" s="667"/>
      <c r="T62" s="668">
        <f>SUM(T33:T61)</f>
        <v>353060536.64999998</v>
      </c>
    </row>
    <row r="63" spans="1:20">
      <c r="C63" s="61"/>
      <c r="D63" s="2"/>
      <c r="E63"/>
    </row>
    <row r="64" spans="1:20" ht="18.75">
      <c r="B64" s="419"/>
      <c r="C64" s="61"/>
      <c r="D64" s="2"/>
      <c r="E64"/>
    </row>
    <row r="65" spans="2:5" ht="18.75">
      <c r="B65" s="419" t="s">
        <v>817</v>
      </c>
      <c r="C65" s="61"/>
      <c r="D65" s="2"/>
      <c r="E65"/>
    </row>
  </sheetData>
  <mergeCells count="8">
    <mergeCell ref="P30:S30"/>
    <mergeCell ref="T30:T31"/>
    <mergeCell ref="B62:C62"/>
    <mergeCell ref="B30:B31"/>
    <mergeCell ref="C30:C31"/>
    <mergeCell ref="D30:G30"/>
    <mergeCell ref="H30:K30"/>
    <mergeCell ref="L30:O30"/>
  </mergeCells>
  <pageMargins left="0.7" right="0.7" top="0.75" bottom="0.75" header="0.3" footer="0.3"/>
  <pageSetup scale="45" fitToWidth="0" orientation="landscape" horizontalDpi="1200" verticalDpi="1200" r:id="rId1"/>
  <headerFooter>
    <oddHeader>&amp;LPuerto Rico Electric Power Authority 
Docket NEPR-AP-2023-0003
Utility Plant in Service and Accumulated Depreciation &amp;RSchedule C-7
Page &amp;P of &amp;N</oddHeader>
  </headerFooter>
  <rowBreaks count="1" manualBreakCount="1">
    <brk id="26" max="16383" man="1"/>
  </rowBreaks>
  <colBreaks count="1" manualBreakCount="1">
    <brk id="11"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853C1-7D57-4CBD-9421-6E051657ED64}">
  <sheetPr>
    <tabColor theme="7" tint="0.79998168889431442"/>
  </sheetPr>
  <dimension ref="A1:AD123"/>
  <sheetViews>
    <sheetView workbookViewId="0"/>
    <sheetView workbookViewId="1"/>
    <sheetView workbookViewId="2"/>
  </sheetViews>
  <sheetFormatPr defaultColWidth="8.5703125" defaultRowHeight="15"/>
  <cols>
    <col min="3" max="3" width="68" customWidth="1"/>
    <col min="4" max="4" width="0" hidden="1" customWidth="1"/>
    <col min="5" max="5" width="31" hidden="1" customWidth="1"/>
    <col min="6" max="6" width="2.85546875" hidden="1" customWidth="1"/>
    <col min="7" max="7" width="31" hidden="1" customWidth="1"/>
    <col min="8" max="8" width="2.5703125" hidden="1" customWidth="1"/>
    <col min="9" max="9" width="31" hidden="1" customWidth="1"/>
    <col min="10" max="10" width="4.140625" customWidth="1"/>
    <col min="11" max="11" width="31" customWidth="1"/>
    <col min="12" max="12" width="2.85546875" customWidth="1"/>
    <col min="13" max="13" width="31" customWidth="1"/>
    <col min="14" max="14" width="2.85546875" customWidth="1"/>
    <col min="15" max="15" width="29.42578125" customWidth="1"/>
    <col min="16" max="16" width="3.5703125" customWidth="1"/>
    <col min="17" max="17" width="32.42578125" customWidth="1"/>
  </cols>
  <sheetData>
    <row r="1" spans="1:30">
      <c r="V1" s="750"/>
      <c r="W1" s="79"/>
      <c r="X1" s="79"/>
      <c r="Y1" s="79"/>
      <c r="Z1" s="79"/>
      <c r="AA1" s="79"/>
      <c r="AB1" s="79"/>
      <c r="AC1" s="79"/>
      <c r="AD1" s="79"/>
    </row>
    <row r="2" spans="1:30">
      <c r="S2" s="2"/>
      <c r="U2" s="2"/>
      <c r="V2" s="750"/>
      <c r="W2" s="79"/>
      <c r="X2" s="79"/>
      <c r="Y2" s="79"/>
      <c r="Z2" s="79"/>
      <c r="AA2" s="79"/>
      <c r="AB2" s="79"/>
      <c r="AC2" s="79"/>
      <c r="AD2" s="79"/>
    </row>
    <row r="3" spans="1:30">
      <c r="E3" s="1244" t="s">
        <v>818</v>
      </c>
      <c r="F3" s="1244"/>
      <c r="G3" s="1244"/>
      <c r="H3" s="1244"/>
      <c r="I3" s="1244"/>
      <c r="J3" s="1244"/>
      <c r="K3" s="1244"/>
      <c r="M3" s="1245" t="s">
        <v>461</v>
      </c>
      <c r="N3" s="1245"/>
      <c r="O3" s="1245"/>
      <c r="P3" s="1245"/>
      <c r="Q3" s="1245"/>
      <c r="W3" s="79"/>
      <c r="X3" s="79"/>
      <c r="Y3" s="79"/>
      <c r="Z3" s="79"/>
      <c r="AA3" s="79"/>
      <c r="AB3" s="79"/>
      <c r="AC3" s="79"/>
      <c r="AD3" s="79"/>
    </row>
    <row r="4" spans="1:30" ht="30">
      <c r="A4" s="58" t="s">
        <v>242</v>
      </c>
      <c r="C4" s="58" t="s">
        <v>819</v>
      </c>
      <c r="E4" s="58" t="s">
        <v>820</v>
      </c>
      <c r="G4" s="58" t="s">
        <v>821</v>
      </c>
      <c r="I4" s="58" t="s">
        <v>822</v>
      </c>
      <c r="K4" s="58" t="s">
        <v>823</v>
      </c>
      <c r="M4" s="58" t="s">
        <v>351</v>
      </c>
      <c r="O4" s="58" t="s">
        <v>354</v>
      </c>
      <c r="Q4" s="58" t="s">
        <v>356</v>
      </c>
      <c r="S4" s="751"/>
      <c r="T4" s="751"/>
      <c r="U4" s="751"/>
      <c r="W4" s="79"/>
      <c r="X4" s="79"/>
      <c r="Y4" s="79"/>
      <c r="Z4" s="79"/>
      <c r="AA4" s="79"/>
      <c r="AB4" s="79"/>
      <c r="AC4" s="79"/>
      <c r="AD4" s="79"/>
    </row>
    <row r="5" spans="1:30">
      <c r="A5" s="2"/>
      <c r="E5" s="2" t="s">
        <v>547</v>
      </c>
      <c r="G5" s="2" t="s">
        <v>547</v>
      </c>
      <c r="I5" s="2" t="s">
        <v>547</v>
      </c>
      <c r="K5" s="2"/>
      <c r="M5" s="2" t="s">
        <v>547</v>
      </c>
      <c r="O5" s="2" t="s">
        <v>358</v>
      </c>
      <c r="Q5" s="2" t="s">
        <v>462</v>
      </c>
      <c r="S5" s="751"/>
      <c r="T5" s="751"/>
      <c r="U5" s="751"/>
      <c r="W5" s="79"/>
      <c r="X5" s="79"/>
      <c r="Y5" s="79"/>
      <c r="Z5" s="79"/>
      <c r="AA5" s="79"/>
      <c r="AB5" s="79"/>
      <c r="AC5" s="79"/>
      <c r="AD5" s="79"/>
    </row>
    <row r="6" spans="1:30">
      <c r="A6" s="2">
        <v>1</v>
      </c>
      <c r="C6" s="29" t="s">
        <v>824</v>
      </c>
      <c r="D6" s="29"/>
      <c r="E6" s="382"/>
      <c r="F6" s="368"/>
      <c r="G6" s="382"/>
      <c r="H6" s="368"/>
      <c r="I6" s="382"/>
      <c r="J6" s="368"/>
      <c r="K6" s="382"/>
      <c r="L6" s="368"/>
      <c r="M6" s="382"/>
      <c r="N6" s="368"/>
      <c r="O6" s="382"/>
      <c r="P6" s="368"/>
      <c r="Q6" s="382"/>
      <c r="S6" s="751"/>
      <c r="T6" s="751"/>
      <c r="U6" s="751"/>
      <c r="W6" s="79"/>
      <c r="X6" s="79"/>
      <c r="Y6" s="79"/>
      <c r="Z6" s="79"/>
      <c r="AA6" s="79"/>
      <c r="AB6" s="79"/>
      <c r="AC6" s="79"/>
      <c r="AD6" s="79"/>
    </row>
    <row r="7" spans="1:30">
      <c r="A7" s="2">
        <f>IF(C7&lt;&gt;"",MAX(A4:A6)+1,"")</f>
        <v>2</v>
      </c>
      <c r="C7" s="62" t="s">
        <v>825</v>
      </c>
      <c r="E7" s="377">
        <v>0</v>
      </c>
      <c r="F7" s="368"/>
      <c r="G7" s="377">
        <v>0</v>
      </c>
      <c r="H7" s="368"/>
      <c r="I7" s="377">
        <v>0</v>
      </c>
      <c r="J7" s="368"/>
      <c r="K7" s="377">
        <v>0</v>
      </c>
      <c r="L7" s="368"/>
      <c r="M7" s="377">
        <v>1198265.6666666667</v>
      </c>
      <c r="N7" s="368"/>
      <c r="O7" s="377">
        <v>1200273</v>
      </c>
      <c r="P7" s="368"/>
      <c r="Q7" s="377">
        <v>1202107</v>
      </c>
      <c r="S7" s="751"/>
      <c r="T7" s="751"/>
      <c r="U7" s="751"/>
      <c r="W7" s="79"/>
      <c r="X7" s="79"/>
      <c r="Y7" s="79"/>
      <c r="Z7" s="79"/>
      <c r="AA7" s="79"/>
      <c r="AB7" s="79"/>
      <c r="AC7" s="79"/>
      <c r="AD7" s="79"/>
    </row>
    <row r="8" spans="1:30">
      <c r="A8" s="2">
        <f>IF(C8&lt;&gt;"",MAX(A5:A7)+1,"")</f>
        <v>3</v>
      </c>
      <c r="C8" s="62" t="s">
        <v>826</v>
      </c>
      <c r="E8" s="377"/>
      <c r="F8" s="368"/>
      <c r="G8" s="377"/>
      <c r="H8" s="368"/>
      <c r="I8" s="377"/>
      <c r="J8" s="368"/>
      <c r="K8" s="377"/>
      <c r="L8" s="368"/>
      <c r="M8" s="377"/>
      <c r="N8" s="368"/>
      <c r="O8" s="377"/>
      <c r="P8" s="368"/>
      <c r="Q8" s="377"/>
      <c r="S8" s="751"/>
      <c r="T8" s="751"/>
      <c r="U8" s="751"/>
      <c r="W8" s="79"/>
      <c r="X8" s="79"/>
      <c r="Y8" s="79"/>
      <c r="Z8" s="79"/>
      <c r="AA8" s="79"/>
      <c r="AB8" s="79"/>
      <c r="AC8" s="79"/>
      <c r="AD8" s="79"/>
    </row>
    <row r="9" spans="1:30">
      <c r="A9" s="2">
        <f>IF(C9&lt;&gt;"",MAX(A6:A8)+1,"")</f>
        <v>4</v>
      </c>
      <c r="C9" s="80" t="s">
        <v>827</v>
      </c>
      <c r="E9" s="377">
        <v>0</v>
      </c>
      <c r="F9" s="368"/>
      <c r="G9" s="377">
        <v>0</v>
      </c>
      <c r="H9" s="368"/>
      <c r="I9" s="377">
        <v>0</v>
      </c>
      <c r="J9" s="368"/>
      <c r="K9" s="377">
        <v>3727309059</v>
      </c>
      <c r="L9" s="368"/>
      <c r="M9" s="377">
        <v>3679021481.9555869</v>
      </c>
      <c r="N9" s="368"/>
      <c r="O9" s="377">
        <v>3465700000</v>
      </c>
      <c r="P9" s="368"/>
      <c r="Q9" s="377">
        <v>3281153801.8141451</v>
      </c>
      <c r="S9" s="751"/>
      <c r="T9" s="751"/>
      <c r="U9" s="751"/>
      <c r="W9" s="79"/>
      <c r="X9" s="79"/>
      <c r="Y9" s="79"/>
      <c r="Z9" s="79"/>
      <c r="AA9" s="79"/>
      <c r="AB9" s="79"/>
      <c r="AC9" s="79"/>
      <c r="AD9" s="79"/>
    </row>
    <row r="10" spans="1:30">
      <c r="A10" s="2">
        <f>IF(C10&lt;&gt;"",MAX(A7:A9)+1,"")</f>
        <v>5</v>
      </c>
      <c r="C10" s="80" t="s">
        <v>828</v>
      </c>
      <c r="E10" s="377">
        <v>0</v>
      </c>
      <c r="F10" s="368"/>
      <c r="G10" s="377">
        <v>0</v>
      </c>
      <c r="H10" s="368"/>
      <c r="I10" s="377">
        <v>0</v>
      </c>
      <c r="J10" s="368"/>
      <c r="K10" s="377">
        <v>2143684441</v>
      </c>
      <c r="L10" s="368"/>
      <c r="M10" s="377">
        <v>2123543257.746901</v>
      </c>
      <c r="N10" s="368"/>
      <c r="O10" s="377">
        <v>2000399999.9999998</v>
      </c>
      <c r="P10" s="368"/>
      <c r="Q10" s="377">
        <v>1893892728.7180095</v>
      </c>
      <c r="T10" s="751"/>
      <c r="U10" s="751"/>
      <c r="W10" s="79"/>
      <c r="X10" s="79"/>
      <c r="Y10" s="79"/>
      <c r="Z10" s="79"/>
      <c r="AA10" s="79"/>
      <c r="AB10" s="79"/>
      <c r="AC10" s="79"/>
      <c r="AD10" s="79"/>
    </row>
    <row r="11" spans="1:30">
      <c r="A11" s="2">
        <f>A10+1</f>
        <v>6</v>
      </c>
      <c r="C11" s="752" t="s">
        <v>829</v>
      </c>
      <c r="D11" s="753"/>
      <c r="E11" s="756">
        <v>0</v>
      </c>
      <c r="F11" s="368"/>
      <c r="G11" s="756">
        <v>0</v>
      </c>
      <c r="H11" s="368"/>
      <c r="I11" s="756">
        <v>0</v>
      </c>
      <c r="J11" s="368"/>
      <c r="K11" s="756">
        <v>0</v>
      </c>
      <c r="L11" s="368"/>
      <c r="M11" s="756">
        <v>0</v>
      </c>
      <c r="N11" s="368"/>
      <c r="O11" s="756">
        <v>0</v>
      </c>
      <c r="P11" s="368"/>
      <c r="Q11" s="756">
        <v>0</v>
      </c>
    </row>
    <row r="12" spans="1:30">
      <c r="A12" s="2" t="str">
        <f>IF(C12&lt;&gt;"",MAX(A11:A11)+1,"")</f>
        <v/>
      </c>
      <c r="C12" s="29"/>
      <c r="D12" s="29"/>
      <c r="E12" s="761"/>
      <c r="F12" s="368"/>
      <c r="G12" s="761"/>
      <c r="H12" s="368"/>
      <c r="I12" s="761"/>
      <c r="J12" s="368"/>
      <c r="K12" s="761"/>
      <c r="L12" s="368"/>
      <c r="M12" s="761"/>
      <c r="N12" s="368"/>
      <c r="O12" s="761"/>
      <c r="P12" s="368"/>
      <c r="Q12" s="761"/>
    </row>
    <row r="13" spans="1:30">
      <c r="A13" s="2">
        <f>A11:A11+1</f>
        <v>7</v>
      </c>
      <c r="C13" s="29" t="s">
        <v>830</v>
      </c>
      <c r="D13" s="29"/>
      <c r="E13" s="382"/>
      <c r="F13" s="368"/>
      <c r="G13" s="382"/>
      <c r="H13" s="368"/>
      <c r="I13" s="382"/>
      <c r="J13" s="368"/>
      <c r="K13" s="382"/>
      <c r="L13" s="368"/>
      <c r="M13" s="382"/>
      <c r="N13" s="368"/>
      <c r="O13" s="382"/>
      <c r="P13" s="368"/>
      <c r="Q13" s="382"/>
    </row>
    <row r="14" spans="1:30">
      <c r="A14" s="2">
        <f>A13+1</f>
        <v>8</v>
      </c>
      <c r="C14" s="62" t="s">
        <v>825</v>
      </c>
      <c r="E14" s="377">
        <v>0</v>
      </c>
      <c r="F14" s="368"/>
      <c r="G14" s="377">
        <v>0</v>
      </c>
      <c r="H14" s="368"/>
      <c r="I14" s="377">
        <v>0</v>
      </c>
      <c r="J14" s="368"/>
      <c r="K14" s="377">
        <v>0</v>
      </c>
      <c r="L14" s="368"/>
      <c r="M14" s="377">
        <v>137468.5</v>
      </c>
      <c r="N14" s="368"/>
      <c r="O14" s="377">
        <v>137698</v>
      </c>
      <c r="P14" s="368"/>
      <c r="Q14" s="377">
        <v>137908</v>
      </c>
    </row>
    <row r="15" spans="1:30">
      <c r="A15" s="2">
        <f>A14+1</f>
        <v>9</v>
      </c>
      <c r="C15" s="62" t="s">
        <v>826</v>
      </c>
      <c r="E15" s="377"/>
      <c r="F15" s="368"/>
      <c r="G15" s="377"/>
      <c r="H15" s="368"/>
      <c r="I15" s="377"/>
      <c r="J15" s="368"/>
      <c r="K15" s="377"/>
      <c r="L15" s="368"/>
      <c r="M15" s="377"/>
      <c r="N15" s="368"/>
      <c r="O15" s="377"/>
      <c r="P15" s="368"/>
      <c r="Q15" s="377"/>
    </row>
    <row r="16" spans="1:30">
      <c r="A16" s="2">
        <f>A14+1</f>
        <v>9</v>
      </c>
      <c r="C16" s="80" t="s">
        <v>827</v>
      </c>
      <c r="E16" s="377">
        <v>0</v>
      </c>
      <c r="F16" s="368"/>
      <c r="G16" s="377">
        <v>0</v>
      </c>
      <c r="H16" s="368"/>
      <c r="I16" s="377">
        <v>0</v>
      </c>
      <c r="J16" s="368"/>
      <c r="K16" s="377">
        <v>403866743</v>
      </c>
      <c r="L16" s="368"/>
      <c r="M16" s="377">
        <v>379941338.2249983</v>
      </c>
      <c r="N16" s="368"/>
      <c r="O16" s="377">
        <v>357900000</v>
      </c>
      <c r="P16" s="368"/>
      <c r="Q16" s="377">
        <v>338852592.32589519</v>
      </c>
    </row>
    <row r="17" spans="1:17">
      <c r="A17" s="2">
        <f>A16+1</f>
        <v>10</v>
      </c>
      <c r="C17" s="80" t="s">
        <v>828</v>
      </c>
      <c r="E17" s="377">
        <v>0</v>
      </c>
      <c r="F17" s="368"/>
      <c r="G17" s="377">
        <v>0</v>
      </c>
      <c r="H17" s="368"/>
      <c r="I17" s="377">
        <v>0</v>
      </c>
      <c r="J17" s="368"/>
      <c r="K17" s="377">
        <v>108810179</v>
      </c>
      <c r="L17" s="368"/>
      <c r="M17" s="377">
        <v>103193501.5755908</v>
      </c>
      <c r="N17" s="368"/>
      <c r="O17" s="377">
        <v>97199999.999999985</v>
      </c>
      <c r="P17" s="368"/>
      <c r="Q17" s="377">
        <v>92033643.09720856</v>
      </c>
    </row>
    <row r="18" spans="1:17">
      <c r="A18" s="2">
        <f>A17+1</f>
        <v>11</v>
      </c>
      <c r="C18" s="752" t="s">
        <v>831</v>
      </c>
      <c r="D18" s="753"/>
      <c r="E18" s="756">
        <v>0</v>
      </c>
      <c r="F18" s="368"/>
      <c r="G18" s="756">
        <v>0</v>
      </c>
      <c r="H18" s="368"/>
      <c r="I18" s="756">
        <v>0</v>
      </c>
      <c r="J18" s="368"/>
      <c r="K18" s="756">
        <v>0</v>
      </c>
      <c r="L18" s="368"/>
      <c r="M18" s="756">
        <v>0</v>
      </c>
      <c r="N18" s="368"/>
      <c r="O18" s="756">
        <v>0</v>
      </c>
      <c r="P18" s="368"/>
      <c r="Q18" s="756">
        <v>0</v>
      </c>
    </row>
    <row r="19" spans="1:17">
      <c r="A19" s="2" t="str">
        <f>IF(C19&lt;&gt;"",MAX(A13:A18)+1,"")</f>
        <v/>
      </c>
      <c r="E19" s="767"/>
      <c r="F19" s="368"/>
      <c r="G19" s="767"/>
      <c r="H19" s="368"/>
      <c r="I19" s="767"/>
      <c r="J19" s="368"/>
      <c r="K19" s="767"/>
      <c r="L19" s="368"/>
      <c r="M19" s="767"/>
      <c r="N19" s="368"/>
      <c r="O19" s="767"/>
      <c r="P19" s="368"/>
      <c r="Q19" s="767"/>
    </row>
    <row r="20" spans="1:17">
      <c r="A20" s="2">
        <f>A18+1</f>
        <v>12</v>
      </c>
      <c r="C20" s="29" t="s">
        <v>832</v>
      </c>
      <c r="D20" s="29"/>
      <c r="E20" s="382"/>
      <c r="F20" s="368"/>
      <c r="G20" s="382"/>
      <c r="H20" s="368"/>
      <c r="I20" s="382"/>
      <c r="J20" s="368"/>
      <c r="K20" s="382"/>
      <c r="L20" s="368"/>
      <c r="M20" s="382"/>
      <c r="N20" s="368"/>
      <c r="O20" s="382"/>
      <c r="P20" s="368"/>
      <c r="Q20" s="382"/>
    </row>
    <row r="21" spans="1:17">
      <c r="A21" s="2">
        <f>A20+1</f>
        <v>13</v>
      </c>
      <c r="C21" s="62" t="s">
        <v>825</v>
      </c>
      <c r="E21" s="377">
        <v>0</v>
      </c>
      <c r="F21" s="368"/>
      <c r="G21" s="377">
        <v>0</v>
      </c>
      <c r="H21" s="368"/>
      <c r="I21" s="377">
        <v>0</v>
      </c>
      <c r="J21" s="368"/>
      <c r="K21" s="377">
        <v>0</v>
      </c>
      <c r="L21" s="368"/>
      <c r="M21" s="377">
        <v>4377.4166666666661</v>
      </c>
      <c r="N21" s="368"/>
      <c r="O21" s="377">
        <v>4385</v>
      </c>
      <c r="P21" s="368"/>
      <c r="Q21" s="377">
        <v>4391</v>
      </c>
    </row>
    <row r="22" spans="1:17">
      <c r="A22" s="2">
        <f>A21+1</f>
        <v>14</v>
      </c>
      <c r="C22" s="62" t="s">
        <v>826</v>
      </c>
      <c r="E22" s="377"/>
      <c r="F22" s="368"/>
      <c r="G22" s="377"/>
      <c r="H22" s="368"/>
      <c r="I22" s="377"/>
      <c r="J22" s="368"/>
      <c r="K22" s="377"/>
      <c r="L22" s="368"/>
      <c r="M22" s="377"/>
      <c r="N22" s="368"/>
      <c r="O22" s="377"/>
      <c r="P22" s="368"/>
      <c r="Q22" s="377"/>
    </row>
    <row r="23" spans="1:17">
      <c r="A23" s="2">
        <f>A21+1</f>
        <v>14</v>
      </c>
      <c r="C23" s="80" t="s">
        <v>827</v>
      </c>
      <c r="E23" s="377">
        <v>0</v>
      </c>
      <c r="F23" s="368"/>
      <c r="G23" s="377">
        <v>0</v>
      </c>
      <c r="H23" s="368"/>
      <c r="I23" s="377">
        <v>0</v>
      </c>
      <c r="J23" s="368"/>
      <c r="K23" s="377">
        <v>13374218</v>
      </c>
      <c r="L23" s="368"/>
      <c r="M23" s="377">
        <v>12437032.118020106</v>
      </c>
      <c r="N23" s="368"/>
      <c r="O23" s="377">
        <v>11700000</v>
      </c>
      <c r="P23" s="368"/>
      <c r="Q23" s="377">
        <v>11092029.610991798</v>
      </c>
    </row>
    <row r="24" spans="1:17">
      <c r="A24" s="2">
        <f>A23+1</f>
        <v>15</v>
      </c>
      <c r="C24" s="80" t="s">
        <v>828</v>
      </c>
      <c r="E24" s="377">
        <v>0</v>
      </c>
      <c r="F24" s="368"/>
      <c r="G24" s="377">
        <v>0</v>
      </c>
      <c r="H24" s="368"/>
      <c r="I24" s="377">
        <v>0</v>
      </c>
      <c r="J24" s="368"/>
      <c r="K24" s="377">
        <v>5318924</v>
      </c>
      <c r="L24" s="368"/>
      <c r="M24" s="377">
        <v>4942827.7268347908</v>
      </c>
      <c r="N24" s="368"/>
      <c r="O24" s="377">
        <v>4699999.9999999991</v>
      </c>
      <c r="P24" s="368"/>
      <c r="Q24" s="377">
        <v>4408285.7540140152</v>
      </c>
    </row>
    <row r="25" spans="1:17">
      <c r="A25" s="2">
        <f>A24+1</f>
        <v>16</v>
      </c>
      <c r="C25" s="752" t="s">
        <v>833</v>
      </c>
      <c r="D25" s="753"/>
      <c r="E25" s="756">
        <f>SUM(E21:E21)</f>
        <v>0</v>
      </c>
      <c r="F25" s="368"/>
      <c r="G25" s="756">
        <f>SUM(G21:G21)</f>
        <v>0</v>
      </c>
      <c r="H25" s="368"/>
      <c r="I25" s="756">
        <f>SUM(I21:I21)</f>
        <v>0</v>
      </c>
      <c r="J25" s="368"/>
      <c r="K25" s="756">
        <f>SUM(K21:K21)</f>
        <v>0</v>
      </c>
      <c r="L25" s="368"/>
      <c r="M25" s="756">
        <v>0</v>
      </c>
      <c r="N25" s="368"/>
      <c r="O25" s="756">
        <v>0</v>
      </c>
      <c r="P25" s="368"/>
      <c r="Q25" s="756">
        <v>0</v>
      </c>
    </row>
    <row r="26" spans="1:17">
      <c r="A26" s="2" t="str">
        <f>IF(C26&lt;&gt;"",MAX(A20:A25)+1,"")</f>
        <v/>
      </c>
      <c r="E26" s="767"/>
      <c r="F26" s="368"/>
      <c r="G26" s="767"/>
      <c r="H26" s="368"/>
      <c r="I26" s="767"/>
      <c r="J26" s="368"/>
      <c r="K26" s="767"/>
      <c r="L26" s="368"/>
      <c r="M26" s="767"/>
      <c r="N26" s="368"/>
      <c r="O26" s="767"/>
      <c r="P26" s="368"/>
      <c r="Q26" s="767"/>
    </row>
    <row r="27" spans="1:17" ht="30">
      <c r="A27" s="2">
        <f>A25+1</f>
        <v>17</v>
      </c>
      <c r="C27" s="414" t="s">
        <v>834</v>
      </c>
      <c r="D27" s="29"/>
      <c r="E27" s="382"/>
      <c r="F27" s="368"/>
      <c r="G27" s="382"/>
      <c r="H27" s="368"/>
      <c r="I27" s="382"/>
      <c r="J27" s="368"/>
      <c r="K27" s="382"/>
      <c r="L27" s="368"/>
      <c r="M27" s="382"/>
      <c r="N27" s="368"/>
      <c r="O27" s="382"/>
      <c r="P27" s="368"/>
      <c r="Q27" s="382"/>
    </row>
    <row r="28" spans="1:17">
      <c r="A28" s="2">
        <f>A27+1</f>
        <v>18</v>
      </c>
      <c r="C28" s="62" t="s">
        <v>825</v>
      </c>
      <c r="E28" s="382"/>
      <c r="F28" s="382"/>
      <c r="G28" s="382"/>
      <c r="H28" s="382"/>
      <c r="I28" s="382"/>
      <c r="J28" s="382"/>
      <c r="K28" s="382"/>
      <c r="L28" s="382"/>
      <c r="M28" s="382"/>
      <c r="N28" s="382"/>
      <c r="O28" s="382"/>
      <c r="P28" s="382"/>
      <c r="Q28" s="382"/>
    </row>
    <row r="29" spans="1:17">
      <c r="A29" s="2">
        <f>A28+1</f>
        <v>19</v>
      </c>
      <c r="C29" s="80" t="s">
        <v>835</v>
      </c>
      <c r="E29" s="377">
        <v>0</v>
      </c>
      <c r="F29" s="368"/>
      <c r="G29" s="377">
        <v>0</v>
      </c>
      <c r="H29" s="368"/>
      <c r="I29" s="377">
        <v>0</v>
      </c>
      <c r="J29" s="368"/>
      <c r="K29" s="377">
        <v>0</v>
      </c>
      <c r="L29" s="368"/>
      <c r="M29" s="377">
        <v>7702.666666666667</v>
      </c>
      <c r="N29" s="368"/>
      <c r="O29" s="377">
        <v>7716</v>
      </c>
      <c r="P29" s="368"/>
      <c r="Q29" s="377">
        <v>7727</v>
      </c>
    </row>
    <row r="30" spans="1:17">
      <c r="A30" s="2">
        <f>A29+1</f>
        <v>20</v>
      </c>
      <c r="C30" s="80" t="s">
        <v>836</v>
      </c>
      <c r="E30" s="377">
        <v>0</v>
      </c>
      <c r="F30" s="368"/>
      <c r="G30" s="377">
        <v>0</v>
      </c>
      <c r="H30" s="368"/>
      <c r="I30" s="377">
        <v>0</v>
      </c>
      <c r="J30" s="368"/>
      <c r="K30" s="377">
        <v>0</v>
      </c>
      <c r="L30" s="368"/>
      <c r="M30" s="377">
        <v>35073.5</v>
      </c>
      <c r="N30" s="368"/>
      <c r="O30" s="377">
        <v>35132</v>
      </c>
      <c r="P30" s="368"/>
      <c r="Q30" s="377">
        <v>35186</v>
      </c>
    </row>
    <row r="31" spans="1:17">
      <c r="A31" s="2">
        <f>A30+1</f>
        <v>21</v>
      </c>
      <c r="C31" s="80" t="s">
        <v>837</v>
      </c>
      <c r="E31" s="377">
        <v>0</v>
      </c>
      <c r="F31" s="368"/>
      <c r="G31" s="377">
        <v>0</v>
      </c>
      <c r="H31" s="368"/>
      <c r="I31" s="377">
        <v>0</v>
      </c>
      <c r="J31" s="368"/>
      <c r="K31" s="377">
        <v>0</v>
      </c>
      <c r="L31" s="368"/>
      <c r="M31" s="377">
        <v>3766.5833333333335</v>
      </c>
      <c r="N31" s="368"/>
      <c r="O31" s="377">
        <v>3773</v>
      </c>
      <c r="P31" s="368"/>
      <c r="Q31" s="377">
        <v>3779</v>
      </c>
    </row>
    <row r="32" spans="1:17">
      <c r="A32" s="2">
        <f>A30+1</f>
        <v>21</v>
      </c>
      <c r="C32" s="62" t="s">
        <v>826</v>
      </c>
      <c r="E32" s="377"/>
      <c r="F32" s="368"/>
      <c r="G32" s="377"/>
      <c r="H32" s="368"/>
      <c r="I32" s="377"/>
      <c r="J32" s="368"/>
      <c r="K32" s="377"/>
      <c r="L32" s="368"/>
      <c r="M32" s="377"/>
      <c r="N32" s="368"/>
      <c r="O32" s="377"/>
      <c r="P32" s="368"/>
      <c r="Q32" s="377"/>
    </row>
    <row r="33" spans="1:17">
      <c r="A33" s="2">
        <f>A32+1</f>
        <v>22</v>
      </c>
      <c r="C33" s="80" t="s">
        <v>838</v>
      </c>
      <c r="E33" s="377">
        <v>0</v>
      </c>
      <c r="F33" s="368"/>
      <c r="G33" s="377">
        <v>0</v>
      </c>
      <c r="H33" s="368"/>
      <c r="I33" s="377">
        <v>0</v>
      </c>
      <c r="J33" s="368"/>
      <c r="K33" s="377">
        <v>0</v>
      </c>
      <c r="L33" s="368"/>
      <c r="M33" s="377">
        <v>5216865.7330633868</v>
      </c>
      <c r="N33" s="368"/>
      <c r="O33" s="377">
        <v>4900000</v>
      </c>
      <c r="P33" s="368"/>
      <c r="Q33" s="377">
        <v>4652687.9273605486</v>
      </c>
    </row>
    <row r="34" spans="1:17">
      <c r="A34" s="2">
        <f>A33+1</f>
        <v>23</v>
      </c>
      <c r="C34" s="80" t="s">
        <v>839</v>
      </c>
      <c r="E34" s="377">
        <v>0</v>
      </c>
      <c r="F34" s="368"/>
      <c r="G34" s="377">
        <v>0</v>
      </c>
      <c r="H34" s="368"/>
      <c r="I34" s="377">
        <v>0</v>
      </c>
      <c r="J34" s="368"/>
      <c r="K34" s="377">
        <v>0</v>
      </c>
      <c r="L34" s="368"/>
      <c r="M34" s="377">
        <v>89775491.263406321</v>
      </c>
      <c r="N34" s="368"/>
      <c r="O34" s="377">
        <v>84600000</v>
      </c>
      <c r="P34" s="368"/>
      <c r="Q34" s="377">
        <v>80066723.15272288</v>
      </c>
    </row>
    <row r="35" spans="1:17">
      <c r="A35" s="2">
        <f>A34+1</f>
        <v>24</v>
      </c>
      <c r="C35" s="80" t="s">
        <v>840</v>
      </c>
      <c r="E35" s="377">
        <v>0</v>
      </c>
      <c r="F35" s="368"/>
      <c r="G35" s="377">
        <v>0</v>
      </c>
      <c r="H35" s="368"/>
      <c r="I35" s="377">
        <v>0</v>
      </c>
      <c r="J35" s="368"/>
      <c r="K35" s="377">
        <v>0</v>
      </c>
      <c r="L35" s="368"/>
      <c r="M35" s="377">
        <v>19469064.752904166</v>
      </c>
      <c r="N35" s="368"/>
      <c r="O35" s="377">
        <v>18300000</v>
      </c>
      <c r="P35" s="368"/>
      <c r="Q35" s="377">
        <v>17363583.263939325</v>
      </c>
    </row>
    <row r="36" spans="1:17">
      <c r="A36" s="2">
        <f>A35+1</f>
        <v>25</v>
      </c>
      <c r="C36" s="752" t="s">
        <v>841</v>
      </c>
      <c r="D36" s="753"/>
      <c r="E36" s="756">
        <f>SUM(E28:E28)</f>
        <v>0</v>
      </c>
      <c r="F36" s="368"/>
      <c r="G36" s="756">
        <f>SUM(G28:G28)</f>
        <v>0</v>
      </c>
      <c r="H36" s="368"/>
      <c r="I36" s="756">
        <f>SUM(I28:I28)</f>
        <v>0</v>
      </c>
      <c r="J36" s="368"/>
      <c r="K36" s="756">
        <f>SUM(K28:K28)</f>
        <v>0</v>
      </c>
      <c r="L36" s="368"/>
      <c r="M36" s="756">
        <f>SUM(M28:M28)</f>
        <v>0</v>
      </c>
      <c r="N36" s="368"/>
      <c r="O36" s="756">
        <f>SUM(O28:O28)</f>
        <v>0</v>
      </c>
      <c r="P36" s="368"/>
      <c r="Q36" s="756">
        <v>0</v>
      </c>
    </row>
    <row r="37" spans="1:17">
      <c r="A37" s="2" t="str">
        <f>IF(C37&lt;&gt;"",MAX(A33:A36)+1,"")</f>
        <v/>
      </c>
      <c r="E37" s="767"/>
      <c r="F37" s="368"/>
      <c r="G37" s="767"/>
      <c r="H37" s="368"/>
      <c r="I37" s="767"/>
      <c r="J37" s="368"/>
      <c r="K37" s="767"/>
      <c r="L37" s="368"/>
      <c r="M37" s="767"/>
      <c r="N37" s="368"/>
      <c r="O37" s="767"/>
      <c r="P37" s="368"/>
      <c r="Q37" s="767"/>
    </row>
    <row r="38" spans="1:17">
      <c r="A38" s="2">
        <f>A36+1</f>
        <v>26</v>
      </c>
      <c r="C38" s="29" t="s">
        <v>842</v>
      </c>
      <c r="D38" s="29"/>
      <c r="E38" s="382"/>
      <c r="F38" s="368"/>
      <c r="G38" s="382"/>
      <c r="H38" s="368"/>
      <c r="I38" s="382"/>
      <c r="J38" s="368"/>
      <c r="K38" s="382"/>
      <c r="L38" s="368"/>
      <c r="M38" s="382"/>
      <c r="N38" s="368"/>
      <c r="O38" s="382"/>
      <c r="P38" s="368"/>
      <c r="Q38" s="382"/>
    </row>
    <row r="39" spans="1:17">
      <c r="A39" s="2">
        <f>A38+1</f>
        <v>27</v>
      </c>
      <c r="C39" s="62" t="s">
        <v>825</v>
      </c>
      <c r="E39" s="377">
        <v>0</v>
      </c>
      <c r="F39" s="368"/>
      <c r="G39" s="377">
        <v>0</v>
      </c>
      <c r="H39" s="368"/>
      <c r="I39" s="377">
        <v>0</v>
      </c>
      <c r="J39" s="368"/>
      <c r="K39" s="377">
        <v>0</v>
      </c>
      <c r="L39" s="368"/>
      <c r="M39" s="377">
        <v>113457.41666666667</v>
      </c>
      <c r="N39" s="368"/>
      <c r="O39" s="377">
        <v>113488</v>
      </c>
      <c r="P39" s="368"/>
      <c r="Q39" s="377">
        <v>113502</v>
      </c>
    </row>
    <row r="40" spans="1:17">
      <c r="A40" s="2">
        <f>A39+1</f>
        <v>28</v>
      </c>
      <c r="C40" s="62" t="s">
        <v>826</v>
      </c>
      <c r="E40" s="377"/>
      <c r="F40" s="368"/>
      <c r="G40" s="377"/>
      <c r="H40" s="368"/>
      <c r="I40" s="377"/>
      <c r="J40" s="368"/>
      <c r="K40" s="377"/>
      <c r="L40" s="368"/>
      <c r="M40" s="377"/>
      <c r="N40" s="368"/>
      <c r="O40" s="377"/>
      <c r="P40" s="368"/>
      <c r="Q40" s="377"/>
    </row>
    <row r="41" spans="1:17">
      <c r="A41" s="2">
        <f>A39+1</f>
        <v>28</v>
      </c>
      <c r="C41" s="80" t="s">
        <v>843</v>
      </c>
      <c r="E41" s="377">
        <v>0</v>
      </c>
      <c r="F41" s="368"/>
      <c r="G41" s="377">
        <v>0</v>
      </c>
      <c r="H41" s="368"/>
      <c r="I41" s="377">
        <v>0</v>
      </c>
      <c r="J41" s="368"/>
      <c r="K41" s="377">
        <v>2048863661</v>
      </c>
      <c r="L41" s="368"/>
      <c r="M41" s="377">
        <v>2240801007.6701174</v>
      </c>
      <c r="N41" s="368"/>
      <c r="O41" s="377">
        <v>2239100000</v>
      </c>
      <c r="P41" s="368"/>
      <c r="Q41" s="377">
        <v>2248113796.1301975</v>
      </c>
    </row>
    <row r="42" spans="1:17">
      <c r="A42" s="2">
        <f>A41+1</f>
        <v>29</v>
      </c>
      <c r="C42" s="752" t="s">
        <v>844</v>
      </c>
      <c r="D42" s="753"/>
      <c r="E42" s="756">
        <f>SUM(E39:E39)</f>
        <v>0</v>
      </c>
      <c r="F42" s="368"/>
      <c r="G42" s="756">
        <f>SUM(G39:G39)</f>
        <v>0</v>
      </c>
      <c r="H42" s="368"/>
      <c r="I42" s="756">
        <f>SUM(I39:I39)</f>
        <v>0</v>
      </c>
      <c r="J42" s="368"/>
      <c r="K42" s="756">
        <f>SUM(K39:K39)</f>
        <v>0</v>
      </c>
      <c r="L42" s="368"/>
      <c r="M42" s="756">
        <f>SUM(M39:M39)</f>
        <v>113457.41666666667</v>
      </c>
      <c r="N42" s="368"/>
      <c r="O42" s="756">
        <f>SUM(O39:O39)</f>
        <v>113488</v>
      </c>
      <c r="P42" s="368"/>
      <c r="Q42" s="756">
        <v>0</v>
      </c>
    </row>
    <row r="43" spans="1:17">
      <c r="A43" s="2" t="str">
        <f>IF(C43&lt;&gt;"",MAX(A37:A42)+1,"")</f>
        <v/>
      </c>
      <c r="E43" s="767"/>
      <c r="F43" s="368"/>
      <c r="G43" s="767"/>
      <c r="H43" s="368"/>
      <c r="I43" s="767"/>
      <c r="J43" s="368"/>
      <c r="K43" s="767"/>
      <c r="L43" s="368"/>
      <c r="M43" s="767"/>
      <c r="N43" s="368"/>
      <c r="O43" s="767"/>
      <c r="P43" s="368"/>
      <c r="Q43" s="767"/>
    </row>
    <row r="44" spans="1:17">
      <c r="A44" s="2">
        <f>A42+1</f>
        <v>30</v>
      </c>
      <c r="C44" s="29" t="s">
        <v>845</v>
      </c>
      <c r="D44" s="29"/>
      <c r="E44" s="382"/>
      <c r="F44" s="368"/>
      <c r="G44" s="382"/>
      <c r="H44" s="368"/>
      <c r="I44" s="382"/>
      <c r="J44" s="368"/>
      <c r="K44" s="382"/>
      <c r="L44" s="368"/>
      <c r="M44" s="382"/>
      <c r="N44" s="368"/>
      <c r="O44" s="382"/>
      <c r="P44" s="368"/>
      <c r="Q44" s="382"/>
    </row>
    <row r="45" spans="1:17">
      <c r="A45" s="2">
        <f>A44+1</f>
        <v>31</v>
      </c>
      <c r="C45" s="62" t="s">
        <v>825</v>
      </c>
      <c r="E45" s="377">
        <v>0</v>
      </c>
      <c r="F45" s="368"/>
      <c r="G45" s="377">
        <v>0</v>
      </c>
      <c r="H45" s="368"/>
      <c r="I45" s="377">
        <v>0</v>
      </c>
      <c r="J45" s="368"/>
      <c r="K45" s="377">
        <v>0</v>
      </c>
      <c r="L45" s="368"/>
      <c r="M45" s="377">
        <v>10818.5</v>
      </c>
      <c r="N45" s="368"/>
      <c r="O45" s="377">
        <v>10820</v>
      </c>
      <c r="P45" s="368"/>
      <c r="Q45" s="377">
        <v>10821</v>
      </c>
    </row>
    <row r="46" spans="1:17">
      <c r="A46" s="2">
        <f>A42+1</f>
        <v>30</v>
      </c>
      <c r="C46" s="62" t="s">
        <v>846</v>
      </c>
      <c r="E46" s="377"/>
      <c r="F46" s="368"/>
      <c r="G46" s="377"/>
      <c r="H46" s="368"/>
      <c r="I46" s="377"/>
      <c r="J46" s="368"/>
      <c r="K46" s="377"/>
      <c r="L46" s="368"/>
      <c r="M46" s="377"/>
      <c r="N46" s="368"/>
      <c r="O46" s="377"/>
      <c r="P46" s="368"/>
      <c r="Q46" s="377"/>
    </row>
    <row r="47" spans="1:17">
      <c r="A47" s="2">
        <f>A42+1</f>
        <v>30</v>
      </c>
      <c r="C47" s="80" t="s">
        <v>847</v>
      </c>
      <c r="E47" s="377">
        <v>0</v>
      </c>
      <c r="F47" s="368"/>
      <c r="G47" s="377">
        <v>0</v>
      </c>
      <c r="H47" s="368"/>
      <c r="I47" s="377">
        <v>0</v>
      </c>
      <c r="J47" s="368"/>
      <c r="K47" s="377">
        <v>12010593</v>
      </c>
      <c r="L47" s="368"/>
      <c r="M47" s="377">
        <v>14371776</v>
      </c>
      <c r="N47" s="368"/>
      <c r="O47" s="377">
        <v>14371776</v>
      </c>
      <c r="P47" s="368"/>
      <c r="Q47" s="377">
        <v>14371776</v>
      </c>
    </row>
    <row r="48" spans="1:17">
      <c r="A48" s="2">
        <f>A47+1</f>
        <v>31</v>
      </c>
      <c r="C48" s="80" t="s">
        <v>848</v>
      </c>
      <c r="E48" s="377">
        <v>0</v>
      </c>
      <c r="F48" s="368"/>
      <c r="G48" s="377">
        <v>0</v>
      </c>
      <c r="H48" s="368"/>
      <c r="I48" s="377">
        <v>0</v>
      </c>
      <c r="J48" s="368"/>
      <c r="K48" s="377">
        <v>1338376</v>
      </c>
      <c r="L48" s="368"/>
      <c r="M48" s="377">
        <v>1440923.2709863961</v>
      </c>
      <c r="N48" s="368"/>
      <c r="O48" s="377">
        <v>1440923.2709863961</v>
      </c>
      <c r="P48" s="368"/>
      <c r="Q48" s="377">
        <v>1440923.2709863961</v>
      </c>
    </row>
    <row r="49" spans="1:17">
      <c r="A49" s="2">
        <f>A45+1</f>
        <v>32</v>
      </c>
      <c r="C49" s="62" t="s">
        <v>826</v>
      </c>
      <c r="E49" s="377"/>
      <c r="F49" s="368"/>
      <c r="G49" s="377"/>
      <c r="H49" s="368"/>
      <c r="I49" s="377"/>
      <c r="J49" s="368"/>
      <c r="K49" s="377"/>
      <c r="L49" s="368"/>
      <c r="M49" s="377"/>
      <c r="N49" s="368"/>
      <c r="O49" s="377"/>
      <c r="P49" s="368"/>
      <c r="Q49" s="377"/>
    </row>
    <row r="50" spans="1:17">
      <c r="A50" s="2">
        <f>A45+1</f>
        <v>32</v>
      </c>
      <c r="C50" s="80" t="s">
        <v>849</v>
      </c>
      <c r="E50" s="377">
        <v>0</v>
      </c>
      <c r="F50" s="368"/>
      <c r="G50" s="377">
        <v>0</v>
      </c>
      <c r="H50" s="368"/>
      <c r="I50" s="377">
        <v>0</v>
      </c>
      <c r="J50" s="368"/>
      <c r="K50" s="377">
        <v>3969467355</v>
      </c>
      <c r="L50" s="368"/>
      <c r="M50" s="377">
        <v>3800723862.7741394</v>
      </c>
      <c r="N50" s="368"/>
      <c r="O50" s="377">
        <v>3794500000</v>
      </c>
      <c r="P50" s="368"/>
      <c r="Q50" s="377">
        <v>3806932611.5108409</v>
      </c>
    </row>
    <row r="51" spans="1:17">
      <c r="A51" s="2">
        <f>A50+1</f>
        <v>33</v>
      </c>
      <c r="C51" s="80" t="s">
        <v>850</v>
      </c>
      <c r="E51" s="377">
        <v>0</v>
      </c>
      <c r="F51" s="368"/>
      <c r="G51" s="377">
        <v>0</v>
      </c>
      <c r="H51" s="368"/>
      <c r="I51" s="377">
        <v>0</v>
      </c>
      <c r="J51" s="368"/>
      <c r="K51" s="377">
        <v>3300099.272386333</v>
      </c>
      <c r="L51" s="368"/>
      <c r="M51" s="377">
        <v>3162440.0196358524</v>
      </c>
      <c r="N51" s="368"/>
      <c r="O51" s="377">
        <v>3154636.5215213969</v>
      </c>
      <c r="P51" s="368"/>
      <c r="Q51" s="377">
        <v>3164972.6317678024</v>
      </c>
    </row>
    <row r="52" spans="1:17">
      <c r="A52" s="2">
        <f>A51+1</f>
        <v>34</v>
      </c>
      <c r="C52" s="752" t="s">
        <v>851</v>
      </c>
      <c r="D52" s="753"/>
      <c r="E52" s="756">
        <f>SUM(E45:E45)</f>
        <v>0</v>
      </c>
      <c r="F52" s="368"/>
      <c r="G52" s="756">
        <f>SUM(G45:G45)</f>
        <v>0</v>
      </c>
      <c r="H52" s="368"/>
      <c r="I52" s="756">
        <f>SUM(I45:I45)</f>
        <v>0</v>
      </c>
      <c r="J52" s="368"/>
      <c r="K52" s="756">
        <f>SUM(K45:K45)</f>
        <v>0</v>
      </c>
      <c r="L52" s="368"/>
      <c r="M52" s="756">
        <f>SUM(M45:M45)</f>
        <v>10818.5</v>
      </c>
      <c r="N52" s="368"/>
      <c r="O52" s="756">
        <f>SUM(O45:O45)</f>
        <v>10820</v>
      </c>
      <c r="P52" s="368"/>
      <c r="Q52" s="756">
        <v>0</v>
      </c>
    </row>
    <row r="53" spans="1:17">
      <c r="A53" s="2" t="str">
        <f>IF(C53&lt;&gt;"",MAX(A47:A52)+1,"")</f>
        <v/>
      </c>
      <c r="E53" s="767"/>
      <c r="F53" s="368"/>
      <c r="G53" s="767"/>
      <c r="H53" s="368"/>
      <c r="I53" s="767"/>
      <c r="J53" s="368"/>
      <c r="K53" s="767"/>
      <c r="L53" s="368"/>
      <c r="M53" s="767"/>
      <c r="N53" s="368"/>
      <c r="O53" s="767"/>
      <c r="P53" s="368"/>
      <c r="Q53" s="767"/>
    </row>
    <row r="54" spans="1:17">
      <c r="A54" s="2">
        <f>A52+1</f>
        <v>35</v>
      </c>
      <c r="C54" s="29" t="s">
        <v>852</v>
      </c>
      <c r="D54" s="29"/>
      <c r="E54" s="382"/>
      <c r="F54" s="368"/>
      <c r="G54" s="382"/>
      <c r="H54" s="368"/>
      <c r="I54" s="382"/>
      <c r="J54" s="368"/>
      <c r="K54" s="382"/>
      <c r="L54" s="368"/>
      <c r="M54" s="382"/>
      <c r="N54" s="368"/>
      <c r="O54" s="382"/>
      <c r="P54" s="368"/>
      <c r="Q54" s="382"/>
    </row>
    <row r="55" spans="1:17">
      <c r="A55" s="2">
        <f>A54+1</f>
        <v>36</v>
      </c>
      <c r="C55" s="62" t="s">
        <v>825</v>
      </c>
      <c r="E55" s="377">
        <v>0</v>
      </c>
      <c r="F55" s="368"/>
      <c r="G55" s="377">
        <v>0</v>
      </c>
      <c r="H55" s="368"/>
      <c r="I55" s="377">
        <v>0</v>
      </c>
      <c r="J55" s="368"/>
      <c r="K55" s="377">
        <v>618</v>
      </c>
      <c r="L55" s="368"/>
      <c r="M55" s="377">
        <v>618.08333333333326</v>
      </c>
      <c r="N55" s="368"/>
      <c r="O55" s="377">
        <v>617</v>
      </c>
      <c r="P55" s="368"/>
      <c r="Q55" s="377">
        <v>617</v>
      </c>
    </row>
    <row r="56" spans="1:17">
      <c r="A56" s="2">
        <f>A52+1</f>
        <v>35</v>
      </c>
      <c r="C56" s="62" t="s">
        <v>846</v>
      </c>
      <c r="E56" s="377"/>
      <c r="F56" s="368"/>
      <c r="G56" s="377"/>
      <c r="H56" s="368"/>
      <c r="I56" s="377"/>
      <c r="J56" s="368"/>
      <c r="K56" s="377"/>
      <c r="L56" s="368"/>
      <c r="M56" s="377"/>
      <c r="N56" s="368"/>
      <c r="O56" s="377"/>
      <c r="P56" s="368"/>
      <c r="Q56" s="377"/>
    </row>
    <row r="57" spans="1:17">
      <c r="A57" s="2">
        <f>A52+1</f>
        <v>35</v>
      </c>
      <c r="C57" s="80" t="s">
        <v>847</v>
      </c>
      <c r="E57" s="377">
        <v>0</v>
      </c>
      <c r="F57" s="368"/>
      <c r="G57" s="377">
        <v>0</v>
      </c>
      <c r="H57" s="368"/>
      <c r="I57" s="377">
        <v>0</v>
      </c>
      <c r="J57" s="368"/>
      <c r="K57" s="377">
        <v>6988059</v>
      </c>
      <c r="L57" s="368"/>
      <c r="M57" s="377">
        <v>7054980</v>
      </c>
      <c r="N57" s="368"/>
      <c r="O57" s="377">
        <v>7054980</v>
      </c>
      <c r="P57" s="368"/>
      <c r="Q57" s="377">
        <v>7054980</v>
      </c>
    </row>
    <row r="58" spans="1:17">
      <c r="A58" s="2">
        <f>A57+1</f>
        <v>36</v>
      </c>
      <c r="C58" s="80" t="s">
        <v>848</v>
      </c>
      <c r="E58" s="377">
        <v>0</v>
      </c>
      <c r="F58" s="368"/>
      <c r="G58" s="377">
        <v>0</v>
      </c>
      <c r="H58" s="368"/>
      <c r="I58" s="377">
        <v>0</v>
      </c>
      <c r="J58" s="368"/>
      <c r="K58" s="377">
        <v>362390</v>
      </c>
      <c r="L58" s="368"/>
      <c r="M58" s="377">
        <v>347822.86118847976</v>
      </c>
      <c r="N58" s="368"/>
      <c r="O58" s="377">
        <v>347822.86118847976</v>
      </c>
      <c r="P58" s="368"/>
      <c r="Q58" s="377">
        <v>347822.86118847976</v>
      </c>
    </row>
    <row r="59" spans="1:17">
      <c r="A59" s="2">
        <f>A55+1</f>
        <v>37</v>
      </c>
      <c r="C59" s="62" t="s">
        <v>826</v>
      </c>
      <c r="E59" s="377"/>
      <c r="F59" s="368"/>
      <c r="G59" s="377"/>
      <c r="H59" s="368"/>
      <c r="I59" s="377"/>
      <c r="J59" s="368"/>
      <c r="K59" s="377"/>
      <c r="L59" s="368"/>
      <c r="M59" s="377"/>
      <c r="N59" s="368"/>
      <c r="O59" s="377"/>
      <c r="P59" s="368"/>
      <c r="Q59" s="377"/>
    </row>
    <row r="60" spans="1:17">
      <c r="A60" s="2">
        <f>A55+1</f>
        <v>37</v>
      </c>
      <c r="C60" s="80" t="s">
        <v>849</v>
      </c>
      <c r="E60" s="377">
        <v>0</v>
      </c>
      <c r="F60" s="368"/>
      <c r="G60" s="377">
        <v>0</v>
      </c>
      <c r="H60" s="368"/>
      <c r="I60" s="377">
        <v>0</v>
      </c>
      <c r="J60" s="368"/>
      <c r="K60" s="377">
        <v>0</v>
      </c>
      <c r="L60" s="368"/>
      <c r="M60" s="377">
        <v>2200168799.9999995</v>
      </c>
      <c r="N60" s="368"/>
      <c r="O60" s="377">
        <v>2115984799.9999998</v>
      </c>
      <c r="P60" s="368"/>
      <c r="Q60" s="377">
        <v>2115993599.9999998</v>
      </c>
    </row>
    <row r="61" spans="1:17">
      <c r="A61" s="2">
        <f>A60+1</f>
        <v>38</v>
      </c>
      <c r="C61" s="80" t="s">
        <v>850</v>
      </c>
      <c r="E61" s="377">
        <v>0</v>
      </c>
      <c r="F61" s="368"/>
      <c r="G61" s="377">
        <v>0</v>
      </c>
      <c r="H61" s="368"/>
      <c r="I61" s="377">
        <v>0</v>
      </c>
      <c r="J61" s="368"/>
      <c r="K61" s="377">
        <v>0</v>
      </c>
      <c r="L61" s="368"/>
      <c r="M61" s="377">
        <v>486491202.60010725</v>
      </c>
      <c r="N61" s="368"/>
      <c r="O61" s="377">
        <v>508508798.19999993</v>
      </c>
      <c r="P61" s="368"/>
      <c r="Q61" s="377">
        <v>491217912.79235846</v>
      </c>
    </row>
    <row r="62" spans="1:17">
      <c r="A62" s="2">
        <f>A61+1</f>
        <v>39</v>
      </c>
      <c r="C62" s="752" t="s">
        <v>853</v>
      </c>
      <c r="D62" s="753"/>
      <c r="E62" s="756">
        <f>SUM(E55:E55)</f>
        <v>0</v>
      </c>
      <c r="F62" s="368"/>
      <c r="G62" s="756">
        <f>SUM(G55:G55)</f>
        <v>0</v>
      </c>
      <c r="H62" s="368"/>
      <c r="I62" s="756">
        <f>SUM(I55:I55)</f>
        <v>0</v>
      </c>
      <c r="J62" s="368"/>
      <c r="K62" s="756">
        <f>SUM(K55:K55)</f>
        <v>618</v>
      </c>
      <c r="L62" s="368"/>
      <c r="M62" s="756">
        <f>SUM(M55:M55)</f>
        <v>618.08333333333326</v>
      </c>
      <c r="N62" s="368"/>
      <c r="O62" s="756">
        <f>SUM(O55:O55)</f>
        <v>617</v>
      </c>
      <c r="P62" s="368"/>
      <c r="Q62" s="756">
        <v>0</v>
      </c>
    </row>
    <row r="63" spans="1:17">
      <c r="A63" s="2" t="str">
        <f>IF(C63&lt;&gt;"",MAX(A57:A62)+1,"")</f>
        <v/>
      </c>
      <c r="E63" s="767"/>
      <c r="F63" s="368"/>
      <c r="G63" s="767"/>
      <c r="H63" s="368"/>
      <c r="I63" s="767"/>
      <c r="J63" s="368"/>
      <c r="K63" s="767"/>
      <c r="L63" s="368"/>
      <c r="M63" s="767"/>
      <c r="N63" s="368"/>
      <c r="O63" s="767"/>
      <c r="P63" s="368"/>
      <c r="Q63" s="767"/>
    </row>
    <row r="64" spans="1:17">
      <c r="A64" s="2">
        <f>A62+1</f>
        <v>40</v>
      </c>
      <c r="C64" s="29" t="s">
        <v>854</v>
      </c>
      <c r="D64" s="29"/>
      <c r="E64" s="382"/>
      <c r="F64" s="368"/>
      <c r="G64" s="382"/>
      <c r="H64" s="368"/>
      <c r="I64" s="382"/>
      <c r="J64" s="368"/>
      <c r="K64" s="382"/>
      <c r="L64" s="368"/>
      <c r="M64" s="382"/>
      <c r="N64" s="368"/>
      <c r="O64" s="382"/>
      <c r="P64" s="368"/>
      <c r="Q64" s="382"/>
    </row>
    <row r="65" spans="1:17">
      <c r="A65" s="2">
        <f>A64+1</f>
        <v>41</v>
      </c>
      <c r="C65" s="62" t="s">
        <v>825</v>
      </c>
      <c r="E65" s="377">
        <v>0</v>
      </c>
      <c r="F65" s="368"/>
      <c r="G65" s="377">
        <v>0</v>
      </c>
      <c r="H65" s="368"/>
      <c r="I65" s="377">
        <v>0</v>
      </c>
      <c r="J65" s="368"/>
      <c r="K65" s="377">
        <v>1</v>
      </c>
      <c r="L65" s="368"/>
      <c r="M65" s="377">
        <v>1</v>
      </c>
      <c r="N65" s="368"/>
      <c r="O65" s="377">
        <v>1</v>
      </c>
      <c r="P65" s="368"/>
      <c r="Q65" s="377">
        <v>1</v>
      </c>
    </row>
    <row r="66" spans="1:17">
      <c r="A66" s="2">
        <f>A62+1</f>
        <v>40</v>
      </c>
      <c r="C66" s="62" t="s">
        <v>846</v>
      </c>
      <c r="E66" s="377"/>
      <c r="F66" s="368"/>
      <c r="G66" s="377"/>
      <c r="H66" s="368"/>
      <c r="I66" s="377"/>
      <c r="J66" s="368"/>
      <c r="K66" s="377"/>
      <c r="L66" s="368"/>
      <c r="M66" s="377"/>
      <c r="N66" s="368"/>
      <c r="O66" s="377"/>
      <c r="P66" s="368"/>
      <c r="Q66" s="377"/>
    </row>
    <row r="67" spans="1:17">
      <c r="A67" s="2">
        <f>A62+1</f>
        <v>40</v>
      </c>
      <c r="C67" s="80" t="s">
        <v>855</v>
      </c>
      <c r="E67" s="377">
        <v>0</v>
      </c>
      <c r="F67" s="368"/>
      <c r="G67" s="377">
        <v>0</v>
      </c>
      <c r="H67" s="368"/>
      <c r="I67" s="377">
        <v>0</v>
      </c>
      <c r="J67" s="368"/>
      <c r="K67" s="377">
        <v>16940</v>
      </c>
      <c r="L67" s="368"/>
      <c r="M67" s="377">
        <v>19824</v>
      </c>
      <c r="N67" s="368"/>
      <c r="O67" s="377">
        <v>19824</v>
      </c>
      <c r="P67" s="368"/>
      <c r="Q67" s="377">
        <v>19824</v>
      </c>
    </row>
    <row r="68" spans="1:17">
      <c r="A68" s="2">
        <f>A67+1</f>
        <v>41</v>
      </c>
      <c r="C68" s="80" t="s">
        <v>856</v>
      </c>
      <c r="E68" s="377">
        <v>0</v>
      </c>
      <c r="F68" s="368"/>
      <c r="G68" s="377">
        <v>0</v>
      </c>
      <c r="H68" s="368"/>
      <c r="I68" s="377">
        <v>0</v>
      </c>
      <c r="J68" s="368"/>
      <c r="K68" s="377">
        <v>16295</v>
      </c>
      <c r="L68" s="368"/>
      <c r="M68" s="377">
        <v>18996</v>
      </c>
      <c r="N68" s="368"/>
      <c r="O68" s="377">
        <v>18996</v>
      </c>
      <c r="P68" s="368"/>
      <c r="Q68" s="377">
        <v>18996</v>
      </c>
    </row>
    <row r="69" spans="1:17">
      <c r="A69" s="2">
        <f>A65+1</f>
        <v>42</v>
      </c>
      <c r="C69" s="62" t="s">
        <v>826</v>
      </c>
      <c r="E69" s="377"/>
      <c r="F69" s="368"/>
      <c r="G69" s="377"/>
      <c r="H69" s="368"/>
      <c r="I69" s="377"/>
      <c r="J69" s="368"/>
      <c r="K69" s="377"/>
      <c r="L69" s="368"/>
      <c r="M69" s="377"/>
      <c r="N69" s="368"/>
      <c r="O69" s="377"/>
      <c r="P69" s="368"/>
      <c r="Q69" s="377"/>
    </row>
    <row r="70" spans="1:17">
      <c r="A70" s="2">
        <f>A65+1</f>
        <v>42</v>
      </c>
      <c r="C70" s="80" t="s">
        <v>857</v>
      </c>
      <c r="E70" s="377">
        <v>0</v>
      </c>
      <c r="F70" s="368"/>
      <c r="G70" s="377">
        <v>0</v>
      </c>
      <c r="H70" s="368"/>
      <c r="I70" s="377">
        <v>0</v>
      </c>
      <c r="J70" s="368"/>
      <c r="K70" s="377">
        <v>2970330</v>
      </c>
      <c r="L70" s="368"/>
      <c r="M70" s="377">
        <v>2800792.7132038139</v>
      </c>
      <c r="N70" s="368"/>
      <c r="O70" s="377">
        <v>2800000</v>
      </c>
      <c r="P70" s="368"/>
      <c r="Q70" s="377">
        <v>2810347.5508555607</v>
      </c>
    </row>
    <row r="71" spans="1:17">
      <c r="A71" s="2">
        <f>A70+1</f>
        <v>43</v>
      </c>
      <c r="C71" s="80" t="s">
        <v>858</v>
      </c>
      <c r="E71" s="377">
        <v>0</v>
      </c>
      <c r="F71" s="368"/>
      <c r="G71" s="377">
        <v>0</v>
      </c>
      <c r="H71" s="368"/>
      <c r="I71" s="377">
        <v>0</v>
      </c>
      <c r="J71" s="368"/>
      <c r="K71" s="377">
        <v>3470280</v>
      </c>
      <c r="L71" s="368"/>
      <c r="M71" s="377">
        <v>3257896.4396645539</v>
      </c>
      <c r="N71" s="368"/>
      <c r="O71" s="377">
        <v>3300000</v>
      </c>
      <c r="P71" s="368"/>
      <c r="Q71" s="377">
        <v>3269010.6757950778</v>
      </c>
    </row>
    <row r="72" spans="1:17">
      <c r="A72" s="2">
        <f>A71+1</f>
        <v>44</v>
      </c>
      <c r="C72" s="752" t="s">
        <v>859</v>
      </c>
      <c r="D72" s="753"/>
      <c r="E72" s="756">
        <f>SUM(E65:E65)</f>
        <v>0</v>
      </c>
      <c r="F72" s="368"/>
      <c r="G72" s="756">
        <f>SUM(G65:G65)</f>
        <v>0</v>
      </c>
      <c r="H72" s="368"/>
      <c r="I72" s="756">
        <f>SUM(I65:I65)</f>
        <v>0</v>
      </c>
      <c r="J72" s="368"/>
      <c r="K72" s="756">
        <f>SUM(K65:K65)</f>
        <v>1</v>
      </c>
      <c r="L72" s="368"/>
      <c r="M72" s="756">
        <f>SUM(M65:M65)</f>
        <v>1</v>
      </c>
      <c r="N72" s="368"/>
      <c r="O72" s="756">
        <f>SUM(O65:O65)</f>
        <v>1</v>
      </c>
      <c r="P72" s="368"/>
      <c r="Q72" s="756">
        <v>0</v>
      </c>
    </row>
    <row r="73" spans="1:17">
      <c r="A73" s="2" t="str">
        <f>IF(C73&lt;&gt;"",MAX(A67:A72)+1,"")</f>
        <v/>
      </c>
      <c r="E73" s="767"/>
      <c r="F73" s="368"/>
      <c r="G73" s="767"/>
      <c r="H73" s="368"/>
      <c r="I73" s="767"/>
      <c r="J73" s="368"/>
      <c r="K73" s="767"/>
      <c r="L73" s="368"/>
      <c r="M73" s="767"/>
      <c r="N73" s="368"/>
      <c r="O73" s="767"/>
      <c r="P73" s="368"/>
      <c r="Q73" s="767"/>
    </row>
    <row r="74" spans="1:17">
      <c r="A74" s="2">
        <f>A72+1</f>
        <v>45</v>
      </c>
      <c r="C74" s="29" t="s">
        <v>860</v>
      </c>
      <c r="D74" s="29"/>
      <c r="E74" s="382"/>
      <c r="F74" s="368"/>
      <c r="G74" s="382"/>
      <c r="H74" s="368"/>
      <c r="I74" s="382"/>
      <c r="J74" s="368"/>
      <c r="K74" s="382"/>
      <c r="L74" s="368"/>
      <c r="M74" s="382"/>
      <c r="N74" s="368"/>
      <c r="O74" s="382"/>
      <c r="P74" s="368"/>
      <c r="Q74" s="382"/>
    </row>
    <row r="75" spans="1:17">
      <c r="A75" s="2">
        <f>A74+1</f>
        <v>46</v>
      </c>
      <c r="C75" s="62" t="s">
        <v>825</v>
      </c>
      <c r="E75" s="377">
        <v>0</v>
      </c>
      <c r="F75" s="368"/>
      <c r="G75" s="377">
        <v>0</v>
      </c>
      <c r="H75" s="368"/>
      <c r="I75" s="377">
        <v>0</v>
      </c>
      <c r="J75" s="368"/>
      <c r="K75" s="377">
        <v>16</v>
      </c>
      <c r="L75" s="368"/>
      <c r="M75" s="377">
        <v>16</v>
      </c>
      <c r="N75" s="368"/>
      <c r="O75" s="377">
        <v>16</v>
      </c>
      <c r="P75" s="368"/>
      <c r="Q75" s="377">
        <v>16</v>
      </c>
    </row>
    <row r="76" spans="1:17">
      <c r="A76" s="2">
        <f>A72+1</f>
        <v>45</v>
      </c>
      <c r="C76" s="62" t="s">
        <v>846</v>
      </c>
      <c r="E76" s="377"/>
      <c r="F76" s="368"/>
      <c r="G76" s="377"/>
      <c r="H76" s="368"/>
      <c r="I76" s="377"/>
      <c r="J76" s="368"/>
      <c r="K76" s="377"/>
      <c r="L76" s="368"/>
      <c r="M76" s="377"/>
      <c r="N76" s="368"/>
      <c r="O76" s="377"/>
      <c r="P76" s="368"/>
      <c r="Q76" s="377"/>
    </row>
    <row r="77" spans="1:17">
      <c r="A77" s="2">
        <f>A72+1</f>
        <v>45</v>
      </c>
      <c r="C77" s="80" t="s">
        <v>855</v>
      </c>
      <c r="E77" s="377">
        <v>0</v>
      </c>
      <c r="F77" s="368"/>
      <c r="G77" s="377">
        <v>0</v>
      </c>
      <c r="H77" s="368"/>
      <c r="I77" s="377">
        <v>0</v>
      </c>
      <c r="J77" s="368"/>
      <c r="K77" s="377">
        <v>957033</v>
      </c>
      <c r="L77" s="368"/>
      <c r="M77" s="377">
        <v>956520</v>
      </c>
      <c r="N77" s="368"/>
      <c r="O77" s="377">
        <v>956520</v>
      </c>
      <c r="P77" s="368"/>
      <c r="Q77" s="377">
        <v>956520</v>
      </c>
    </row>
    <row r="78" spans="1:17">
      <c r="A78" s="2">
        <f>A77+1</f>
        <v>46</v>
      </c>
      <c r="C78" s="80" t="s">
        <v>856</v>
      </c>
      <c r="E78" s="377">
        <v>0</v>
      </c>
      <c r="F78" s="368"/>
      <c r="G78" s="377">
        <v>0</v>
      </c>
      <c r="H78" s="368"/>
      <c r="I78" s="377">
        <v>0</v>
      </c>
      <c r="J78" s="368"/>
      <c r="K78" s="377">
        <v>928252</v>
      </c>
      <c r="L78" s="368"/>
      <c r="M78" s="377">
        <v>954684</v>
      </c>
      <c r="N78" s="368"/>
      <c r="O78" s="377">
        <v>954684</v>
      </c>
      <c r="P78" s="368"/>
      <c r="Q78" s="377">
        <v>954684</v>
      </c>
    </row>
    <row r="79" spans="1:17">
      <c r="A79" s="2">
        <f>A75+1</f>
        <v>47</v>
      </c>
      <c r="C79" s="62" t="s">
        <v>826</v>
      </c>
      <c r="E79" s="377"/>
      <c r="F79" s="368"/>
      <c r="G79" s="377"/>
      <c r="H79" s="368"/>
      <c r="I79" s="377"/>
      <c r="J79" s="368"/>
      <c r="K79" s="377"/>
      <c r="L79" s="368"/>
      <c r="M79" s="377"/>
      <c r="N79" s="368"/>
      <c r="O79" s="377"/>
      <c r="P79" s="368"/>
      <c r="Q79" s="377"/>
    </row>
    <row r="80" spans="1:17">
      <c r="A80" s="2">
        <f>A75+1</f>
        <v>47</v>
      </c>
      <c r="C80" s="80" t="s">
        <v>861</v>
      </c>
      <c r="E80" s="377">
        <v>0</v>
      </c>
      <c r="F80" s="368"/>
      <c r="G80" s="377">
        <v>0</v>
      </c>
      <c r="H80" s="368"/>
      <c r="I80" s="377">
        <v>0</v>
      </c>
      <c r="J80" s="368"/>
      <c r="K80" s="377">
        <v>124390415</v>
      </c>
      <c r="L80" s="368"/>
      <c r="M80" s="377">
        <v>116994314.02349174</v>
      </c>
      <c r="N80" s="368"/>
      <c r="O80" s="377">
        <v>109600000</v>
      </c>
      <c r="P80" s="368"/>
      <c r="Q80" s="377">
        <v>106697992.03686301</v>
      </c>
    </row>
    <row r="81" spans="1:17">
      <c r="A81" s="2">
        <f>A80+1</f>
        <v>48</v>
      </c>
      <c r="C81" s="80" t="s">
        <v>858</v>
      </c>
      <c r="E81" s="377">
        <v>0</v>
      </c>
      <c r="F81" s="368"/>
      <c r="G81" s="377">
        <v>0</v>
      </c>
      <c r="H81" s="368"/>
      <c r="I81" s="377">
        <v>0</v>
      </c>
      <c r="J81" s="368"/>
      <c r="K81" s="377">
        <v>205256943</v>
      </c>
      <c r="L81" s="368"/>
      <c r="M81" s="377">
        <v>191675903.3890073</v>
      </c>
      <c r="N81" s="368"/>
      <c r="O81" s="377">
        <v>179600000</v>
      </c>
      <c r="P81" s="368"/>
      <c r="Q81" s="377">
        <v>174807076.60162273</v>
      </c>
    </row>
    <row r="82" spans="1:17">
      <c r="A82" s="2">
        <f>A81+1</f>
        <v>49</v>
      </c>
      <c r="C82" s="752" t="s">
        <v>862</v>
      </c>
      <c r="D82" s="753"/>
      <c r="E82" s="756">
        <f>SUM(E75:E75)</f>
        <v>0</v>
      </c>
      <c r="F82" s="368"/>
      <c r="G82" s="756">
        <f>SUM(G75:G75)</f>
        <v>0</v>
      </c>
      <c r="H82" s="368"/>
      <c r="I82" s="756">
        <f>SUM(I75:I75)</f>
        <v>0</v>
      </c>
      <c r="J82" s="368"/>
      <c r="K82" s="756">
        <f>SUM(K75:K75)</f>
        <v>16</v>
      </c>
      <c r="L82" s="368"/>
      <c r="M82" s="756">
        <f>SUM(M75:M75)</f>
        <v>16</v>
      </c>
      <c r="N82" s="368"/>
      <c r="O82" s="756">
        <f>SUM(O75:O75)</f>
        <v>16</v>
      </c>
      <c r="P82" s="368"/>
      <c r="Q82" s="756">
        <v>0</v>
      </c>
    </row>
    <row r="83" spans="1:17">
      <c r="A83" s="2" t="str">
        <f>IF(C83&lt;&gt;"",MAX(A77:A82)+1,"")</f>
        <v/>
      </c>
      <c r="E83" s="767"/>
      <c r="F83" s="368"/>
      <c r="G83" s="767"/>
      <c r="H83" s="368"/>
      <c r="I83" s="767"/>
      <c r="J83" s="368"/>
      <c r="K83" s="767"/>
      <c r="L83" s="368"/>
      <c r="M83" s="767"/>
      <c r="N83" s="368"/>
      <c r="O83" s="767"/>
      <c r="P83" s="368"/>
      <c r="Q83" s="767"/>
    </row>
    <row r="84" spans="1:17">
      <c r="A84" s="2">
        <f>A82+1</f>
        <v>50</v>
      </c>
      <c r="C84" s="29" t="s">
        <v>863</v>
      </c>
      <c r="D84" s="29"/>
      <c r="E84" s="382"/>
      <c r="F84" s="368"/>
      <c r="G84" s="382"/>
      <c r="H84" s="368"/>
      <c r="I84" s="382"/>
      <c r="J84" s="368"/>
      <c r="K84" s="382"/>
      <c r="L84" s="368"/>
      <c r="M84" s="382"/>
      <c r="N84" s="368"/>
      <c r="O84" s="382"/>
      <c r="P84" s="368"/>
      <c r="Q84" s="382"/>
    </row>
    <row r="85" spans="1:17">
      <c r="A85" s="2">
        <f>A84+1</f>
        <v>51</v>
      </c>
      <c r="C85" s="62" t="s">
        <v>825</v>
      </c>
      <c r="E85" s="377">
        <v>0</v>
      </c>
      <c r="F85" s="368"/>
      <c r="G85" s="377">
        <v>0</v>
      </c>
      <c r="H85" s="368"/>
      <c r="I85" s="377">
        <v>0</v>
      </c>
      <c r="J85" s="368"/>
      <c r="K85" s="377">
        <v>1</v>
      </c>
      <c r="L85" s="368"/>
      <c r="M85" s="377">
        <v>1</v>
      </c>
      <c r="N85" s="368"/>
      <c r="O85" s="377">
        <v>1</v>
      </c>
      <c r="P85" s="368"/>
      <c r="Q85" s="377">
        <v>1</v>
      </c>
    </row>
    <row r="86" spans="1:17">
      <c r="A86" s="2">
        <f>A82+1</f>
        <v>50</v>
      </c>
      <c r="C86" s="62" t="s">
        <v>846</v>
      </c>
      <c r="E86" s="377"/>
      <c r="F86" s="368"/>
      <c r="G86" s="377"/>
      <c r="H86" s="368"/>
      <c r="I86" s="377"/>
      <c r="J86" s="368"/>
      <c r="K86" s="377"/>
      <c r="L86" s="368"/>
      <c r="M86" s="377"/>
      <c r="N86" s="368"/>
      <c r="O86" s="377"/>
      <c r="P86" s="368"/>
      <c r="Q86" s="377"/>
    </row>
    <row r="87" spans="1:17">
      <c r="A87" s="2">
        <f>A82+1</f>
        <v>50</v>
      </c>
      <c r="C87" s="80" t="s">
        <v>864</v>
      </c>
      <c r="E87" s="377">
        <v>0</v>
      </c>
      <c r="F87" s="368"/>
      <c r="G87" s="377">
        <v>0</v>
      </c>
      <c r="H87" s="368"/>
      <c r="I87" s="377">
        <v>0</v>
      </c>
      <c r="J87" s="368"/>
      <c r="K87" s="377">
        <v>183767</v>
      </c>
      <c r="L87" s="368"/>
      <c r="M87" s="377">
        <v>182244</v>
      </c>
      <c r="N87" s="368"/>
      <c r="O87" s="377">
        <v>182244</v>
      </c>
      <c r="P87" s="368"/>
      <c r="Q87" s="377">
        <v>182244</v>
      </c>
    </row>
    <row r="88" spans="1:17">
      <c r="A88" s="2">
        <f>A87+1</f>
        <v>51</v>
      </c>
      <c r="C88" s="80" t="s">
        <v>848</v>
      </c>
      <c r="E88" s="377">
        <v>0</v>
      </c>
      <c r="F88" s="368"/>
      <c r="G88" s="377">
        <v>0</v>
      </c>
      <c r="H88" s="368"/>
      <c r="I88" s="377">
        <v>0</v>
      </c>
      <c r="J88" s="368"/>
      <c r="K88" s="377">
        <v>0</v>
      </c>
      <c r="L88" s="368"/>
      <c r="M88" s="377">
        <v>0</v>
      </c>
      <c r="N88" s="368"/>
      <c r="O88" s="377">
        <v>0</v>
      </c>
      <c r="P88" s="368"/>
      <c r="Q88" s="377">
        <v>0</v>
      </c>
    </row>
    <row r="89" spans="1:17">
      <c r="A89" s="2">
        <f>A85+1</f>
        <v>52</v>
      </c>
      <c r="C89" s="62" t="s">
        <v>826</v>
      </c>
      <c r="E89" s="377"/>
      <c r="F89" s="368"/>
      <c r="G89" s="377"/>
      <c r="H89" s="368"/>
      <c r="I89" s="377"/>
      <c r="J89" s="368"/>
      <c r="K89" s="377"/>
      <c r="L89" s="368"/>
      <c r="M89" s="377"/>
      <c r="N89" s="368"/>
      <c r="O89" s="377"/>
      <c r="P89" s="368"/>
      <c r="Q89" s="377"/>
    </row>
    <row r="90" spans="1:17">
      <c r="A90" s="2">
        <f>A85+1</f>
        <v>52</v>
      </c>
      <c r="C90" s="80" t="s">
        <v>865</v>
      </c>
      <c r="E90" s="377">
        <v>0</v>
      </c>
      <c r="F90" s="368"/>
      <c r="G90" s="377">
        <v>0</v>
      </c>
      <c r="H90" s="368"/>
      <c r="I90" s="377">
        <v>0</v>
      </c>
      <c r="J90" s="368"/>
      <c r="K90" s="377">
        <v>68816842</v>
      </c>
      <c r="L90" s="368"/>
      <c r="M90" s="377">
        <v>64792428.988055743</v>
      </c>
      <c r="N90" s="368"/>
      <c r="O90" s="377">
        <v>60700000</v>
      </c>
      <c r="P90" s="368"/>
      <c r="Q90" s="377">
        <v>59090240</v>
      </c>
    </row>
    <row r="91" spans="1:17">
      <c r="A91" s="2">
        <f>A90+1</f>
        <v>53</v>
      </c>
      <c r="C91" s="80" t="s">
        <v>866</v>
      </c>
      <c r="E91" s="377">
        <v>0</v>
      </c>
      <c r="F91" s="368"/>
      <c r="G91" s="377">
        <v>0</v>
      </c>
      <c r="H91" s="368"/>
      <c r="I91" s="377">
        <v>0</v>
      </c>
      <c r="J91" s="368"/>
      <c r="K91" s="377">
        <v>0</v>
      </c>
      <c r="L91" s="368"/>
      <c r="M91" s="377">
        <v>0</v>
      </c>
      <c r="N91" s="368"/>
      <c r="O91" s="377">
        <v>0</v>
      </c>
      <c r="P91" s="368"/>
      <c r="Q91" s="377">
        <v>0</v>
      </c>
    </row>
    <row r="92" spans="1:17">
      <c r="A92" s="2">
        <f>A91+1</f>
        <v>54</v>
      </c>
      <c r="C92" s="752" t="s">
        <v>867</v>
      </c>
      <c r="D92" s="753"/>
      <c r="E92" s="756">
        <f>SUM(E85:E85)</f>
        <v>0</v>
      </c>
      <c r="F92" s="368"/>
      <c r="G92" s="756">
        <f>SUM(G85:G85)</f>
        <v>0</v>
      </c>
      <c r="H92" s="368"/>
      <c r="I92" s="756">
        <f>SUM(I85:I85)</f>
        <v>0</v>
      </c>
      <c r="J92" s="368"/>
      <c r="K92" s="756">
        <f>SUM(K85:K85)</f>
        <v>1</v>
      </c>
      <c r="L92" s="368"/>
      <c r="M92" s="756">
        <f>SUM(M85:M85)</f>
        <v>1</v>
      </c>
      <c r="N92" s="368"/>
      <c r="O92" s="756">
        <f>SUM(O85:O85)</f>
        <v>1</v>
      </c>
      <c r="P92" s="368"/>
      <c r="Q92" s="756">
        <v>0</v>
      </c>
    </row>
    <row r="93" spans="1:17">
      <c r="A93" s="2" t="str">
        <f>IF(C93&lt;&gt;"",MAX(A89:A92)+1,"")</f>
        <v/>
      </c>
      <c r="E93" s="767"/>
      <c r="F93" s="368"/>
      <c r="G93" s="767"/>
      <c r="H93" s="368"/>
      <c r="I93" s="767"/>
      <c r="J93" s="368"/>
      <c r="K93" s="767"/>
      <c r="L93" s="368"/>
      <c r="M93" s="767"/>
      <c r="N93" s="368"/>
      <c r="O93" s="767"/>
      <c r="P93" s="368"/>
      <c r="Q93" s="767"/>
    </row>
    <row r="94" spans="1:17">
      <c r="A94" s="2">
        <f>A92+1</f>
        <v>55</v>
      </c>
      <c r="C94" s="29" t="s">
        <v>868</v>
      </c>
      <c r="D94" s="29"/>
      <c r="E94" s="382"/>
      <c r="F94" s="368"/>
      <c r="G94" s="382"/>
      <c r="H94" s="368"/>
      <c r="I94" s="382"/>
      <c r="J94" s="368"/>
      <c r="K94" s="382"/>
      <c r="L94" s="368"/>
      <c r="M94" s="382"/>
      <c r="N94" s="368"/>
      <c r="O94" s="382"/>
      <c r="P94" s="368"/>
      <c r="Q94" s="382"/>
    </row>
    <row r="95" spans="1:17">
      <c r="A95" s="2">
        <f>A94+1</f>
        <v>56</v>
      </c>
      <c r="C95" s="62" t="s">
        <v>825</v>
      </c>
      <c r="E95" s="377">
        <v>0</v>
      </c>
      <c r="F95" s="368"/>
      <c r="G95" s="377">
        <v>0</v>
      </c>
      <c r="H95" s="368"/>
      <c r="I95" s="377">
        <v>0</v>
      </c>
      <c r="J95" s="368"/>
      <c r="K95" s="377">
        <v>0</v>
      </c>
      <c r="L95" s="368"/>
      <c r="M95" s="377">
        <v>1082</v>
      </c>
      <c r="N95" s="368"/>
      <c r="O95" s="377">
        <v>1082</v>
      </c>
      <c r="P95" s="368"/>
      <c r="Q95" s="377">
        <v>1082</v>
      </c>
    </row>
    <row r="96" spans="1:17">
      <c r="A96" s="2">
        <f>A95+1</f>
        <v>57</v>
      </c>
      <c r="C96" s="62" t="s">
        <v>826</v>
      </c>
      <c r="E96" s="377"/>
      <c r="F96" s="368"/>
      <c r="G96" s="377"/>
      <c r="H96" s="368"/>
      <c r="I96" s="377"/>
      <c r="J96" s="368"/>
      <c r="K96" s="377"/>
      <c r="L96" s="368"/>
      <c r="M96" s="377"/>
      <c r="N96" s="368"/>
      <c r="O96" s="377"/>
      <c r="P96" s="368"/>
      <c r="Q96" s="377"/>
    </row>
    <row r="97" spans="1:17">
      <c r="A97" s="2">
        <f>A95+1</f>
        <v>57</v>
      </c>
      <c r="C97" s="80" t="s">
        <v>843</v>
      </c>
      <c r="E97" s="377">
        <v>0</v>
      </c>
      <c r="F97" s="368"/>
      <c r="G97" s="377">
        <v>0</v>
      </c>
      <c r="H97" s="368"/>
      <c r="I97" s="377">
        <v>0</v>
      </c>
      <c r="J97" s="368"/>
      <c r="K97" s="377">
        <v>0</v>
      </c>
      <c r="L97" s="368"/>
      <c r="M97" s="377">
        <v>23109614.930104855</v>
      </c>
      <c r="N97" s="368"/>
      <c r="O97" s="377">
        <v>23109615</v>
      </c>
      <c r="P97" s="368"/>
      <c r="Q97" s="377">
        <v>23157847</v>
      </c>
    </row>
    <row r="98" spans="1:17">
      <c r="A98" s="2">
        <f>A97+1</f>
        <v>58</v>
      </c>
      <c r="C98" s="752" t="s">
        <v>869</v>
      </c>
      <c r="D98" s="753"/>
      <c r="E98" s="756">
        <f>SUM(E95:E95)</f>
        <v>0</v>
      </c>
      <c r="F98" s="368"/>
      <c r="G98" s="756">
        <f>SUM(G95:G95)</f>
        <v>0</v>
      </c>
      <c r="H98" s="368"/>
      <c r="I98" s="756">
        <f>SUM(I95:I95)</f>
        <v>0</v>
      </c>
      <c r="J98" s="368"/>
      <c r="K98" s="756">
        <f>SUM(K95:K95)</f>
        <v>0</v>
      </c>
      <c r="L98" s="368"/>
      <c r="M98" s="756">
        <f>SUM(M95:M95)</f>
        <v>1082</v>
      </c>
      <c r="N98" s="368"/>
      <c r="O98" s="756">
        <f>SUM(O95:O95)</f>
        <v>1082</v>
      </c>
      <c r="P98" s="368"/>
      <c r="Q98" s="756">
        <v>0</v>
      </c>
    </row>
    <row r="99" spans="1:17">
      <c r="A99" s="2" t="str">
        <f>IF(C99&lt;&gt;"",MAX(A93:A98)+1,"")</f>
        <v/>
      </c>
      <c r="E99" s="767"/>
      <c r="F99" s="368"/>
      <c r="G99" s="767"/>
      <c r="H99" s="368"/>
      <c r="I99" s="767"/>
      <c r="J99" s="368"/>
      <c r="K99" s="767"/>
      <c r="L99" s="368"/>
      <c r="M99" s="767"/>
      <c r="N99" s="368"/>
      <c r="O99" s="767"/>
      <c r="P99" s="368"/>
      <c r="Q99" s="767"/>
    </row>
    <row r="100" spans="1:17">
      <c r="A100" s="2">
        <f>A98+1</f>
        <v>59</v>
      </c>
      <c r="C100" s="414" t="s">
        <v>870</v>
      </c>
      <c r="D100" s="29"/>
      <c r="E100" s="382"/>
      <c r="F100" s="368"/>
      <c r="G100" s="382"/>
      <c r="H100" s="368"/>
      <c r="I100" s="382"/>
      <c r="J100" s="368"/>
      <c r="K100" s="382"/>
      <c r="L100" s="368"/>
      <c r="M100" s="382"/>
      <c r="N100" s="368"/>
      <c r="O100" s="382"/>
      <c r="P100" s="368"/>
      <c r="Q100" s="382"/>
    </row>
    <row r="101" spans="1:17">
      <c r="A101" s="2">
        <f t="shared" ref="A101:A106" si="0">A100+1</f>
        <v>60</v>
      </c>
      <c r="C101" s="62" t="s">
        <v>825</v>
      </c>
      <c r="E101" s="377">
        <v>0</v>
      </c>
      <c r="F101" s="368"/>
      <c r="G101" s="377">
        <v>0</v>
      </c>
      <c r="H101" s="368"/>
      <c r="I101" s="377">
        <v>0</v>
      </c>
      <c r="J101" s="368"/>
      <c r="K101" s="377">
        <v>2465</v>
      </c>
      <c r="L101" s="368"/>
      <c r="M101" s="377">
        <v>2465</v>
      </c>
      <c r="N101" s="368"/>
      <c r="O101" s="377">
        <v>2465</v>
      </c>
      <c r="P101" s="368"/>
      <c r="Q101" s="377">
        <v>2465</v>
      </c>
    </row>
    <row r="102" spans="1:17">
      <c r="A102" s="2">
        <f t="shared" si="0"/>
        <v>61</v>
      </c>
      <c r="C102" s="62" t="s">
        <v>826</v>
      </c>
      <c r="E102" s="377"/>
      <c r="F102" s="368"/>
      <c r="G102" s="377"/>
      <c r="H102" s="368"/>
      <c r="I102" s="377"/>
      <c r="J102" s="368"/>
      <c r="K102" s="377"/>
      <c r="L102" s="368"/>
      <c r="M102" s="377"/>
      <c r="N102" s="368"/>
      <c r="O102" s="377"/>
      <c r="P102" s="368"/>
      <c r="Q102" s="377"/>
    </row>
    <row r="103" spans="1:17">
      <c r="A103" s="2">
        <f t="shared" si="0"/>
        <v>62</v>
      </c>
      <c r="C103" s="80" t="s">
        <v>871</v>
      </c>
      <c r="E103" s="377">
        <v>0</v>
      </c>
      <c r="F103" s="368"/>
      <c r="G103" s="377">
        <v>0</v>
      </c>
      <c r="H103" s="368"/>
      <c r="I103" s="377">
        <v>0</v>
      </c>
      <c r="J103" s="368"/>
      <c r="K103" s="377">
        <v>0</v>
      </c>
      <c r="L103" s="368"/>
      <c r="M103" s="377">
        <v>0</v>
      </c>
      <c r="N103" s="368"/>
      <c r="O103" s="377">
        <v>0</v>
      </c>
      <c r="P103" s="368"/>
      <c r="Q103" s="377">
        <v>0</v>
      </c>
    </row>
    <row r="104" spans="1:17">
      <c r="A104" s="2">
        <f t="shared" si="0"/>
        <v>63</v>
      </c>
      <c r="C104" s="80" t="s">
        <v>872</v>
      </c>
      <c r="E104" s="377">
        <v>0</v>
      </c>
      <c r="F104" s="368"/>
      <c r="G104" s="377">
        <v>0</v>
      </c>
      <c r="H104" s="368"/>
      <c r="I104" s="377">
        <v>0</v>
      </c>
      <c r="J104" s="368"/>
      <c r="K104" s="377">
        <v>0</v>
      </c>
      <c r="L104" s="368"/>
      <c r="M104" s="377">
        <v>0</v>
      </c>
      <c r="N104" s="368"/>
      <c r="O104" s="377">
        <v>0</v>
      </c>
      <c r="P104" s="368"/>
      <c r="Q104" s="377">
        <v>0</v>
      </c>
    </row>
    <row r="105" spans="1:17">
      <c r="A105" s="2">
        <f t="shared" si="0"/>
        <v>64</v>
      </c>
      <c r="C105" s="80" t="s">
        <v>873</v>
      </c>
      <c r="E105" s="377">
        <v>0</v>
      </c>
      <c r="F105" s="368"/>
      <c r="G105" s="377">
        <v>0</v>
      </c>
      <c r="H105" s="368"/>
      <c r="I105" s="377">
        <v>0</v>
      </c>
      <c r="J105" s="368"/>
      <c r="K105" s="377">
        <v>0</v>
      </c>
      <c r="L105" s="368"/>
      <c r="M105" s="377">
        <v>16455131.999999998</v>
      </c>
      <c r="N105" s="368"/>
      <c r="O105" s="377">
        <v>16450000</v>
      </c>
      <c r="P105" s="368"/>
      <c r="Q105" s="377">
        <v>16455131.999999998</v>
      </c>
    </row>
    <row r="106" spans="1:17">
      <c r="A106" s="2">
        <f t="shared" si="0"/>
        <v>65</v>
      </c>
      <c r="C106" s="752" t="s">
        <v>874</v>
      </c>
      <c r="D106" s="753"/>
      <c r="E106" s="756">
        <f>SUM(E101:E101)</f>
        <v>0</v>
      </c>
      <c r="F106" s="368"/>
      <c r="G106" s="756">
        <f>SUM(G101:G101)</f>
        <v>0</v>
      </c>
      <c r="H106" s="368"/>
      <c r="I106" s="756">
        <f>SUM(I101:I101)</f>
        <v>0</v>
      </c>
      <c r="J106" s="368"/>
      <c r="K106" s="756">
        <f>SUM(K101:K101)</f>
        <v>2465</v>
      </c>
      <c r="L106" s="368"/>
      <c r="M106" s="756">
        <f>SUM(M101:M101)</f>
        <v>2465</v>
      </c>
      <c r="N106" s="368"/>
      <c r="O106" s="756">
        <f>SUM(O101:O101)</f>
        <v>2465</v>
      </c>
      <c r="P106" s="368"/>
      <c r="Q106" s="756">
        <v>0</v>
      </c>
    </row>
    <row r="107" spans="1:17">
      <c r="A107" s="2" t="str">
        <f>IF(C107&lt;&gt;"",MAX(A103:A106)+1,"")</f>
        <v/>
      </c>
      <c r="E107" s="767"/>
      <c r="F107" s="368"/>
      <c r="G107" s="767"/>
      <c r="H107" s="368"/>
      <c r="I107" s="767"/>
      <c r="J107" s="368"/>
      <c r="K107" s="767"/>
      <c r="L107" s="368"/>
      <c r="M107" s="767"/>
      <c r="N107" s="368"/>
      <c r="O107" s="767"/>
      <c r="P107" s="368"/>
      <c r="Q107" s="767"/>
    </row>
    <row r="108" spans="1:17">
      <c r="A108" s="2">
        <f>A106+1</f>
        <v>66</v>
      </c>
      <c r="C108" s="29" t="s">
        <v>875</v>
      </c>
      <c r="D108" s="29"/>
      <c r="E108" s="382"/>
      <c r="F108" s="368"/>
      <c r="G108" s="382"/>
      <c r="H108" s="368"/>
      <c r="I108" s="382"/>
      <c r="J108" s="368"/>
      <c r="K108" s="382"/>
      <c r="L108" s="368"/>
      <c r="M108" s="382"/>
      <c r="N108" s="368"/>
      <c r="O108" s="382"/>
      <c r="P108" s="368"/>
      <c r="Q108" s="382"/>
    </row>
    <row r="109" spans="1:17">
      <c r="A109" s="2">
        <f>A108+1</f>
        <v>67</v>
      </c>
      <c r="C109" s="62" t="s">
        <v>825</v>
      </c>
      <c r="E109" s="377">
        <v>0</v>
      </c>
      <c r="F109" s="368"/>
      <c r="G109" s="377">
        <v>0</v>
      </c>
      <c r="H109" s="368"/>
      <c r="I109" s="377">
        <v>0</v>
      </c>
      <c r="J109" s="368"/>
      <c r="K109" s="377">
        <v>923</v>
      </c>
      <c r="L109" s="368"/>
      <c r="M109" s="377">
        <v>923</v>
      </c>
      <c r="N109" s="368"/>
      <c r="O109" s="377">
        <v>923</v>
      </c>
      <c r="P109" s="368"/>
      <c r="Q109" s="377">
        <v>923</v>
      </c>
    </row>
    <row r="110" spans="1:17">
      <c r="A110" s="2">
        <f>A109+1</f>
        <v>68</v>
      </c>
      <c r="C110" s="62" t="s">
        <v>826</v>
      </c>
      <c r="E110" s="377"/>
      <c r="F110" s="368"/>
      <c r="G110" s="377"/>
      <c r="H110" s="368"/>
      <c r="I110" s="377"/>
      <c r="J110" s="368"/>
      <c r="K110" s="377"/>
      <c r="L110" s="368"/>
      <c r="M110" s="377"/>
      <c r="N110" s="368"/>
      <c r="O110" s="377"/>
      <c r="P110" s="368"/>
      <c r="Q110" s="377"/>
    </row>
    <row r="111" spans="1:17">
      <c r="A111" s="2">
        <f>A109+1</f>
        <v>68</v>
      </c>
      <c r="C111" s="80" t="s">
        <v>843</v>
      </c>
      <c r="E111" s="377">
        <v>0</v>
      </c>
      <c r="F111" s="368"/>
      <c r="G111" s="377">
        <v>0</v>
      </c>
      <c r="H111" s="368"/>
      <c r="I111" s="377">
        <v>0</v>
      </c>
      <c r="J111" s="368"/>
      <c r="K111" s="377">
        <v>0</v>
      </c>
      <c r="L111" s="368"/>
      <c r="M111" s="377">
        <v>153660</v>
      </c>
      <c r="N111" s="368"/>
      <c r="O111" s="377">
        <v>150000</v>
      </c>
      <c r="P111" s="368"/>
      <c r="Q111" s="377">
        <v>153660</v>
      </c>
    </row>
    <row r="112" spans="1:17">
      <c r="A112" s="2">
        <f>A111+1</f>
        <v>69</v>
      </c>
      <c r="C112" s="752" t="s">
        <v>876</v>
      </c>
      <c r="D112" s="753"/>
      <c r="E112" s="756">
        <f>SUM(E109:E109)</f>
        <v>0</v>
      </c>
      <c r="F112" s="368"/>
      <c r="G112" s="756">
        <f>SUM(G109:G109)</f>
        <v>0</v>
      </c>
      <c r="H112" s="368"/>
      <c r="I112" s="756">
        <f>SUM(I109:I109)</f>
        <v>0</v>
      </c>
      <c r="J112" s="368"/>
      <c r="K112" s="756">
        <f>SUM(K109:K109)</f>
        <v>923</v>
      </c>
      <c r="L112" s="368"/>
      <c r="M112" s="756">
        <f>SUM(M109:M109)</f>
        <v>923</v>
      </c>
      <c r="N112" s="368"/>
      <c r="O112" s="756">
        <f>SUM(O109:O109)</f>
        <v>923</v>
      </c>
      <c r="P112" s="368"/>
      <c r="Q112" s="756">
        <v>0</v>
      </c>
    </row>
    <row r="113" spans="1:17">
      <c r="A113" s="2" t="str">
        <f>IF(C113&lt;&gt;"",MAX(A107:A112)+1,"")</f>
        <v/>
      </c>
      <c r="E113" s="767"/>
      <c r="F113" s="368"/>
      <c r="G113" s="767"/>
      <c r="H113" s="368"/>
      <c r="I113" s="767"/>
      <c r="J113" s="368"/>
      <c r="K113" s="767"/>
      <c r="L113" s="368"/>
      <c r="M113" s="767"/>
      <c r="N113" s="368"/>
      <c r="O113" s="767"/>
      <c r="P113" s="368"/>
      <c r="Q113" s="767"/>
    </row>
    <row r="114" spans="1:17">
      <c r="A114" s="2">
        <f>A112+1</f>
        <v>70</v>
      </c>
      <c r="C114" s="29" t="s">
        <v>877</v>
      </c>
      <c r="D114" s="29"/>
      <c r="E114" s="382"/>
      <c r="F114" s="368"/>
      <c r="G114" s="382"/>
      <c r="H114" s="368"/>
      <c r="I114" s="382"/>
      <c r="J114" s="368"/>
      <c r="K114" s="382"/>
      <c r="L114" s="368"/>
      <c r="M114" s="382"/>
      <c r="N114" s="368"/>
      <c r="O114" s="382"/>
      <c r="P114" s="368"/>
      <c r="Q114" s="382"/>
    </row>
    <row r="115" spans="1:17">
      <c r="A115" s="2">
        <f>A114+1</f>
        <v>71</v>
      </c>
      <c r="C115" s="62" t="s">
        <v>825</v>
      </c>
      <c r="E115" s="377">
        <v>0</v>
      </c>
      <c r="F115" s="368"/>
      <c r="G115" s="377">
        <v>0</v>
      </c>
      <c r="H115" s="368"/>
      <c r="I115" s="377">
        <v>0</v>
      </c>
      <c r="J115" s="368"/>
      <c r="K115" s="377">
        <v>2</v>
      </c>
      <c r="L115" s="368"/>
      <c r="M115" s="377">
        <v>2</v>
      </c>
      <c r="N115" s="368"/>
      <c r="O115" s="377">
        <v>2</v>
      </c>
      <c r="P115" s="368"/>
      <c r="Q115" s="377">
        <v>2</v>
      </c>
    </row>
    <row r="116" spans="1:17">
      <c r="A116" s="2">
        <f>A112+1</f>
        <v>70</v>
      </c>
      <c r="C116" s="62" t="s">
        <v>846</v>
      </c>
      <c r="E116" s="377"/>
      <c r="F116" s="368"/>
      <c r="G116" s="377"/>
      <c r="H116" s="368"/>
      <c r="I116" s="377"/>
      <c r="J116" s="368"/>
      <c r="K116" s="377"/>
      <c r="L116" s="368"/>
      <c r="M116" s="377"/>
      <c r="N116" s="368"/>
      <c r="O116" s="377"/>
      <c r="P116" s="368"/>
      <c r="Q116" s="377"/>
    </row>
    <row r="117" spans="1:17">
      <c r="A117" s="2">
        <f>A112+1</f>
        <v>70</v>
      </c>
      <c r="C117" s="80" t="s">
        <v>847</v>
      </c>
      <c r="E117" s="377">
        <v>0</v>
      </c>
      <c r="F117" s="368"/>
      <c r="G117" s="377">
        <v>0</v>
      </c>
      <c r="H117" s="368"/>
      <c r="I117" s="377">
        <v>0</v>
      </c>
      <c r="J117" s="368"/>
      <c r="K117" s="377">
        <v>144173</v>
      </c>
      <c r="L117" s="368"/>
      <c r="M117" s="377">
        <v>130503.05120829679</v>
      </c>
      <c r="N117" s="368"/>
      <c r="O117" s="377">
        <v>123624.96996279982</v>
      </c>
      <c r="P117" s="368"/>
      <c r="Q117" s="377">
        <v>119017.87941551948</v>
      </c>
    </row>
    <row r="118" spans="1:17">
      <c r="A118" s="2">
        <f>A117+1</f>
        <v>71</v>
      </c>
      <c r="C118" s="80" t="s">
        <v>848</v>
      </c>
      <c r="E118" s="377">
        <v>0</v>
      </c>
      <c r="F118" s="368"/>
      <c r="G118" s="377">
        <v>0</v>
      </c>
      <c r="H118" s="368"/>
      <c r="I118" s="377">
        <v>0</v>
      </c>
      <c r="J118" s="368"/>
      <c r="K118" s="377">
        <v>0</v>
      </c>
      <c r="L118" s="368"/>
      <c r="M118" s="377">
        <v>0</v>
      </c>
      <c r="N118" s="368"/>
      <c r="O118" s="377">
        <v>0</v>
      </c>
      <c r="P118" s="368"/>
      <c r="Q118" s="377">
        <v>0</v>
      </c>
    </row>
    <row r="119" spans="1:17">
      <c r="A119" s="2">
        <f>A115+1</f>
        <v>72</v>
      </c>
      <c r="C119" s="62" t="s">
        <v>826</v>
      </c>
      <c r="E119" s="377"/>
      <c r="F119" s="368"/>
      <c r="G119" s="377"/>
      <c r="H119" s="368"/>
      <c r="I119" s="377"/>
      <c r="J119" s="368"/>
      <c r="K119" s="377"/>
      <c r="L119" s="368"/>
      <c r="M119" s="377"/>
      <c r="N119" s="368"/>
      <c r="O119" s="377"/>
      <c r="P119" s="368"/>
      <c r="Q119" s="377"/>
    </row>
    <row r="120" spans="1:17">
      <c r="A120" s="2">
        <f>A115+1</f>
        <v>72</v>
      </c>
      <c r="C120" s="80" t="s">
        <v>878</v>
      </c>
      <c r="E120" s="377">
        <v>0</v>
      </c>
      <c r="F120" s="368"/>
      <c r="G120" s="377">
        <v>0</v>
      </c>
      <c r="H120" s="368"/>
      <c r="I120" s="377">
        <v>0</v>
      </c>
      <c r="J120" s="368"/>
      <c r="K120" s="377">
        <v>4898093</v>
      </c>
      <c r="L120" s="368"/>
      <c r="M120" s="377">
        <v>4433674</v>
      </c>
      <c r="N120" s="368"/>
      <c r="O120" s="377">
        <v>4200000</v>
      </c>
      <c r="P120" s="368"/>
      <c r="Q120" s="377">
        <v>4043480</v>
      </c>
    </row>
    <row r="121" spans="1:17">
      <c r="A121" s="2">
        <f>A120+1</f>
        <v>73</v>
      </c>
      <c r="C121" s="752" t="s">
        <v>879</v>
      </c>
      <c r="D121" s="753"/>
      <c r="E121" s="756">
        <f>SUM(E115:E115)</f>
        <v>0</v>
      </c>
      <c r="F121" s="368"/>
      <c r="G121" s="756">
        <f>SUM(G115:G115)</f>
        <v>0</v>
      </c>
      <c r="H121" s="368"/>
      <c r="I121" s="756">
        <f>SUM(I115:I115)</f>
        <v>0</v>
      </c>
      <c r="J121" s="368"/>
      <c r="K121" s="756">
        <f>SUM(K115:K115)</f>
        <v>2</v>
      </c>
      <c r="L121" s="368"/>
      <c r="M121" s="756">
        <f>SUM(M115:M115)</f>
        <v>2</v>
      </c>
      <c r="N121" s="368"/>
      <c r="O121" s="756">
        <f>SUM(O115:O115)</f>
        <v>2</v>
      </c>
      <c r="P121" s="368"/>
      <c r="Q121" s="756">
        <v>0</v>
      </c>
    </row>
    <row r="122" spans="1:17">
      <c r="A122" s="2"/>
      <c r="C122" s="29"/>
      <c r="D122" s="29"/>
      <c r="E122" s="765"/>
      <c r="F122" s="755"/>
      <c r="G122" s="765"/>
      <c r="H122" s="755"/>
      <c r="I122" s="765"/>
      <c r="J122" s="755"/>
      <c r="K122" s="765"/>
      <c r="L122" s="755"/>
      <c r="M122" s="765"/>
      <c r="N122" s="755"/>
      <c r="O122" s="765"/>
      <c r="P122" s="755"/>
      <c r="Q122" s="765"/>
    </row>
    <row r="123" spans="1:17">
      <c r="A123" s="2"/>
      <c r="C123" s="29"/>
      <c r="D123" s="29"/>
      <c r="E123" s="765"/>
      <c r="F123" s="755"/>
      <c r="G123" s="765"/>
      <c r="H123" s="755"/>
      <c r="I123" s="765"/>
      <c r="J123" s="755"/>
      <c r="K123" s="765"/>
      <c r="L123" s="755"/>
      <c r="M123" s="765"/>
      <c r="N123" s="755"/>
      <c r="O123" s="765"/>
      <c r="P123" s="755"/>
      <c r="Q123" s="765"/>
    </row>
  </sheetData>
  <mergeCells count="2">
    <mergeCell ref="E3:K3"/>
    <mergeCell ref="M3:Q3"/>
  </mergeCells>
  <pageMargins left="0.7" right="0.7" top="0.75" bottom="0.75" header="0.3" footer="0.3"/>
  <pageSetup scale="45" fitToHeight="0" orientation="portrait" horizontalDpi="1200" verticalDpi="1200" r:id="rId1"/>
  <headerFooter>
    <oddHeader>&amp;LPuerto Rico Electric Power Authority 
Docket NEPR-AP-2023-0003
Billing Determinants &amp;RSchedule C-8
Page &amp;P of &amp;N</oddHeader>
  </headerFooter>
  <rowBreaks count="1" manualBreakCount="1">
    <brk id="73" max="16" man="1"/>
  </rowBreaks>
  <colBreaks count="1" manualBreakCount="1">
    <brk id="17"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7C0A9-017D-4838-982F-0924C2BB823A}">
  <sheetPr>
    <tabColor theme="7" tint="0.79998168889431442"/>
  </sheetPr>
  <dimension ref="A1:AD122"/>
  <sheetViews>
    <sheetView workbookViewId="0"/>
    <sheetView workbookViewId="1"/>
    <sheetView workbookViewId="2"/>
  </sheetViews>
  <sheetFormatPr defaultColWidth="8.5703125" defaultRowHeight="15"/>
  <cols>
    <col min="3" max="3" width="84.5703125" customWidth="1"/>
    <col min="4" max="4" width="17.85546875" hidden="1" customWidth="1"/>
    <col min="5" max="5" width="31" hidden="1" customWidth="1"/>
    <col min="6" max="6" width="4.42578125" hidden="1" customWidth="1"/>
    <col min="7" max="7" width="31" hidden="1" customWidth="1"/>
    <col min="8" max="8" width="4.42578125" hidden="1" customWidth="1"/>
    <col min="9" max="9" width="31" hidden="1" customWidth="1"/>
    <col min="10" max="10" width="3.140625" hidden="1" customWidth="1"/>
    <col min="11" max="11" width="31" hidden="1" customWidth="1"/>
    <col min="12" max="12" width="0" hidden="1" customWidth="1"/>
    <col min="13" max="13" width="31" customWidth="1"/>
    <col min="14" max="14" width="3" customWidth="1"/>
    <col min="15" max="15" width="29.42578125" customWidth="1"/>
    <col min="16" max="16" width="3.140625" customWidth="1"/>
    <col min="17" max="17" width="32.42578125" customWidth="1"/>
  </cols>
  <sheetData>
    <row r="1" spans="1:30">
      <c r="V1" s="750"/>
      <c r="W1" s="79"/>
      <c r="X1" s="79"/>
      <c r="Y1" s="79"/>
      <c r="Z1" s="79"/>
      <c r="AA1" s="79"/>
      <c r="AB1" s="79"/>
      <c r="AC1" s="79"/>
      <c r="AD1" s="79"/>
    </row>
    <row r="2" spans="1:30">
      <c r="S2" s="2"/>
      <c r="U2" s="2"/>
      <c r="V2" s="750"/>
      <c r="W2" s="79"/>
      <c r="X2" s="79"/>
      <c r="Y2" s="79"/>
      <c r="Z2" s="79"/>
      <c r="AA2" s="79"/>
      <c r="AB2" s="79"/>
      <c r="AC2" s="79"/>
      <c r="AD2" s="79"/>
    </row>
    <row r="3" spans="1:30">
      <c r="E3" s="1200" t="s">
        <v>880</v>
      </c>
      <c r="F3" s="1200"/>
      <c r="G3" s="1200"/>
      <c r="H3" s="1200"/>
      <c r="I3" s="1200"/>
      <c r="J3" s="1200"/>
      <c r="K3" s="1200"/>
      <c r="M3" s="1200" t="s">
        <v>461</v>
      </c>
      <c r="N3" s="1200"/>
      <c r="O3" s="1200"/>
      <c r="P3" s="1200"/>
      <c r="Q3" s="1200"/>
      <c r="W3" s="79"/>
      <c r="X3" s="79"/>
      <c r="Y3" s="79"/>
      <c r="Z3" s="79"/>
      <c r="AA3" s="79"/>
      <c r="AB3" s="79"/>
      <c r="AC3" s="79"/>
      <c r="AD3" s="79"/>
    </row>
    <row r="4" spans="1:30" ht="30">
      <c r="A4" s="58" t="s">
        <v>242</v>
      </c>
      <c r="C4" s="58" t="s">
        <v>819</v>
      </c>
      <c r="E4" s="58" t="s">
        <v>820</v>
      </c>
      <c r="G4" s="58" t="s">
        <v>821</v>
      </c>
      <c r="I4" s="58" t="s">
        <v>822</v>
      </c>
      <c r="K4" s="58" t="s">
        <v>881</v>
      </c>
      <c r="M4" s="58" t="s">
        <v>351</v>
      </c>
      <c r="O4" s="58" t="s">
        <v>354</v>
      </c>
      <c r="Q4" s="58" t="s">
        <v>356</v>
      </c>
      <c r="S4" s="751"/>
      <c r="T4" s="751"/>
      <c r="U4" s="751"/>
      <c r="W4" s="79"/>
      <c r="X4" s="79"/>
      <c r="Y4" s="79"/>
      <c r="Z4" s="79"/>
      <c r="AA4" s="79"/>
      <c r="AB4" s="79"/>
      <c r="AC4" s="79"/>
      <c r="AD4" s="79"/>
    </row>
    <row r="5" spans="1:30">
      <c r="A5" s="2"/>
      <c r="E5" s="2" t="s">
        <v>547</v>
      </c>
      <c r="G5" s="2" t="s">
        <v>547</v>
      </c>
      <c r="I5" s="2" t="s">
        <v>547</v>
      </c>
      <c r="K5" s="2" t="s">
        <v>547</v>
      </c>
      <c r="M5" s="2" t="s">
        <v>547</v>
      </c>
      <c r="O5" s="2" t="s">
        <v>358</v>
      </c>
      <c r="Q5" s="2" t="s">
        <v>462</v>
      </c>
      <c r="S5" s="751"/>
      <c r="T5" s="751"/>
      <c r="U5" s="751"/>
      <c r="W5" s="79"/>
      <c r="X5" s="79"/>
      <c r="Y5" s="79"/>
      <c r="Z5" s="79"/>
      <c r="AA5" s="79"/>
      <c r="AB5" s="79"/>
      <c r="AC5" s="79"/>
      <c r="AD5" s="79"/>
    </row>
    <row r="6" spans="1:30">
      <c r="A6" s="2">
        <v>1</v>
      </c>
      <c r="C6" s="752" t="s">
        <v>882</v>
      </c>
      <c r="D6" s="753"/>
      <c r="E6" s="754"/>
      <c r="F6" s="755"/>
      <c r="G6" s="754"/>
      <c r="H6" s="755"/>
      <c r="I6" s="754"/>
      <c r="J6" s="755"/>
      <c r="K6" s="754"/>
      <c r="L6" s="755"/>
      <c r="M6" s="754"/>
      <c r="N6" s="755"/>
      <c r="O6" s="754"/>
      <c r="P6" s="755"/>
      <c r="Q6" s="754"/>
    </row>
    <row r="7" spans="1:30">
      <c r="A7" s="2">
        <f>IF(C7&lt;&gt;"",MAX(A5:A6)+1,"")</f>
        <v>2</v>
      </c>
      <c r="C7" s="62" t="s">
        <v>826</v>
      </c>
      <c r="E7" s="303"/>
      <c r="F7" s="755"/>
      <c r="G7" s="303"/>
      <c r="H7" s="755"/>
      <c r="I7" s="303"/>
      <c r="J7" s="755"/>
      <c r="K7" s="303"/>
      <c r="L7" s="755"/>
      <c r="M7" s="303"/>
      <c r="N7" s="755"/>
      <c r="O7" s="303"/>
      <c r="P7" s="755"/>
      <c r="Q7" s="303"/>
      <c r="S7" s="751"/>
      <c r="T7" s="751"/>
      <c r="U7" s="751"/>
      <c r="W7" s="79"/>
      <c r="X7" s="79"/>
      <c r="Y7" s="79"/>
      <c r="Z7" s="79"/>
      <c r="AA7" s="79"/>
      <c r="AB7" s="79"/>
      <c r="AC7" s="79"/>
      <c r="AD7" s="79"/>
    </row>
    <row r="8" spans="1:30">
      <c r="A8" s="2">
        <f>IF(C8&lt;&gt;"",MAX(A6:A7)+1,"")</f>
        <v>3</v>
      </c>
      <c r="C8" s="80" t="s">
        <v>883</v>
      </c>
      <c r="E8" s="377">
        <v>0</v>
      </c>
      <c r="F8" s="368"/>
      <c r="G8" s="377">
        <v>0</v>
      </c>
      <c r="H8" s="368"/>
      <c r="I8" s="377">
        <v>0</v>
      </c>
      <c r="J8" s="368"/>
      <c r="K8" s="377">
        <v>0</v>
      </c>
      <c r="L8" s="368"/>
      <c r="M8" s="377">
        <v>1981200</v>
      </c>
      <c r="N8" s="368"/>
      <c r="O8" s="377">
        <f>M8</f>
        <v>1981200</v>
      </c>
      <c r="P8" s="368"/>
      <c r="Q8" s="377">
        <f>O8</f>
        <v>1981200</v>
      </c>
      <c r="S8" s="751"/>
      <c r="T8" s="751"/>
      <c r="U8" s="751"/>
      <c r="W8" s="79"/>
      <c r="X8" s="79"/>
      <c r="Y8" s="79"/>
      <c r="Z8" s="79"/>
      <c r="AA8" s="79"/>
      <c r="AB8" s="79"/>
      <c r="AC8" s="79"/>
      <c r="AD8" s="79"/>
    </row>
    <row r="9" spans="1:30">
      <c r="A9" s="2">
        <f>IF(C9&lt;&gt;"",MAX(A7:A8)+1,"")</f>
        <v>4</v>
      </c>
      <c r="C9" s="80" t="s">
        <v>884</v>
      </c>
      <c r="E9" s="377">
        <v>0</v>
      </c>
      <c r="F9" s="368"/>
      <c r="G9" s="377">
        <v>0</v>
      </c>
      <c r="H9" s="368"/>
      <c r="I9" s="377">
        <v>0</v>
      </c>
      <c r="J9" s="368"/>
      <c r="K9" s="377">
        <v>0</v>
      </c>
      <c r="L9" s="368"/>
      <c r="M9" s="377">
        <v>1127957.5656600648</v>
      </c>
      <c r="N9" s="368"/>
      <c r="O9" s="377">
        <f>M9</f>
        <v>1127957.5656600648</v>
      </c>
      <c r="P9" s="368"/>
      <c r="Q9" s="377">
        <f>O9</f>
        <v>1127957.5656600648</v>
      </c>
      <c r="T9" s="751"/>
      <c r="U9" s="751"/>
      <c r="W9" s="79"/>
      <c r="X9" s="79"/>
      <c r="Y9" s="79"/>
      <c r="Z9" s="79"/>
      <c r="AA9" s="79"/>
      <c r="AB9" s="79"/>
      <c r="AC9" s="79"/>
      <c r="AD9" s="79"/>
    </row>
    <row r="10" spans="1:30">
      <c r="A10" s="2">
        <f>A9+1</f>
        <v>5</v>
      </c>
      <c r="C10" s="752" t="s">
        <v>885</v>
      </c>
      <c r="D10" s="753"/>
      <c r="E10" s="756">
        <v>0</v>
      </c>
      <c r="F10" s="368"/>
      <c r="G10" s="756">
        <v>0</v>
      </c>
      <c r="H10" s="368"/>
      <c r="I10" s="756">
        <v>0</v>
      </c>
      <c r="J10" s="368"/>
      <c r="K10" s="756">
        <v>0</v>
      </c>
      <c r="L10" s="368"/>
      <c r="M10" s="756">
        <f>SUM(M8:M9)</f>
        <v>3109157.565660065</v>
      </c>
      <c r="N10" s="368"/>
      <c r="O10" s="756">
        <f>SUM(O8:O9)</f>
        <v>3109157.565660065</v>
      </c>
      <c r="P10" s="368"/>
      <c r="Q10" s="756">
        <f>SUM(Q8:Q9)</f>
        <v>3109157.565660065</v>
      </c>
    </row>
    <row r="11" spans="1:30">
      <c r="A11" s="2" t="str">
        <f>IF(C11&lt;&gt;"",MAX(A10:A10)+1,"")</f>
        <v/>
      </c>
      <c r="C11" s="29"/>
      <c r="D11" s="29"/>
      <c r="E11" s="366"/>
      <c r="F11" s="368"/>
      <c r="G11" s="366"/>
      <c r="H11" s="368"/>
      <c r="I11" s="366"/>
      <c r="J11" s="368"/>
      <c r="K11" s="366"/>
      <c r="L11" s="368"/>
      <c r="M11" s="366"/>
      <c r="N11" s="368"/>
      <c r="O11" s="366"/>
      <c r="P11" s="368"/>
      <c r="Q11" s="366"/>
    </row>
    <row r="12" spans="1:30">
      <c r="A12" s="2">
        <f>A10+1</f>
        <v>6</v>
      </c>
      <c r="C12" s="752" t="s">
        <v>886</v>
      </c>
      <c r="D12" s="753"/>
      <c r="E12" s="756"/>
      <c r="F12" s="368"/>
      <c r="G12" s="756"/>
      <c r="H12" s="368"/>
      <c r="I12" s="756"/>
      <c r="J12" s="368"/>
      <c r="K12" s="756"/>
      <c r="L12" s="368"/>
      <c r="M12" s="756"/>
      <c r="N12" s="368"/>
      <c r="O12" s="756"/>
      <c r="P12" s="368"/>
      <c r="Q12" s="756"/>
    </row>
    <row r="13" spans="1:30">
      <c r="A13" s="2"/>
      <c r="C13" s="29"/>
      <c r="D13" s="29"/>
      <c r="E13" s="382"/>
      <c r="F13" s="368"/>
      <c r="G13" s="382"/>
      <c r="H13" s="368"/>
      <c r="I13" s="382"/>
      <c r="J13" s="368"/>
      <c r="K13" s="382"/>
      <c r="L13" s="368"/>
      <c r="M13" s="382"/>
      <c r="N13" s="368"/>
      <c r="O13" s="382"/>
      <c r="P13" s="368"/>
      <c r="Q13" s="382"/>
    </row>
    <row r="14" spans="1:30">
      <c r="A14" s="2">
        <f>A12+1</f>
        <v>7</v>
      </c>
      <c r="C14" s="757" t="s">
        <v>887</v>
      </c>
      <c r="E14" s="377"/>
      <c r="F14" s="368"/>
      <c r="G14" s="377"/>
      <c r="H14" s="368"/>
      <c r="I14" s="377"/>
      <c r="J14" s="368"/>
      <c r="K14" s="377"/>
      <c r="L14" s="368"/>
      <c r="M14" s="377"/>
      <c r="N14" s="368"/>
      <c r="O14" s="377"/>
      <c r="P14" s="368"/>
      <c r="Q14" s="377"/>
    </row>
    <row r="15" spans="1:30">
      <c r="A15" s="2">
        <f t="shared" ref="A15:A23" si="0">A14+1</f>
        <v>8</v>
      </c>
      <c r="C15" s="758" t="s">
        <v>888</v>
      </c>
      <c r="E15" s="377"/>
      <c r="F15" s="368"/>
      <c r="G15" s="377"/>
      <c r="H15" s="368"/>
      <c r="I15" s="377"/>
      <c r="J15" s="368"/>
      <c r="K15" s="377"/>
      <c r="L15" s="368"/>
      <c r="M15" s="377"/>
      <c r="N15" s="368"/>
      <c r="O15" s="377"/>
      <c r="P15" s="368"/>
      <c r="Q15" s="377"/>
    </row>
    <row r="16" spans="1:30">
      <c r="A16" s="2">
        <f t="shared" si="0"/>
        <v>9</v>
      </c>
      <c r="C16" s="759" t="s">
        <v>889</v>
      </c>
      <c r="E16" s="377"/>
      <c r="F16" s="368"/>
      <c r="G16" s="377"/>
      <c r="H16" s="368"/>
      <c r="I16" s="377"/>
      <c r="J16" s="368"/>
      <c r="K16" s="377"/>
      <c r="L16" s="368"/>
      <c r="M16" s="377"/>
      <c r="N16" s="368"/>
      <c r="O16" s="377"/>
      <c r="P16" s="368"/>
      <c r="Q16" s="377"/>
    </row>
    <row r="17" spans="1:17">
      <c r="A17" s="2">
        <f t="shared" si="0"/>
        <v>10</v>
      </c>
      <c r="C17" s="760" t="s">
        <v>890</v>
      </c>
      <c r="E17" s="377">
        <v>0</v>
      </c>
      <c r="F17" s="368"/>
      <c r="G17" s="377">
        <v>0</v>
      </c>
      <c r="H17" s="368"/>
      <c r="I17" s="377">
        <v>0</v>
      </c>
      <c r="J17" s="368"/>
      <c r="K17" s="377">
        <v>0</v>
      </c>
      <c r="L17" s="368"/>
      <c r="M17" s="377">
        <v>11</v>
      </c>
      <c r="N17" s="368"/>
      <c r="O17" s="377">
        <f>M17</f>
        <v>11</v>
      </c>
      <c r="P17" s="368"/>
      <c r="Q17" s="377">
        <f>O17</f>
        <v>11</v>
      </c>
    </row>
    <row r="18" spans="1:17">
      <c r="A18" s="2">
        <f t="shared" si="0"/>
        <v>11</v>
      </c>
      <c r="C18" s="760" t="s">
        <v>891</v>
      </c>
      <c r="E18" s="377">
        <v>0</v>
      </c>
      <c r="F18" s="368"/>
      <c r="G18" s="377">
        <v>0</v>
      </c>
      <c r="H18" s="368"/>
      <c r="I18" s="377">
        <v>0</v>
      </c>
      <c r="J18" s="368"/>
      <c r="K18" s="377">
        <v>0</v>
      </c>
      <c r="L18" s="368"/>
      <c r="M18" s="377">
        <v>10011</v>
      </c>
      <c r="N18" s="368"/>
      <c r="O18" s="377">
        <f t="shared" ref="O18:Q23" si="1">M18</f>
        <v>10011</v>
      </c>
      <c r="P18" s="368"/>
      <c r="Q18" s="377">
        <f t="shared" si="1"/>
        <v>10011</v>
      </c>
    </row>
    <row r="19" spans="1:17">
      <c r="A19" s="2">
        <f t="shared" si="0"/>
        <v>12</v>
      </c>
      <c r="C19" s="760" t="s">
        <v>892</v>
      </c>
      <c r="E19" s="377">
        <v>0</v>
      </c>
      <c r="F19" s="368"/>
      <c r="G19" s="377">
        <v>0</v>
      </c>
      <c r="H19" s="368"/>
      <c r="I19" s="377">
        <v>0</v>
      </c>
      <c r="J19" s="368"/>
      <c r="K19" s="377">
        <v>0</v>
      </c>
      <c r="L19" s="368"/>
      <c r="M19" s="377">
        <v>74170</v>
      </c>
      <c r="N19" s="368"/>
      <c r="O19" s="377">
        <f t="shared" si="1"/>
        <v>74170</v>
      </c>
      <c r="P19" s="368"/>
      <c r="Q19" s="377">
        <f t="shared" si="1"/>
        <v>74170</v>
      </c>
    </row>
    <row r="20" spans="1:17">
      <c r="A20" s="2">
        <f t="shared" si="0"/>
        <v>13</v>
      </c>
      <c r="C20" s="760" t="s">
        <v>893</v>
      </c>
      <c r="E20" s="377">
        <v>0</v>
      </c>
      <c r="F20" s="368"/>
      <c r="G20" s="377">
        <v>0</v>
      </c>
      <c r="H20" s="368"/>
      <c r="I20" s="377">
        <v>0</v>
      </c>
      <c r="J20" s="368"/>
      <c r="K20" s="377">
        <v>0</v>
      </c>
      <c r="L20" s="368"/>
      <c r="M20" s="377">
        <v>610</v>
      </c>
      <c r="N20" s="368"/>
      <c r="O20" s="377">
        <f t="shared" si="1"/>
        <v>610</v>
      </c>
      <c r="P20" s="368"/>
      <c r="Q20" s="377">
        <f t="shared" si="1"/>
        <v>610</v>
      </c>
    </row>
    <row r="21" spans="1:17">
      <c r="A21" s="2">
        <f t="shared" si="0"/>
        <v>14</v>
      </c>
      <c r="C21" s="760" t="s">
        <v>894</v>
      </c>
      <c r="E21" s="377">
        <v>0</v>
      </c>
      <c r="F21" s="368"/>
      <c r="G21" s="377">
        <v>0</v>
      </c>
      <c r="H21" s="368"/>
      <c r="I21" s="377">
        <v>0</v>
      </c>
      <c r="J21" s="368"/>
      <c r="K21" s="377">
        <v>0</v>
      </c>
      <c r="L21" s="368"/>
      <c r="M21" s="377">
        <v>18448</v>
      </c>
      <c r="N21" s="368"/>
      <c r="O21" s="377">
        <f t="shared" si="1"/>
        <v>18448</v>
      </c>
      <c r="P21" s="368"/>
      <c r="Q21" s="377">
        <f t="shared" si="1"/>
        <v>18448</v>
      </c>
    </row>
    <row r="22" spans="1:17">
      <c r="A22" s="2">
        <f t="shared" si="0"/>
        <v>15</v>
      </c>
      <c r="C22" s="760" t="s">
        <v>895</v>
      </c>
      <c r="E22" s="377">
        <v>0</v>
      </c>
      <c r="F22" s="368"/>
      <c r="G22" s="377">
        <v>0</v>
      </c>
      <c r="H22" s="368"/>
      <c r="I22" s="377">
        <v>0</v>
      </c>
      <c r="J22" s="368"/>
      <c r="K22" s="377">
        <v>0</v>
      </c>
      <c r="L22" s="368"/>
      <c r="M22" s="377">
        <v>746</v>
      </c>
      <c r="N22" s="368"/>
      <c r="O22" s="377">
        <f t="shared" si="1"/>
        <v>746</v>
      </c>
      <c r="P22" s="368"/>
      <c r="Q22" s="377">
        <f t="shared" si="1"/>
        <v>746</v>
      </c>
    </row>
    <row r="23" spans="1:17">
      <c r="A23" s="2">
        <f t="shared" si="0"/>
        <v>16</v>
      </c>
      <c r="C23" s="760" t="s">
        <v>896</v>
      </c>
      <c r="E23" s="377">
        <v>0</v>
      </c>
      <c r="F23" s="368"/>
      <c r="G23" s="377">
        <v>0</v>
      </c>
      <c r="H23" s="368"/>
      <c r="I23" s="377">
        <v>0</v>
      </c>
      <c r="J23" s="368"/>
      <c r="K23" s="377">
        <v>0</v>
      </c>
      <c r="L23" s="368"/>
      <c r="M23" s="377">
        <v>1136</v>
      </c>
      <c r="N23" s="368"/>
      <c r="O23" s="377">
        <f t="shared" si="1"/>
        <v>1136</v>
      </c>
      <c r="P23" s="368"/>
      <c r="Q23" s="377">
        <f t="shared" si="1"/>
        <v>1136</v>
      </c>
    </row>
    <row r="24" spans="1:17">
      <c r="A24" s="2"/>
      <c r="C24" s="29"/>
      <c r="D24" s="29"/>
      <c r="E24" s="761"/>
      <c r="F24" s="368"/>
      <c r="G24" s="761"/>
      <c r="H24" s="368"/>
      <c r="I24" s="761"/>
      <c r="J24" s="368"/>
      <c r="K24" s="761"/>
      <c r="L24" s="368"/>
      <c r="M24" s="761"/>
      <c r="N24" s="368"/>
      <c r="O24" s="761"/>
      <c r="P24" s="368"/>
      <c r="Q24" s="761"/>
    </row>
    <row r="25" spans="1:17">
      <c r="A25" s="2">
        <f>A23+1</f>
        <v>17</v>
      </c>
      <c r="C25" s="758" t="s">
        <v>897</v>
      </c>
      <c r="E25" s="377"/>
      <c r="F25" s="368"/>
      <c r="G25" s="377"/>
      <c r="H25" s="368"/>
      <c r="I25" s="377"/>
      <c r="J25" s="368"/>
      <c r="K25" s="377"/>
      <c r="L25" s="368"/>
      <c r="M25" s="377"/>
      <c r="N25" s="368"/>
      <c r="O25" s="377"/>
      <c r="P25" s="368"/>
      <c r="Q25" s="377"/>
    </row>
    <row r="26" spans="1:17">
      <c r="A26" s="2">
        <f>A25+1</f>
        <v>18</v>
      </c>
      <c r="C26" s="759" t="s">
        <v>889</v>
      </c>
      <c r="E26" s="377"/>
      <c r="F26" s="368"/>
      <c r="G26" s="377"/>
      <c r="H26" s="368"/>
      <c r="I26" s="377"/>
      <c r="J26" s="368"/>
      <c r="K26" s="377"/>
      <c r="L26" s="368"/>
      <c r="M26" s="377"/>
      <c r="N26" s="368"/>
      <c r="O26" s="377"/>
      <c r="P26" s="368"/>
      <c r="Q26" s="377"/>
    </row>
    <row r="27" spans="1:17">
      <c r="A27" s="2">
        <f>A26+1</f>
        <v>19</v>
      </c>
      <c r="C27" s="760" t="s">
        <v>890</v>
      </c>
      <c r="E27" s="377">
        <v>0</v>
      </c>
      <c r="F27" s="368"/>
      <c r="G27" s="377">
        <v>0</v>
      </c>
      <c r="H27" s="368"/>
      <c r="I27" s="377">
        <v>0</v>
      </c>
      <c r="J27" s="368"/>
      <c r="K27" s="377">
        <v>0</v>
      </c>
      <c r="L27" s="368"/>
      <c r="M27" s="377">
        <v>35</v>
      </c>
      <c r="N27" s="368"/>
      <c r="O27" s="377">
        <f>M27</f>
        <v>35</v>
      </c>
      <c r="P27" s="368"/>
      <c r="Q27" s="377">
        <f>O27</f>
        <v>35</v>
      </c>
    </row>
    <row r="28" spans="1:17">
      <c r="A28" s="2">
        <f>A26+1</f>
        <v>19</v>
      </c>
      <c r="C28" s="760" t="s">
        <v>891</v>
      </c>
      <c r="E28" s="377"/>
      <c r="F28" s="368"/>
      <c r="G28" s="377"/>
      <c r="H28" s="368"/>
      <c r="I28" s="377"/>
      <c r="J28" s="368"/>
      <c r="K28" s="377"/>
      <c r="L28" s="368"/>
      <c r="M28" s="377">
        <v>57291</v>
      </c>
      <c r="N28" s="368"/>
      <c r="O28" s="377">
        <f t="shared" ref="O28:Q32" si="2">M28</f>
        <v>57291</v>
      </c>
      <c r="P28" s="368"/>
      <c r="Q28" s="377">
        <f t="shared" si="2"/>
        <v>57291</v>
      </c>
    </row>
    <row r="29" spans="1:17">
      <c r="A29" s="2">
        <f>A28+1</f>
        <v>20</v>
      </c>
      <c r="C29" s="760" t="s">
        <v>892</v>
      </c>
      <c r="E29" s="377"/>
      <c r="F29" s="368"/>
      <c r="G29" s="377"/>
      <c r="H29" s="368"/>
      <c r="I29" s="377"/>
      <c r="J29" s="368"/>
      <c r="K29" s="377"/>
      <c r="L29" s="368"/>
      <c r="M29" s="377">
        <v>262102</v>
      </c>
      <c r="N29" s="368"/>
      <c r="O29" s="377">
        <f t="shared" si="2"/>
        <v>262102</v>
      </c>
      <c r="P29" s="368"/>
      <c r="Q29" s="377">
        <f t="shared" si="2"/>
        <v>262102</v>
      </c>
    </row>
    <row r="30" spans="1:17">
      <c r="A30" s="2">
        <f>A29+1</f>
        <v>21</v>
      </c>
      <c r="C30" s="760" t="s">
        <v>893</v>
      </c>
      <c r="E30" s="377"/>
      <c r="F30" s="368"/>
      <c r="G30" s="377"/>
      <c r="H30" s="368"/>
      <c r="I30" s="377"/>
      <c r="J30" s="368"/>
      <c r="K30" s="377"/>
      <c r="L30" s="368"/>
      <c r="M30" s="377">
        <v>736</v>
      </c>
      <c r="N30" s="368"/>
      <c r="O30" s="377">
        <f t="shared" si="2"/>
        <v>736</v>
      </c>
      <c r="P30" s="368"/>
      <c r="Q30" s="377">
        <f t="shared" si="2"/>
        <v>736</v>
      </c>
    </row>
    <row r="31" spans="1:17">
      <c r="A31" s="2">
        <f>A29+1</f>
        <v>21</v>
      </c>
      <c r="C31" s="760" t="s">
        <v>894</v>
      </c>
      <c r="E31" s="377"/>
      <c r="F31" s="368"/>
      <c r="G31" s="377"/>
      <c r="H31" s="368"/>
      <c r="I31" s="377"/>
      <c r="J31" s="368"/>
      <c r="K31" s="377"/>
      <c r="L31" s="368"/>
      <c r="M31" s="377">
        <v>36502</v>
      </c>
      <c r="N31" s="368"/>
      <c r="O31" s="377">
        <f t="shared" si="2"/>
        <v>36502</v>
      </c>
      <c r="P31" s="368"/>
      <c r="Q31" s="377">
        <f t="shared" si="2"/>
        <v>36502</v>
      </c>
    </row>
    <row r="32" spans="1:17">
      <c r="A32" s="2">
        <f>A31+1</f>
        <v>22</v>
      </c>
      <c r="C32" s="760" t="s">
        <v>895</v>
      </c>
      <c r="E32" s="377"/>
      <c r="F32" s="368"/>
      <c r="G32" s="377"/>
      <c r="H32" s="368"/>
      <c r="I32" s="377"/>
      <c r="J32" s="368"/>
      <c r="K32" s="377"/>
      <c r="L32" s="368"/>
      <c r="M32" s="377">
        <v>139</v>
      </c>
      <c r="N32" s="368"/>
      <c r="O32" s="377">
        <f t="shared" si="2"/>
        <v>139</v>
      </c>
      <c r="P32" s="368"/>
      <c r="Q32" s="377">
        <f t="shared" si="2"/>
        <v>139</v>
      </c>
    </row>
    <row r="33" spans="1:17">
      <c r="A33" s="2"/>
      <c r="C33" s="29"/>
      <c r="D33" s="29"/>
      <c r="E33" s="761"/>
      <c r="F33" s="368"/>
      <c r="G33" s="761"/>
      <c r="H33" s="368"/>
      <c r="I33" s="761"/>
      <c r="J33" s="368"/>
      <c r="K33" s="761"/>
      <c r="L33" s="368"/>
      <c r="M33" s="761"/>
      <c r="N33" s="368"/>
      <c r="O33" s="761"/>
      <c r="P33" s="368"/>
      <c r="Q33" s="761"/>
    </row>
    <row r="34" spans="1:17">
      <c r="A34" s="2">
        <f>A32+1</f>
        <v>23</v>
      </c>
      <c r="C34" s="758" t="s">
        <v>898</v>
      </c>
      <c r="E34" s="377"/>
      <c r="F34" s="368"/>
      <c r="G34" s="377"/>
      <c r="H34" s="368"/>
      <c r="I34" s="377"/>
      <c r="J34" s="368"/>
      <c r="K34" s="377"/>
      <c r="L34" s="368"/>
      <c r="M34" s="377"/>
      <c r="N34" s="368"/>
      <c r="O34" s="377"/>
      <c r="P34" s="368"/>
      <c r="Q34" s="377"/>
    </row>
    <row r="35" spans="1:17">
      <c r="A35" s="2">
        <f>A34+1</f>
        <v>24</v>
      </c>
      <c r="C35" s="759" t="s">
        <v>889</v>
      </c>
      <c r="E35" s="377"/>
      <c r="F35" s="368"/>
      <c r="G35" s="377"/>
      <c r="H35" s="368"/>
      <c r="I35" s="377"/>
      <c r="J35" s="368"/>
      <c r="K35" s="377"/>
      <c r="L35" s="368"/>
      <c r="M35" s="377"/>
      <c r="N35" s="368"/>
      <c r="O35" s="377"/>
      <c r="P35" s="368"/>
      <c r="Q35" s="377"/>
    </row>
    <row r="36" spans="1:17">
      <c r="A36" s="2">
        <f>A35+1</f>
        <v>25</v>
      </c>
      <c r="C36" s="760" t="s">
        <v>899</v>
      </c>
      <c r="E36" s="377">
        <v>0</v>
      </c>
      <c r="F36" s="368"/>
      <c r="G36" s="377">
        <v>0</v>
      </c>
      <c r="H36" s="368"/>
      <c r="I36" s="377">
        <v>0</v>
      </c>
      <c r="J36" s="368"/>
      <c r="K36" s="377">
        <v>0</v>
      </c>
      <c r="L36" s="368"/>
      <c r="M36" s="377">
        <v>0</v>
      </c>
      <c r="N36" s="368"/>
      <c r="O36" s="377">
        <v>0</v>
      </c>
      <c r="P36" s="368"/>
      <c r="Q36" s="377">
        <v>0</v>
      </c>
    </row>
    <row r="37" spans="1:17">
      <c r="A37" s="2">
        <f>A35+1</f>
        <v>25</v>
      </c>
      <c r="C37" s="760" t="s">
        <v>900</v>
      </c>
      <c r="E37" s="377"/>
      <c r="F37" s="368"/>
      <c r="G37" s="377"/>
      <c r="H37" s="368"/>
      <c r="I37" s="377"/>
      <c r="J37" s="368"/>
      <c r="K37" s="377"/>
      <c r="L37" s="368"/>
      <c r="M37" s="377">
        <v>0</v>
      </c>
      <c r="N37" s="368"/>
      <c r="O37" s="377"/>
      <c r="P37" s="368"/>
      <c r="Q37" s="377"/>
    </row>
    <row r="38" spans="1:17">
      <c r="A38" s="2">
        <f>A37+1</f>
        <v>26</v>
      </c>
      <c r="C38" s="760" t="s">
        <v>901</v>
      </c>
      <c r="E38" s="377"/>
      <c r="F38" s="368"/>
      <c r="G38" s="377"/>
      <c r="H38" s="368"/>
      <c r="I38" s="377"/>
      <c r="J38" s="368"/>
      <c r="K38" s="377"/>
      <c r="L38" s="368"/>
      <c r="M38" s="377">
        <v>0</v>
      </c>
      <c r="N38" s="368"/>
      <c r="O38" s="377"/>
      <c r="P38" s="368"/>
      <c r="Q38" s="377"/>
    </row>
    <row r="39" spans="1:17">
      <c r="A39" s="2"/>
      <c r="C39" s="29"/>
      <c r="D39" s="29"/>
      <c r="E39" s="761"/>
      <c r="F39" s="368"/>
      <c r="G39" s="761"/>
      <c r="H39" s="368"/>
      <c r="I39" s="761"/>
      <c r="J39" s="368"/>
      <c r="K39" s="761"/>
      <c r="L39" s="368"/>
      <c r="M39" s="761"/>
      <c r="N39" s="368"/>
      <c r="O39" s="761"/>
      <c r="P39" s="368"/>
      <c r="Q39" s="761"/>
    </row>
    <row r="40" spans="1:17">
      <c r="A40" s="2">
        <f>A37+1</f>
        <v>26</v>
      </c>
      <c r="C40" s="758" t="s">
        <v>902</v>
      </c>
      <c r="E40" s="377"/>
      <c r="F40" s="368"/>
      <c r="G40" s="377"/>
      <c r="H40" s="368"/>
      <c r="I40" s="377"/>
      <c r="J40" s="368"/>
      <c r="K40" s="377"/>
      <c r="L40" s="368"/>
      <c r="M40" s="377"/>
      <c r="N40" s="368"/>
      <c r="O40" s="377"/>
      <c r="P40" s="368"/>
      <c r="Q40" s="377"/>
    </row>
    <row r="41" spans="1:17">
      <c r="A41" s="2">
        <f>A40+1</f>
        <v>27</v>
      </c>
      <c r="C41" s="759" t="s">
        <v>903</v>
      </c>
      <c r="E41" s="377"/>
      <c r="F41" s="368"/>
      <c r="G41" s="377"/>
      <c r="H41" s="368"/>
      <c r="I41" s="377"/>
      <c r="J41" s="368"/>
      <c r="K41" s="377"/>
      <c r="L41" s="368"/>
      <c r="M41" s="377"/>
      <c r="N41" s="368"/>
      <c r="O41" s="377"/>
      <c r="P41" s="368"/>
      <c r="Q41" s="377"/>
    </row>
    <row r="42" spans="1:17">
      <c r="A42" s="2">
        <f>A41+1</f>
        <v>28</v>
      </c>
      <c r="C42" s="760" t="s">
        <v>904</v>
      </c>
      <c r="E42" s="377">
        <v>0</v>
      </c>
      <c r="F42" s="368"/>
      <c r="G42" s="377">
        <v>0</v>
      </c>
      <c r="H42" s="368"/>
      <c r="I42" s="377">
        <v>0</v>
      </c>
      <c r="J42" s="368"/>
      <c r="K42" s="377">
        <v>0</v>
      </c>
      <c r="L42" s="368"/>
      <c r="M42" s="377">
        <v>731</v>
      </c>
      <c r="N42" s="368"/>
      <c r="O42" s="377">
        <f>M42</f>
        <v>731</v>
      </c>
      <c r="P42" s="368"/>
      <c r="Q42" s="377">
        <f>O42</f>
        <v>731</v>
      </c>
    </row>
    <row r="43" spans="1:17">
      <c r="A43" s="2">
        <f>A41+1</f>
        <v>28</v>
      </c>
      <c r="C43" s="760" t="s">
        <v>905</v>
      </c>
      <c r="E43" s="377"/>
      <c r="F43" s="368"/>
      <c r="G43" s="377"/>
      <c r="H43" s="368"/>
      <c r="I43" s="377"/>
      <c r="J43" s="368"/>
      <c r="K43" s="377"/>
      <c r="L43" s="368"/>
      <c r="M43" s="377">
        <v>25809</v>
      </c>
      <c r="N43" s="368"/>
      <c r="O43" s="377">
        <f t="shared" ref="O43:Q46" si="3">M43</f>
        <v>25809</v>
      </c>
      <c r="P43" s="368"/>
      <c r="Q43" s="377">
        <f t="shared" si="3"/>
        <v>25809</v>
      </c>
    </row>
    <row r="44" spans="1:17">
      <c r="A44" s="2">
        <f>A43+1</f>
        <v>29</v>
      </c>
      <c r="C44" s="760" t="s">
        <v>906</v>
      </c>
      <c r="E44" s="377"/>
      <c r="F44" s="368"/>
      <c r="G44" s="377"/>
      <c r="H44" s="368"/>
      <c r="I44" s="377"/>
      <c r="J44" s="368"/>
      <c r="K44" s="377"/>
      <c r="L44" s="368"/>
      <c r="M44" s="377">
        <v>3380</v>
      </c>
      <c r="N44" s="368"/>
      <c r="O44" s="377">
        <f t="shared" si="3"/>
        <v>3380</v>
      </c>
      <c r="P44" s="368"/>
      <c r="Q44" s="377">
        <f t="shared" si="3"/>
        <v>3380</v>
      </c>
    </row>
    <row r="45" spans="1:17">
      <c r="A45" s="2">
        <f>A44+1</f>
        <v>30</v>
      </c>
      <c r="C45" s="760" t="s">
        <v>907</v>
      </c>
      <c r="E45" s="377"/>
      <c r="F45" s="368"/>
      <c r="G45" s="377"/>
      <c r="H45" s="368"/>
      <c r="I45" s="377"/>
      <c r="J45" s="368"/>
      <c r="K45" s="377"/>
      <c r="L45" s="368"/>
      <c r="M45" s="377">
        <v>2223</v>
      </c>
      <c r="N45" s="368"/>
      <c r="O45" s="377">
        <f t="shared" si="3"/>
        <v>2223</v>
      </c>
      <c r="P45" s="368"/>
      <c r="Q45" s="377">
        <f t="shared" si="3"/>
        <v>2223</v>
      </c>
    </row>
    <row r="46" spans="1:17">
      <c r="A46" s="2">
        <f>A44+1</f>
        <v>30</v>
      </c>
      <c r="C46" s="760" t="s">
        <v>908</v>
      </c>
      <c r="E46" s="377"/>
      <c r="F46" s="368"/>
      <c r="G46" s="377"/>
      <c r="H46" s="368"/>
      <c r="I46" s="377"/>
      <c r="J46" s="368"/>
      <c r="K46" s="377"/>
      <c r="L46" s="368"/>
      <c r="M46" s="377">
        <v>4</v>
      </c>
      <c r="N46" s="368"/>
      <c r="O46" s="377">
        <f t="shared" si="3"/>
        <v>4</v>
      </c>
      <c r="P46" s="368"/>
      <c r="Q46" s="377">
        <f t="shared" si="3"/>
        <v>4</v>
      </c>
    </row>
    <row r="47" spans="1:17">
      <c r="A47" s="2"/>
      <c r="C47" s="29"/>
      <c r="D47" s="29"/>
      <c r="E47" s="761"/>
      <c r="F47" s="368"/>
      <c r="G47" s="761"/>
      <c r="H47" s="368"/>
      <c r="I47" s="761"/>
      <c r="J47" s="368"/>
      <c r="K47" s="761"/>
      <c r="L47" s="368"/>
      <c r="M47" s="761"/>
      <c r="N47" s="368"/>
      <c r="O47" s="761"/>
      <c r="P47" s="368"/>
      <c r="Q47" s="761"/>
    </row>
    <row r="48" spans="1:17">
      <c r="A48" s="2">
        <f>A46+1</f>
        <v>31</v>
      </c>
      <c r="C48" s="759" t="s">
        <v>909</v>
      </c>
      <c r="E48" s="377"/>
      <c r="F48" s="368"/>
      <c r="G48" s="377"/>
      <c r="H48" s="368"/>
      <c r="I48" s="377"/>
      <c r="J48" s="368"/>
      <c r="K48" s="377"/>
      <c r="L48" s="368"/>
      <c r="M48" s="377"/>
      <c r="N48" s="368"/>
      <c r="O48" s="377"/>
      <c r="P48" s="368"/>
      <c r="Q48" s="377"/>
    </row>
    <row r="49" spans="1:17">
      <c r="A49" s="2">
        <f>A48+1</f>
        <v>32</v>
      </c>
      <c r="C49" s="760" t="s">
        <v>904</v>
      </c>
      <c r="E49" s="377">
        <v>0</v>
      </c>
      <c r="F49" s="368"/>
      <c r="G49" s="377">
        <v>0</v>
      </c>
      <c r="H49" s="368"/>
      <c r="I49" s="377">
        <v>0</v>
      </c>
      <c r="J49" s="368"/>
      <c r="K49" s="377">
        <v>0</v>
      </c>
      <c r="L49" s="368"/>
      <c r="M49" s="377">
        <v>9860</v>
      </c>
      <c r="N49" s="368"/>
      <c r="O49" s="377">
        <f>M49</f>
        <v>9860</v>
      </c>
      <c r="P49" s="368"/>
      <c r="Q49" s="377">
        <f>O49</f>
        <v>9860</v>
      </c>
    </row>
    <row r="50" spans="1:17">
      <c r="A50" s="2">
        <f>A48+1</f>
        <v>32</v>
      </c>
      <c r="C50" s="760" t="s">
        <v>905</v>
      </c>
      <c r="E50" s="377"/>
      <c r="F50" s="368"/>
      <c r="G50" s="377"/>
      <c r="H50" s="368"/>
      <c r="I50" s="377"/>
      <c r="J50" s="368"/>
      <c r="K50" s="377"/>
      <c r="L50" s="368"/>
      <c r="M50" s="377">
        <v>11308</v>
      </c>
      <c r="N50" s="368"/>
      <c r="O50" s="377">
        <f t="shared" ref="O50:Q52" si="4">M50</f>
        <v>11308</v>
      </c>
      <c r="P50" s="368"/>
      <c r="Q50" s="377">
        <f t="shared" si="4"/>
        <v>11308</v>
      </c>
    </row>
    <row r="51" spans="1:17">
      <c r="A51" s="2">
        <f>A50+1</f>
        <v>33</v>
      </c>
      <c r="C51" s="760" t="s">
        <v>906</v>
      </c>
      <c r="E51" s="377"/>
      <c r="F51" s="368"/>
      <c r="G51" s="377"/>
      <c r="H51" s="368"/>
      <c r="I51" s="377"/>
      <c r="J51" s="368"/>
      <c r="K51" s="377"/>
      <c r="L51" s="368"/>
      <c r="M51" s="377">
        <v>876</v>
      </c>
      <c r="N51" s="368"/>
      <c r="O51" s="377">
        <f t="shared" si="4"/>
        <v>876</v>
      </c>
      <c r="P51" s="368"/>
      <c r="Q51" s="377">
        <f t="shared" si="4"/>
        <v>876</v>
      </c>
    </row>
    <row r="52" spans="1:17">
      <c r="A52" s="2">
        <f>A51+1</f>
        <v>34</v>
      </c>
      <c r="C52" s="760" t="s">
        <v>907</v>
      </c>
      <c r="E52" s="377"/>
      <c r="F52" s="368"/>
      <c r="G52" s="377"/>
      <c r="H52" s="368"/>
      <c r="I52" s="377"/>
      <c r="J52" s="368"/>
      <c r="K52" s="377"/>
      <c r="L52" s="368"/>
      <c r="M52" s="377">
        <v>486</v>
      </c>
      <c r="N52" s="368"/>
      <c r="O52" s="377">
        <f t="shared" si="4"/>
        <v>486</v>
      </c>
      <c r="P52" s="368"/>
      <c r="Q52" s="377">
        <f t="shared" si="4"/>
        <v>486</v>
      </c>
    </row>
    <row r="53" spans="1:17">
      <c r="A53" s="2"/>
      <c r="C53" s="29"/>
      <c r="D53" s="29"/>
      <c r="E53" s="761"/>
      <c r="F53" s="368"/>
      <c r="G53" s="761"/>
      <c r="H53" s="368"/>
      <c r="I53" s="761"/>
      <c r="J53" s="368"/>
      <c r="K53" s="761"/>
      <c r="L53" s="368"/>
      <c r="M53" s="761"/>
      <c r="N53" s="368"/>
      <c r="O53" s="761"/>
      <c r="P53" s="368"/>
      <c r="Q53" s="761"/>
    </row>
    <row r="54" spans="1:17" ht="30">
      <c r="A54" s="2">
        <f>A52+1</f>
        <v>35</v>
      </c>
      <c r="C54" s="762" t="s">
        <v>910</v>
      </c>
      <c r="D54" s="753"/>
      <c r="E54" s="763"/>
      <c r="F54" s="764"/>
      <c r="G54" s="763"/>
      <c r="H54" s="764"/>
      <c r="I54" s="763"/>
      <c r="J54" s="764"/>
      <c r="K54" s="763"/>
      <c r="L54" s="764"/>
      <c r="M54" s="763"/>
      <c r="N54" s="764"/>
      <c r="O54" s="763"/>
      <c r="P54" s="764"/>
      <c r="Q54" s="763"/>
    </row>
    <row r="55" spans="1:17">
      <c r="A55" s="2"/>
      <c r="C55" s="757"/>
      <c r="D55" s="29"/>
      <c r="E55" s="761"/>
      <c r="F55" s="368"/>
      <c r="G55" s="761"/>
      <c r="H55" s="368"/>
      <c r="I55" s="761"/>
      <c r="J55" s="368"/>
      <c r="K55" s="761"/>
      <c r="L55" s="368"/>
      <c r="M55" s="761"/>
      <c r="N55" s="368"/>
      <c r="O55" s="761"/>
      <c r="P55" s="368"/>
      <c r="Q55" s="761"/>
    </row>
    <row r="56" spans="1:17">
      <c r="A56" s="2">
        <f>A54+1</f>
        <v>36</v>
      </c>
      <c r="C56" s="757" t="s">
        <v>887</v>
      </c>
      <c r="D56" s="29"/>
      <c r="E56" s="761"/>
      <c r="F56" s="368"/>
      <c r="G56" s="761"/>
      <c r="H56" s="368"/>
      <c r="I56" s="761"/>
      <c r="J56" s="368"/>
      <c r="K56" s="761"/>
      <c r="L56" s="368"/>
      <c r="M56" s="761"/>
      <c r="N56" s="368"/>
      <c r="O56" s="761"/>
      <c r="P56" s="368"/>
      <c r="Q56" s="761"/>
    </row>
    <row r="57" spans="1:17">
      <c r="A57" s="2"/>
      <c r="C57" s="29"/>
      <c r="D57" s="29"/>
      <c r="E57" s="761"/>
      <c r="F57" s="368"/>
      <c r="G57" s="761"/>
      <c r="H57" s="368"/>
      <c r="I57" s="761"/>
      <c r="J57" s="368"/>
      <c r="K57" s="761"/>
      <c r="L57" s="368"/>
      <c r="M57" s="761"/>
      <c r="N57" s="368"/>
      <c r="O57" s="761"/>
      <c r="P57" s="368"/>
      <c r="Q57" s="761"/>
    </row>
    <row r="58" spans="1:17">
      <c r="A58" s="2">
        <f>A56+1</f>
        <v>37</v>
      </c>
      <c r="C58" s="759" t="s">
        <v>825</v>
      </c>
      <c r="E58" s="377"/>
      <c r="F58" s="368"/>
      <c r="G58" s="377"/>
      <c r="H58" s="368"/>
      <c r="I58" s="377"/>
      <c r="J58" s="368"/>
      <c r="K58" s="377"/>
      <c r="L58" s="368"/>
      <c r="M58" s="377">
        <v>225</v>
      </c>
      <c r="N58" s="368"/>
      <c r="O58" s="377">
        <v>225</v>
      </c>
      <c r="P58" s="368"/>
      <c r="Q58" s="377">
        <v>225</v>
      </c>
    </row>
    <row r="59" spans="1:17">
      <c r="A59" s="2">
        <f>A58+1</f>
        <v>38</v>
      </c>
      <c r="C59" s="759" t="s">
        <v>911</v>
      </c>
      <c r="E59" s="377"/>
      <c r="F59" s="368"/>
      <c r="G59" s="377"/>
      <c r="H59" s="368"/>
      <c r="I59" s="377"/>
      <c r="J59" s="368"/>
      <c r="K59" s="377"/>
      <c r="L59" s="368"/>
      <c r="M59" s="377"/>
      <c r="N59" s="368"/>
      <c r="O59" s="377"/>
      <c r="P59" s="368"/>
      <c r="Q59" s="377"/>
    </row>
    <row r="60" spans="1:17">
      <c r="A60" s="2">
        <f>A59+1</f>
        <v>39</v>
      </c>
      <c r="C60" s="760" t="s">
        <v>912</v>
      </c>
      <c r="E60" s="377">
        <v>0</v>
      </c>
      <c r="F60" s="368"/>
      <c r="G60" s="377">
        <v>0</v>
      </c>
      <c r="H60" s="368"/>
      <c r="I60" s="377">
        <v>0</v>
      </c>
      <c r="J60" s="368"/>
      <c r="K60" s="377">
        <v>0</v>
      </c>
      <c r="L60" s="368"/>
      <c r="M60" s="377">
        <v>2880173</v>
      </c>
      <c r="N60" s="368"/>
      <c r="O60" s="377">
        <f>M60</f>
        <v>2880173</v>
      </c>
      <c r="P60" s="368"/>
      <c r="Q60" s="377">
        <f>O60</f>
        <v>2880173</v>
      </c>
    </row>
    <row r="61" spans="1:17">
      <c r="A61" s="2">
        <f>A59+1</f>
        <v>39</v>
      </c>
      <c r="C61" s="759" t="s">
        <v>903</v>
      </c>
      <c r="E61" s="377"/>
      <c r="F61" s="368"/>
      <c r="G61" s="377"/>
      <c r="H61" s="368"/>
      <c r="I61" s="377"/>
      <c r="J61" s="368"/>
      <c r="K61" s="377"/>
      <c r="L61" s="368"/>
      <c r="M61" s="377"/>
      <c r="N61" s="368"/>
      <c r="O61" s="377"/>
      <c r="P61" s="368"/>
      <c r="Q61" s="377"/>
    </row>
    <row r="62" spans="1:17">
      <c r="A62" s="2">
        <f>A61+1</f>
        <v>40</v>
      </c>
      <c r="C62" s="760" t="s">
        <v>890</v>
      </c>
      <c r="E62" s="377">
        <v>0</v>
      </c>
      <c r="F62" s="368"/>
      <c r="G62" s="377">
        <v>0</v>
      </c>
      <c r="H62" s="368"/>
      <c r="I62" s="377">
        <v>0</v>
      </c>
      <c r="J62" s="368"/>
      <c r="K62" s="377">
        <v>0</v>
      </c>
      <c r="L62" s="368"/>
      <c r="M62" s="377">
        <v>0</v>
      </c>
      <c r="N62" s="368"/>
      <c r="O62" s="377">
        <v>0</v>
      </c>
      <c r="P62" s="368"/>
      <c r="Q62" s="377">
        <v>0</v>
      </c>
    </row>
    <row r="63" spans="1:17">
      <c r="A63" s="2">
        <f>A62+1</f>
        <v>41</v>
      </c>
      <c r="C63" s="760" t="s">
        <v>891</v>
      </c>
      <c r="E63" s="377"/>
      <c r="F63" s="368"/>
      <c r="G63" s="377"/>
      <c r="H63" s="368"/>
      <c r="I63" s="377"/>
      <c r="J63" s="368"/>
      <c r="K63" s="377"/>
      <c r="L63" s="368"/>
      <c r="M63" s="377"/>
      <c r="N63" s="368"/>
      <c r="O63" s="377"/>
      <c r="P63" s="368"/>
      <c r="Q63" s="377"/>
    </row>
    <row r="64" spans="1:17">
      <c r="A64" s="2">
        <f>A62+1</f>
        <v>41</v>
      </c>
      <c r="C64" s="760" t="s">
        <v>892</v>
      </c>
      <c r="E64" s="377"/>
      <c r="F64" s="368"/>
      <c r="G64" s="377"/>
      <c r="H64" s="368"/>
      <c r="I64" s="377"/>
      <c r="J64" s="368"/>
      <c r="K64" s="377"/>
      <c r="L64" s="368"/>
      <c r="M64" s="377"/>
      <c r="N64" s="368"/>
      <c r="O64" s="377"/>
      <c r="P64" s="368"/>
      <c r="Q64" s="377"/>
    </row>
    <row r="65" spans="1:17">
      <c r="A65" s="2">
        <f>A64+1</f>
        <v>42</v>
      </c>
      <c r="C65" s="760" t="s">
        <v>893</v>
      </c>
      <c r="E65" s="377"/>
      <c r="F65" s="368"/>
      <c r="G65" s="377"/>
      <c r="H65" s="368"/>
      <c r="I65" s="377"/>
      <c r="J65" s="368"/>
      <c r="K65" s="377"/>
      <c r="L65" s="368"/>
      <c r="M65" s="377"/>
      <c r="N65" s="368"/>
      <c r="O65" s="377"/>
      <c r="P65" s="368"/>
      <c r="Q65" s="377"/>
    </row>
    <row r="66" spans="1:17">
      <c r="A66" s="2">
        <f>A65+1</f>
        <v>43</v>
      </c>
      <c r="C66" s="760" t="s">
        <v>894</v>
      </c>
      <c r="E66" s="377"/>
      <c r="F66" s="368"/>
      <c r="G66" s="377"/>
      <c r="H66" s="368"/>
      <c r="I66" s="377"/>
      <c r="J66" s="368"/>
      <c r="K66" s="377"/>
      <c r="L66" s="368"/>
      <c r="M66" s="377"/>
      <c r="N66" s="368"/>
      <c r="O66" s="377"/>
      <c r="P66" s="368"/>
      <c r="Q66" s="377"/>
    </row>
    <row r="67" spans="1:17">
      <c r="A67" s="2">
        <f>A65+1</f>
        <v>43</v>
      </c>
      <c r="C67" s="760" t="s">
        <v>895</v>
      </c>
      <c r="E67" s="377"/>
      <c r="F67" s="368"/>
      <c r="G67" s="377"/>
      <c r="H67" s="368"/>
      <c r="I67" s="377"/>
      <c r="J67" s="368"/>
      <c r="K67" s="377"/>
      <c r="L67" s="368"/>
      <c r="M67" s="377"/>
      <c r="N67" s="368"/>
      <c r="O67" s="377"/>
      <c r="P67" s="368"/>
      <c r="Q67" s="377"/>
    </row>
    <row r="68" spans="1:17">
      <c r="A68" s="2">
        <f>A67+1</f>
        <v>44</v>
      </c>
      <c r="C68" s="760" t="s">
        <v>896</v>
      </c>
      <c r="E68" s="377"/>
      <c r="F68" s="368"/>
      <c r="G68" s="377"/>
      <c r="H68" s="368"/>
      <c r="I68" s="377"/>
      <c r="J68" s="368"/>
      <c r="K68" s="377"/>
      <c r="L68" s="368"/>
      <c r="M68" s="377"/>
      <c r="N68" s="368"/>
      <c r="O68" s="377"/>
      <c r="P68" s="368"/>
      <c r="Q68" s="377"/>
    </row>
    <row r="69" spans="1:17">
      <c r="A69" s="2">
        <f>A68+1</f>
        <v>45</v>
      </c>
      <c r="C69" s="760" t="s">
        <v>913</v>
      </c>
      <c r="E69" s="377"/>
      <c r="F69" s="368"/>
      <c r="G69" s="377"/>
      <c r="H69" s="368"/>
      <c r="I69" s="377"/>
      <c r="J69" s="368"/>
      <c r="K69" s="377"/>
      <c r="L69" s="368"/>
      <c r="M69" s="377"/>
      <c r="N69" s="368"/>
      <c r="O69" s="377"/>
      <c r="P69" s="368"/>
      <c r="Q69" s="377"/>
    </row>
    <row r="70" spans="1:17">
      <c r="A70" s="2"/>
      <c r="C70" s="757"/>
      <c r="D70" s="29"/>
      <c r="E70" s="761"/>
      <c r="F70" s="368"/>
      <c r="G70" s="761"/>
      <c r="H70" s="368"/>
      <c r="I70" s="761"/>
      <c r="J70" s="368"/>
      <c r="K70" s="761"/>
      <c r="L70" s="368"/>
      <c r="M70" s="761"/>
      <c r="N70" s="368"/>
      <c r="O70" s="761"/>
      <c r="P70" s="368"/>
      <c r="Q70" s="761"/>
    </row>
    <row r="71" spans="1:17" ht="30">
      <c r="A71" s="2">
        <f>A69+1</f>
        <v>46</v>
      </c>
      <c r="C71" s="762" t="s">
        <v>914</v>
      </c>
      <c r="D71" s="753"/>
      <c r="E71" s="763"/>
      <c r="F71" s="764"/>
      <c r="G71" s="763"/>
      <c r="H71" s="764"/>
      <c r="I71" s="763"/>
      <c r="J71" s="764"/>
      <c r="K71" s="763"/>
      <c r="L71" s="764"/>
      <c r="M71" s="763"/>
      <c r="N71" s="764"/>
      <c r="O71" s="763"/>
      <c r="P71" s="764"/>
      <c r="Q71" s="763"/>
    </row>
    <row r="72" spans="1:17">
      <c r="A72" s="2"/>
      <c r="C72" s="757"/>
      <c r="D72" s="29"/>
      <c r="E72" s="761"/>
      <c r="F72" s="368"/>
      <c r="G72" s="761"/>
      <c r="H72" s="368"/>
      <c r="I72" s="761"/>
      <c r="J72" s="368"/>
      <c r="K72" s="761"/>
      <c r="L72" s="368"/>
      <c r="M72" s="761"/>
      <c r="N72" s="368"/>
      <c r="O72" s="761"/>
      <c r="P72" s="368"/>
      <c r="Q72" s="761"/>
    </row>
    <row r="73" spans="1:17">
      <c r="A73" s="2">
        <f>A71+1</f>
        <v>47</v>
      </c>
      <c r="C73" s="757" t="s">
        <v>915</v>
      </c>
      <c r="D73" s="29"/>
      <c r="E73" s="761"/>
      <c r="F73" s="368"/>
      <c r="G73" s="761"/>
      <c r="H73" s="368"/>
      <c r="I73" s="761"/>
      <c r="J73" s="368"/>
      <c r="K73" s="761"/>
      <c r="L73" s="368"/>
      <c r="M73" s="761"/>
      <c r="N73" s="368"/>
      <c r="O73" s="761"/>
      <c r="P73" s="368"/>
      <c r="Q73" s="761"/>
    </row>
    <row r="74" spans="1:17">
      <c r="A74" s="2"/>
      <c r="C74" s="757"/>
      <c r="D74" s="29"/>
      <c r="E74" s="761"/>
      <c r="F74" s="368"/>
      <c r="G74" s="761"/>
      <c r="H74" s="368"/>
      <c r="I74" s="761"/>
      <c r="J74" s="368"/>
      <c r="K74" s="761"/>
      <c r="L74" s="368"/>
      <c r="M74" s="761"/>
      <c r="N74" s="368"/>
      <c r="O74" s="761"/>
      <c r="P74" s="368"/>
      <c r="Q74" s="761"/>
    </row>
    <row r="75" spans="1:17">
      <c r="A75" s="2">
        <f>A73+1</f>
        <v>48</v>
      </c>
      <c r="C75" s="758" t="s">
        <v>916</v>
      </c>
      <c r="D75" s="29"/>
      <c r="E75" s="761"/>
      <c r="F75" s="368"/>
      <c r="G75" s="761"/>
      <c r="H75" s="368"/>
      <c r="I75" s="761"/>
      <c r="J75" s="368"/>
      <c r="K75" s="761"/>
      <c r="L75" s="368"/>
      <c r="M75" s="761"/>
      <c r="N75" s="368"/>
      <c r="O75" s="761"/>
      <c r="P75" s="368"/>
      <c r="Q75" s="761"/>
    </row>
    <row r="76" spans="1:17">
      <c r="A76" s="2">
        <f>A75+1</f>
        <v>49</v>
      </c>
      <c r="C76" s="759" t="s">
        <v>917</v>
      </c>
      <c r="E76" s="377"/>
      <c r="F76" s="368"/>
      <c r="G76" s="377"/>
      <c r="H76" s="368"/>
      <c r="I76" s="377"/>
      <c r="J76" s="368"/>
      <c r="K76" s="377"/>
      <c r="L76" s="368"/>
      <c r="M76" s="377"/>
      <c r="N76" s="368"/>
      <c r="O76" s="377"/>
      <c r="P76" s="368"/>
      <c r="Q76" s="377"/>
    </row>
    <row r="77" spans="1:17">
      <c r="A77" s="2">
        <f>A76+1</f>
        <v>50</v>
      </c>
      <c r="C77" s="760" t="s">
        <v>890</v>
      </c>
      <c r="E77" s="377">
        <v>0</v>
      </c>
      <c r="F77" s="368"/>
      <c r="G77" s="377">
        <v>0</v>
      </c>
      <c r="H77" s="368"/>
      <c r="I77" s="377">
        <v>0</v>
      </c>
      <c r="J77" s="368"/>
      <c r="K77" s="377">
        <v>0</v>
      </c>
      <c r="L77" s="368"/>
      <c r="M77" s="377">
        <v>131</v>
      </c>
      <c r="N77" s="368"/>
      <c r="O77" s="377">
        <f>M77</f>
        <v>131</v>
      </c>
      <c r="P77" s="368"/>
      <c r="Q77" s="377">
        <f>O77</f>
        <v>131</v>
      </c>
    </row>
    <row r="78" spans="1:17">
      <c r="A78" s="2">
        <f>A77+1</f>
        <v>51</v>
      </c>
      <c r="C78" s="760" t="s">
        <v>891</v>
      </c>
      <c r="E78" s="377"/>
      <c r="F78" s="368"/>
      <c r="G78" s="377"/>
      <c r="H78" s="368"/>
      <c r="I78" s="377"/>
      <c r="J78" s="368"/>
      <c r="K78" s="377"/>
      <c r="L78" s="368"/>
      <c r="M78" s="377">
        <v>191</v>
      </c>
      <c r="N78" s="368"/>
      <c r="O78" s="377">
        <f t="shared" ref="O78:Q82" si="5">M78</f>
        <v>191</v>
      </c>
      <c r="P78" s="368"/>
      <c r="Q78" s="377">
        <f t="shared" si="5"/>
        <v>191</v>
      </c>
    </row>
    <row r="79" spans="1:17">
      <c r="A79" s="2">
        <f>A77+1</f>
        <v>51</v>
      </c>
      <c r="C79" s="760" t="s">
        <v>892</v>
      </c>
      <c r="E79" s="377"/>
      <c r="F79" s="368"/>
      <c r="G79" s="377"/>
      <c r="H79" s="368"/>
      <c r="I79" s="377"/>
      <c r="J79" s="368"/>
      <c r="K79" s="377"/>
      <c r="L79" s="368"/>
      <c r="M79" s="377">
        <v>655</v>
      </c>
      <c r="N79" s="368"/>
      <c r="O79" s="377">
        <f t="shared" si="5"/>
        <v>655</v>
      </c>
      <c r="P79" s="368"/>
      <c r="Q79" s="377">
        <f t="shared" si="5"/>
        <v>655</v>
      </c>
    </row>
    <row r="80" spans="1:17">
      <c r="A80" s="2">
        <f>A79+1</f>
        <v>52</v>
      </c>
      <c r="C80" s="760" t="s">
        <v>893</v>
      </c>
      <c r="E80" s="377"/>
      <c r="F80" s="368"/>
      <c r="G80" s="377"/>
      <c r="H80" s="368"/>
      <c r="I80" s="377"/>
      <c r="J80" s="368"/>
      <c r="K80" s="377"/>
      <c r="L80" s="368"/>
      <c r="M80" s="377">
        <v>11</v>
      </c>
      <c r="N80" s="368"/>
      <c r="O80" s="377">
        <f t="shared" si="5"/>
        <v>11</v>
      </c>
      <c r="P80" s="368"/>
      <c r="Q80" s="377">
        <f t="shared" si="5"/>
        <v>11</v>
      </c>
    </row>
    <row r="81" spans="1:17">
      <c r="A81" s="2">
        <f>A80+1</f>
        <v>53</v>
      </c>
      <c r="C81" s="760" t="s">
        <v>894</v>
      </c>
      <c r="E81" s="377"/>
      <c r="F81" s="368"/>
      <c r="G81" s="377"/>
      <c r="H81" s="368"/>
      <c r="I81" s="377"/>
      <c r="J81" s="368"/>
      <c r="K81" s="377"/>
      <c r="L81" s="368"/>
      <c r="M81" s="377">
        <v>120</v>
      </c>
      <c r="N81" s="368"/>
      <c r="O81" s="377">
        <f t="shared" si="5"/>
        <v>120</v>
      </c>
      <c r="P81" s="368"/>
      <c r="Q81" s="377">
        <f t="shared" si="5"/>
        <v>120</v>
      </c>
    </row>
    <row r="82" spans="1:17">
      <c r="A82" s="2">
        <f>A80+1</f>
        <v>53</v>
      </c>
      <c r="C82" s="760" t="s">
        <v>895</v>
      </c>
      <c r="E82" s="377"/>
      <c r="F82" s="368"/>
      <c r="G82" s="377"/>
      <c r="H82" s="368"/>
      <c r="I82" s="377"/>
      <c r="J82" s="368"/>
      <c r="K82" s="377"/>
      <c r="L82" s="368"/>
      <c r="M82" s="377">
        <v>1</v>
      </c>
      <c r="N82" s="368"/>
      <c r="O82" s="377">
        <f t="shared" si="5"/>
        <v>1</v>
      </c>
      <c r="P82" s="368"/>
      <c r="Q82" s="377">
        <f t="shared" si="5"/>
        <v>1</v>
      </c>
    </row>
    <row r="83" spans="1:17">
      <c r="A83" s="2"/>
      <c r="C83" s="757"/>
      <c r="D83" s="29"/>
      <c r="E83" s="761"/>
      <c r="F83" s="368"/>
      <c r="G83" s="761"/>
      <c r="H83" s="368"/>
      <c r="I83" s="761"/>
      <c r="J83" s="368"/>
      <c r="K83" s="761"/>
      <c r="L83" s="368"/>
      <c r="M83" s="761"/>
      <c r="N83" s="368"/>
      <c r="O83" s="761"/>
      <c r="P83" s="368"/>
      <c r="Q83" s="761"/>
    </row>
    <row r="84" spans="1:17">
      <c r="A84" s="2">
        <f>A82+1</f>
        <v>54</v>
      </c>
      <c r="C84" s="758" t="s">
        <v>918</v>
      </c>
      <c r="D84" s="29"/>
      <c r="E84" s="761"/>
      <c r="F84" s="368"/>
      <c r="G84" s="761"/>
      <c r="H84" s="368"/>
      <c r="I84" s="761"/>
      <c r="J84" s="368"/>
      <c r="K84" s="761"/>
      <c r="L84" s="368"/>
      <c r="M84" s="761"/>
      <c r="N84" s="368"/>
      <c r="O84" s="761"/>
      <c r="P84" s="368"/>
      <c r="Q84" s="761"/>
    </row>
    <row r="85" spans="1:17">
      <c r="A85" s="2">
        <f>A84+1</f>
        <v>55</v>
      </c>
      <c r="C85" s="759" t="s">
        <v>919</v>
      </c>
      <c r="E85" s="377"/>
      <c r="F85" s="368"/>
      <c r="G85" s="377"/>
      <c r="H85" s="368"/>
      <c r="I85" s="377"/>
      <c r="J85" s="368"/>
      <c r="K85" s="377"/>
      <c r="L85" s="368"/>
      <c r="M85" s="377"/>
      <c r="N85" s="368"/>
      <c r="O85" s="377"/>
      <c r="P85" s="368"/>
      <c r="Q85" s="377"/>
    </row>
    <row r="86" spans="1:17">
      <c r="A86" s="2">
        <f>A85+1</f>
        <v>56</v>
      </c>
      <c r="C86" s="760" t="s">
        <v>920</v>
      </c>
      <c r="E86" s="377">
        <v>0</v>
      </c>
      <c r="F86" s="368"/>
      <c r="G86" s="377">
        <v>0</v>
      </c>
      <c r="H86" s="368"/>
      <c r="I86" s="377">
        <v>0</v>
      </c>
      <c r="J86" s="368"/>
      <c r="K86" s="377">
        <v>0</v>
      </c>
      <c r="L86" s="368"/>
      <c r="M86" s="377">
        <v>1182</v>
      </c>
      <c r="N86" s="368"/>
      <c r="O86" s="377">
        <v>1182</v>
      </c>
      <c r="P86" s="368"/>
      <c r="Q86" s="377">
        <v>1182</v>
      </c>
    </row>
    <row r="87" spans="1:17">
      <c r="A87" s="2"/>
      <c r="C87" s="757"/>
      <c r="D87" s="29"/>
      <c r="E87" s="761"/>
      <c r="F87" s="368"/>
      <c r="G87" s="761"/>
      <c r="H87" s="368"/>
      <c r="I87" s="761"/>
      <c r="J87" s="368"/>
      <c r="K87" s="761"/>
      <c r="L87" s="368"/>
      <c r="M87" s="761"/>
      <c r="N87" s="368"/>
      <c r="O87" s="761"/>
      <c r="P87" s="368"/>
      <c r="Q87" s="761"/>
    </row>
    <row r="88" spans="1:17">
      <c r="A88" s="2">
        <f>A86+1</f>
        <v>57</v>
      </c>
      <c r="C88" s="762" t="s">
        <v>921</v>
      </c>
      <c r="D88" s="753"/>
      <c r="E88" s="763"/>
      <c r="F88" s="764"/>
      <c r="G88" s="763"/>
      <c r="H88" s="764"/>
      <c r="I88" s="763"/>
      <c r="J88" s="764"/>
      <c r="K88" s="763"/>
      <c r="L88" s="764"/>
      <c r="M88" s="763"/>
      <c r="N88" s="764"/>
      <c r="O88" s="763"/>
      <c r="P88" s="764"/>
      <c r="Q88" s="763"/>
    </row>
    <row r="89" spans="1:17">
      <c r="A89" s="2"/>
      <c r="C89" s="757"/>
      <c r="D89" s="29"/>
      <c r="E89" s="761"/>
      <c r="F89" s="368"/>
      <c r="G89" s="761"/>
      <c r="H89" s="368"/>
      <c r="I89" s="761"/>
      <c r="J89" s="368"/>
      <c r="K89" s="761"/>
      <c r="L89" s="368"/>
      <c r="M89" s="761"/>
      <c r="N89" s="368"/>
      <c r="O89" s="761"/>
      <c r="P89" s="368"/>
      <c r="Q89" s="761"/>
    </row>
    <row r="90" spans="1:17">
      <c r="A90" s="2">
        <f>A88+1</f>
        <v>58</v>
      </c>
      <c r="C90" s="757" t="s">
        <v>922</v>
      </c>
      <c r="D90" s="29"/>
      <c r="E90" s="761"/>
      <c r="F90" s="368"/>
      <c r="G90" s="761"/>
      <c r="H90" s="368"/>
      <c r="I90" s="761"/>
      <c r="J90" s="368"/>
      <c r="K90" s="761"/>
      <c r="L90" s="368"/>
      <c r="M90" s="761"/>
      <c r="N90" s="368"/>
      <c r="O90" s="761"/>
      <c r="P90" s="368"/>
      <c r="Q90" s="761"/>
    </row>
    <row r="91" spans="1:17">
      <c r="A91" s="2"/>
      <c r="C91" s="757"/>
      <c r="D91" s="29"/>
      <c r="E91" s="761"/>
      <c r="F91" s="368"/>
      <c r="G91" s="761"/>
      <c r="H91" s="368"/>
      <c r="I91" s="761"/>
      <c r="J91" s="368"/>
      <c r="K91" s="761"/>
      <c r="L91" s="368"/>
      <c r="M91" s="761"/>
      <c r="N91" s="368"/>
      <c r="O91" s="761"/>
      <c r="P91" s="368"/>
      <c r="Q91" s="761"/>
    </row>
    <row r="92" spans="1:17">
      <c r="A92" s="2">
        <f>A90+1</f>
        <v>59</v>
      </c>
      <c r="C92" s="759" t="s">
        <v>825</v>
      </c>
      <c r="E92" s="377"/>
      <c r="F92" s="368"/>
      <c r="G92" s="377"/>
      <c r="H92" s="368"/>
      <c r="I92" s="377"/>
      <c r="J92" s="368"/>
      <c r="K92" s="377"/>
      <c r="L92" s="368"/>
      <c r="M92" s="377">
        <v>80</v>
      </c>
      <c r="N92" s="368"/>
      <c r="O92" s="377">
        <v>80</v>
      </c>
      <c r="P92" s="368"/>
      <c r="Q92" s="377">
        <v>80</v>
      </c>
    </row>
    <row r="93" spans="1:17">
      <c r="A93" s="2">
        <f>A92+1</f>
        <v>60</v>
      </c>
      <c r="C93" s="759" t="s">
        <v>911</v>
      </c>
      <c r="E93" s="377"/>
      <c r="F93" s="368"/>
      <c r="G93" s="377"/>
      <c r="H93" s="368"/>
      <c r="I93" s="377"/>
      <c r="J93" s="368"/>
      <c r="K93" s="377"/>
      <c r="L93" s="368"/>
      <c r="M93" s="377"/>
      <c r="N93" s="368"/>
      <c r="O93" s="377"/>
      <c r="P93" s="368"/>
      <c r="Q93" s="377"/>
    </row>
    <row r="94" spans="1:17">
      <c r="A94" s="2">
        <f>A93+1</f>
        <v>61</v>
      </c>
      <c r="C94" s="760" t="s">
        <v>912</v>
      </c>
      <c r="E94" s="377">
        <v>0</v>
      </c>
      <c r="F94" s="368"/>
      <c r="G94" s="377">
        <v>0</v>
      </c>
      <c r="H94" s="368"/>
      <c r="I94" s="377">
        <v>0</v>
      </c>
      <c r="J94" s="368"/>
      <c r="K94" s="377">
        <v>0</v>
      </c>
      <c r="L94" s="368"/>
      <c r="M94" s="377">
        <v>757712</v>
      </c>
      <c r="N94" s="368"/>
      <c r="O94" s="377">
        <f>M94</f>
        <v>757712</v>
      </c>
      <c r="P94" s="368"/>
      <c r="Q94" s="377">
        <f>O94</f>
        <v>757712</v>
      </c>
    </row>
    <row r="95" spans="1:17">
      <c r="A95" s="2"/>
      <c r="C95" s="757"/>
      <c r="D95" s="29"/>
      <c r="E95" s="761"/>
      <c r="F95" s="368"/>
      <c r="G95" s="761"/>
      <c r="H95" s="368"/>
      <c r="I95" s="761"/>
      <c r="J95" s="368"/>
      <c r="K95" s="761"/>
      <c r="L95" s="368"/>
      <c r="M95" s="761"/>
      <c r="N95" s="368"/>
      <c r="O95" s="761"/>
      <c r="P95" s="368"/>
      <c r="Q95" s="761"/>
    </row>
    <row r="96" spans="1:17">
      <c r="A96" s="2"/>
      <c r="C96" s="757"/>
      <c r="D96" s="29"/>
      <c r="E96" s="761"/>
      <c r="F96" s="368"/>
      <c r="G96" s="761"/>
      <c r="H96" s="368"/>
      <c r="I96" s="761"/>
      <c r="J96" s="368"/>
      <c r="K96" s="761"/>
      <c r="L96" s="368"/>
      <c r="M96" s="761"/>
      <c r="N96" s="368"/>
      <c r="O96" s="761"/>
      <c r="P96" s="368"/>
      <c r="Q96" s="761"/>
    </row>
    <row r="97" spans="1:17">
      <c r="A97" s="2">
        <f>A94+1</f>
        <v>62</v>
      </c>
      <c r="C97" s="757" t="s">
        <v>923</v>
      </c>
      <c r="D97" s="29"/>
      <c r="E97" s="761"/>
      <c r="F97" s="368"/>
      <c r="G97" s="761"/>
      <c r="H97" s="368"/>
      <c r="I97" s="761"/>
      <c r="J97" s="368"/>
      <c r="K97" s="761"/>
      <c r="L97" s="368"/>
      <c r="M97" s="761"/>
      <c r="N97" s="368"/>
      <c r="O97" s="761"/>
      <c r="P97" s="368"/>
      <c r="Q97" s="761"/>
    </row>
    <row r="98" spans="1:17">
      <c r="A98" s="2"/>
      <c r="C98" s="757"/>
      <c r="D98" s="29"/>
      <c r="E98" s="761"/>
      <c r="F98" s="368"/>
      <c r="G98" s="761"/>
      <c r="H98" s="368"/>
      <c r="I98" s="761"/>
      <c r="J98" s="368"/>
      <c r="K98" s="761"/>
      <c r="L98" s="368"/>
      <c r="M98" s="761"/>
      <c r="N98" s="368"/>
      <c r="O98" s="761"/>
      <c r="P98" s="368"/>
      <c r="Q98" s="761"/>
    </row>
    <row r="99" spans="1:17">
      <c r="A99" s="2">
        <f>A97+1</f>
        <v>63</v>
      </c>
      <c r="C99" s="759" t="s">
        <v>911</v>
      </c>
      <c r="E99" s="377"/>
      <c r="F99" s="368"/>
      <c r="G99" s="377"/>
      <c r="H99" s="368"/>
      <c r="I99" s="377"/>
      <c r="J99" s="368"/>
      <c r="K99" s="377"/>
      <c r="L99" s="368"/>
      <c r="M99" s="377"/>
      <c r="N99" s="368"/>
      <c r="O99" s="377"/>
      <c r="P99" s="368"/>
      <c r="Q99" s="377"/>
    </row>
    <row r="100" spans="1:17">
      <c r="A100" s="2">
        <f>A99+1</f>
        <v>64</v>
      </c>
      <c r="C100" s="760" t="s">
        <v>912</v>
      </c>
      <c r="E100" s="377">
        <v>0</v>
      </c>
      <c r="F100" s="368"/>
      <c r="G100" s="377">
        <v>0</v>
      </c>
      <c r="H100" s="368"/>
      <c r="I100" s="377">
        <v>0</v>
      </c>
      <c r="J100" s="368"/>
      <c r="K100" s="377">
        <v>0</v>
      </c>
      <c r="L100" s="368"/>
      <c r="M100" s="377">
        <v>1519413</v>
      </c>
      <c r="N100" s="368"/>
      <c r="O100" s="377">
        <f>M100</f>
        <v>1519413</v>
      </c>
      <c r="P100" s="368"/>
      <c r="Q100" s="377">
        <f>O100</f>
        <v>1519413</v>
      </c>
    </row>
    <row r="101" spans="1:17">
      <c r="A101" s="2"/>
      <c r="C101" s="757"/>
      <c r="D101" s="29"/>
      <c r="E101" s="761"/>
      <c r="F101" s="368"/>
      <c r="G101" s="761"/>
      <c r="H101" s="368"/>
      <c r="I101" s="761"/>
      <c r="J101" s="368"/>
      <c r="K101" s="761"/>
      <c r="L101" s="368"/>
      <c r="M101" s="761"/>
      <c r="N101" s="368"/>
      <c r="O101" s="761"/>
      <c r="P101" s="368"/>
      <c r="Q101" s="761"/>
    </row>
    <row r="102" spans="1:17">
      <c r="A102" s="2"/>
      <c r="C102" s="757"/>
      <c r="D102" s="29"/>
      <c r="E102" s="761"/>
      <c r="F102" s="368"/>
      <c r="G102" s="761"/>
      <c r="H102" s="368"/>
      <c r="I102" s="761"/>
      <c r="J102" s="368"/>
      <c r="K102" s="761"/>
      <c r="L102" s="368"/>
      <c r="M102" s="761"/>
      <c r="N102" s="368"/>
      <c r="O102" s="761"/>
      <c r="P102" s="368"/>
      <c r="Q102" s="761"/>
    </row>
    <row r="103" spans="1:17">
      <c r="A103" s="2">
        <f>A100+1</f>
        <v>65</v>
      </c>
      <c r="C103" s="757" t="s">
        <v>924</v>
      </c>
      <c r="D103" s="29"/>
      <c r="E103" s="761"/>
      <c r="F103" s="368"/>
      <c r="G103" s="761"/>
      <c r="H103" s="368"/>
      <c r="I103" s="761"/>
      <c r="J103" s="368"/>
      <c r="K103" s="761"/>
      <c r="L103" s="368"/>
      <c r="M103" s="761"/>
      <c r="N103" s="368"/>
      <c r="O103" s="761"/>
      <c r="P103" s="368"/>
      <c r="Q103" s="761"/>
    </row>
    <row r="104" spans="1:17">
      <c r="A104" s="2"/>
      <c r="C104" s="757"/>
      <c r="D104" s="29"/>
      <c r="E104" s="761"/>
      <c r="F104" s="368"/>
      <c r="G104" s="761"/>
      <c r="H104" s="368"/>
      <c r="I104" s="761"/>
      <c r="J104" s="368"/>
      <c r="K104" s="761"/>
      <c r="L104" s="368"/>
      <c r="M104" s="761"/>
      <c r="N104" s="368"/>
      <c r="O104" s="761"/>
      <c r="P104" s="368"/>
      <c r="Q104" s="761"/>
    </row>
    <row r="105" spans="1:17">
      <c r="A105" s="2">
        <f>A103+1</f>
        <v>66</v>
      </c>
      <c r="C105" s="759" t="s">
        <v>825</v>
      </c>
      <c r="E105" s="377"/>
      <c r="F105" s="368"/>
      <c r="G105" s="377"/>
      <c r="H105" s="368"/>
      <c r="I105" s="377"/>
      <c r="J105" s="368"/>
      <c r="K105" s="377"/>
      <c r="L105" s="368"/>
      <c r="M105" s="377">
        <v>1035</v>
      </c>
      <c r="N105" s="368"/>
      <c r="O105" s="377">
        <f>M105</f>
        <v>1035</v>
      </c>
      <c r="P105" s="368"/>
      <c r="Q105" s="377">
        <f>O105</f>
        <v>1035</v>
      </c>
    </row>
    <row r="106" spans="1:17">
      <c r="A106" s="2">
        <f>A105+1</f>
        <v>67</v>
      </c>
      <c r="C106" s="759" t="s">
        <v>911</v>
      </c>
      <c r="E106" s="377"/>
      <c r="F106" s="368"/>
      <c r="G106" s="377"/>
      <c r="H106" s="368"/>
      <c r="I106" s="377"/>
      <c r="J106" s="368"/>
      <c r="K106" s="377"/>
      <c r="L106" s="368"/>
      <c r="M106" s="377"/>
      <c r="N106" s="368"/>
      <c r="O106" s="377"/>
      <c r="P106" s="368"/>
      <c r="Q106" s="377"/>
    </row>
    <row r="107" spans="1:17">
      <c r="A107" s="2">
        <f>A106+1</f>
        <v>68</v>
      </c>
      <c r="C107" s="760" t="s">
        <v>912</v>
      </c>
      <c r="E107" s="377">
        <v>0</v>
      </c>
      <c r="F107" s="368"/>
      <c r="G107" s="377">
        <v>0</v>
      </c>
      <c r="H107" s="368"/>
      <c r="I107" s="377">
        <v>0</v>
      </c>
      <c r="J107" s="368"/>
      <c r="K107" s="377">
        <v>0</v>
      </c>
      <c r="L107" s="368"/>
      <c r="M107" s="377">
        <v>13869596</v>
      </c>
      <c r="N107" s="368"/>
      <c r="O107" s="377">
        <f>M107</f>
        <v>13869596</v>
      </c>
      <c r="P107" s="368"/>
      <c r="Q107" s="377">
        <f>O107</f>
        <v>13869596</v>
      </c>
    </row>
    <row r="108" spans="1:17">
      <c r="A108" s="2"/>
      <c r="C108" s="757"/>
      <c r="D108" s="29"/>
      <c r="E108" s="761"/>
      <c r="F108" s="368"/>
      <c r="G108" s="761"/>
      <c r="H108" s="368"/>
      <c r="I108" s="761"/>
      <c r="J108" s="368"/>
      <c r="K108" s="761"/>
      <c r="L108" s="368"/>
      <c r="M108" s="761"/>
      <c r="N108" s="368"/>
      <c r="O108" s="761"/>
      <c r="P108" s="368"/>
      <c r="Q108" s="761"/>
    </row>
    <row r="109" spans="1:17">
      <c r="A109" s="2"/>
      <c r="C109" s="757"/>
      <c r="D109" s="29"/>
      <c r="E109" s="761"/>
      <c r="F109" s="368"/>
      <c r="G109" s="761"/>
      <c r="H109" s="368"/>
      <c r="I109" s="761"/>
      <c r="J109" s="368"/>
      <c r="K109" s="761"/>
      <c r="L109" s="368"/>
      <c r="M109" s="761"/>
      <c r="N109" s="368"/>
      <c r="O109" s="761"/>
      <c r="P109" s="368"/>
      <c r="Q109" s="761"/>
    </row>
    <row r="110" spans="1:17">
      <c r="A110" s="2">
        <f>A107+1</f>
        <v>69</v>
      </c>
      <c r="C110" s="757" t="s">
        <v>925</v>
      </c>
      <c r="D110" s="29"/>
      <c r="E110" s="761"/>
      <c r="F110" s="368"/>
      <c r="G110" s="761"/>
      <c r="H110" s="368"/>
      <c r="I110" s="761"/>
      <c r="J110" s="368"/>
      <c r="K110" s="761"/>
      <c r="L110" s="368"/>
      <c r="M110" s="761"/>
      <c r="N110" s="368"/>
      <c r="O110" s="761"/>
      <c r="P110" s="368"/>
      <c r="Q110" s="761"/>
    </row>
    <row r="111" spans="1:17">
      <c r="A111" s="2">
        <f>A110+1</f>
        <v>70</v>
      </c>
      <c r="C111" s="759" t="s">
        <v>926</v>
      </c>
      <c r="E111" s="377"/>
      <c r="F111" s="368"/>
      <c r="G111" s="377"/>
      <c r="H111" s="368"/>
      <c r="I111" s="377"/>
      <c r="J111" s="368"/>
      <c r="K111" s="377"/>
      <c r="L111" s="368"/>
      <c r="M111" s="377">
        <v>12</v>
      </c>
      <c r="N111" s="368"/>
      <c r="O111" s="377">
        <f>M111</f>
        <v>12</v>
      </c>
      <c r="P111" s="368"/>
      <c r="Q111" s="377">
        <f>O111</f>
        <v>12</v>
      </c>
    </row>
    <row r="112" spans="1:17">
      <c r="A112" s="2"/>
      <c r="C112" s="757"/>
      <c r="D112" s="29"/>
      <c r="E112" s="761"/>
      <c r="F112" s="368"/>
      <c r="G112" s="761"/>
      <c r="H112" s="368"/>
      <c r="I112" s="761"/>
      <c r="J112" s="368"/>
      <c r="K112" s="761"/>
      <c r="L112" s="368"/>
      <c r="M112" s="761"/>
      <c r="N112" s="368"/>
      <c r="O112" s="761"/>
      <c r="P112" s="368"/>
      <c r="Q112" s="761"/>
    </row>
    <row r="113" spans="1:17">
      <c r="A113" s="2"/>
      <c r="C113" s="757"/>
      <c r="D113" s="29"/>
      <c r="E113" s="761"/>
      <c r="F113" s="368"/>
      <c r="G113" s="761"/>
      <c r="H113" s="368"/>
      <c r="I113" s="761"/>
      <c r="J113" s="368"/>
      <c r="K113" s="761"/>
      <c r="L113" s="368"/>
      <c r="M113" s="761"/>
      <c r="N113" s="368"/>
      <c r="O113" s="761"/>
      <c r="P113" s="368"/>
      <c r="Q113" s="761"/>
    </row>
    <row r="114" spans="1:17">
      <c r="A114" s="2">
        <f>A111+1</f>
        <v>71</v>
      </c>
      <c r="C114" s="757" t="s">
        <v>927</v>
      </c>
      <c r="D114" s="29"/>
      <c r="E114" s="761"/>
      <c r="F114" s="368"/>
      <c r="G114" s="761"/>
      <c r="H114" s="368"/>
      <c r="I114" s="761"/>
      <c r="J114" s="368"/>
      <c r="K114" s="761"/>
      <c r="L114" s="368"/>
      <c r="M114" s="761"/>
      <c r="N114" s="368"/>
      <c r="O114" s="761"/>
      <c r="P114" s="368"/>
      <c r="Q114" s="761"/>
    </row>
    <row r="115" spans="1:17">
      <c r="A115" s="2">
        <f>A114+1</f>
        <v>72</v>
      </c>
      <c r="C115" s="759" t="s">
        <v>926</v>
      </c>
      <c r="E115" s="377"/>
      <c r="F115" s="368"/>
      <c r="G115" s="377"/>
      <c r="H115" s="368"/>
      <c r="I115" s="377"/>
      <c r="J115" s="368"/>
      <c r="K115" s="377"/>
      <c r="L115" s="368"/>
      <c r="M115" s="377">
        <v>26</v>
      </c>
      <c r="N115" s="368"/>
      <c r="O115" s="377">
        <f>M115</f>
        <v>26</v>
      </c>
      <c r="P115" s="368"/>
      <c r="Q115" s="377">
        <f>O115</f>
        <v>26</v>
      </c>
    </row>
    <row r="116" spans="1:17">
      <c r="A116" s="2"/>
      <c r="C116" s="757"/>
      <c r="D116" s="29"/>
      <c r="E116" s="761"/>
      <c r="F116" s="368"/>
      <c r="G116" s="761"/>
      <c r="H116" s="368"/>
      <c r="I116" s="761"/>
      <c r="J116" s="368"/>
      <c r="K116" s="761"/>
      <c r="L116" s="368"/>
      <c r="M116" s="761"/>
      <c r="N116" s="368"/>
      <c r="O116" s="761"/>
      <c r="P116" s="368"/>
      <c r="Q116" s="761"/>
    </row>
    <row r="117" spans="1:17">
      <c r="A117" s="2"/>
      <c r="C117" s="757"/>
      <c r="D117" s="29"/>
      <c r="E117" s="761"/>
      <c r="F117" s="368"/>
      <c r="G117" s="761"/>
      <c r="H117" s="368"/>
      <c r="I117" s="761"/>
      <c r="J117" s="368"/>
      <c r="K117" s="761"/>
      <c r="L117" s="368"/>
      <c r="M117" s="761"/>
      <c r="N117" s="368"/>
      <c r="O117" s="761"/>
      <c r="P117" s="368"/>
      <c r="Q117" s="761"/>
    </row>
    <row r="118" spans="1:17">
      <c r="A118" s="2">
        <f>A115+1</f>
        <v>73</v>
      </c>
      <c r="C118" s="757" t="s">
        <v>928</v>
      </c>
      <c r="D118" s="29"/>
      <c r="E118" s="761"/>
      <c r="F118" s="368"/>
      <c r="G118" s="761"/>
      <c r="H118" s="368"/>
      <c r="I118" s="761"/>
      <c r="J118" s="368"/>
      <c r="K118" s="761"/>
      <c r="L118" s="368"/>
      <c r="M118" s="761"/>
      <c r="N118" s="368"/>
      <c r="O118" s="761"/>
      <c r="P118" s="368"/>
      <c r="Q118" s="761"/>
    </row>
    <row r="119" spans="1:17">
      <c r="A119" s="2">
        <f>A118+1</f>
        <v>74</v>
      </c>
      <c r="C119" s="759" t="s">
        <v>926</v>
      </c>
      <c r="E119" s="377"/>
      <c r="F119" s="368"/>
      <c r="G119" s="377"/>
      <c r="H119" s="368"/>
      <c r="I119" s="377"/>
      <c r="J119" s="368"/>
      <c r="K119" s="377"/>
      <c r="L119" s="368"/>
      <c r="M119" s="377">
        <v>37</v>
      </c>
      <c r="N119" s="368"/>
      <c r="O119" s="377">
        <f>M119</f>
        <v>37</v>
      </c>
      <c r="P119" s="368"/>
      <c r="Q119" s="377">
        <f>O119</f>
        <v>37</v>
      </c>
    </row>
    <row r="120" spans="1:17">
      <c r="A120" s="2"/>
      <c r="C120" s="757"/>
      <c r="D120" s="29"/>
      <c r="E120" s="761"/>
      <c r="F120" s="368"/>
      <c r="G120" s="761"/>
      <c r="H120" s="368"/>
      <c r="I120" s="761"/>
      <c r="J120" s="368"/>
      <c r="K120" s="761"/>
      <c r="L120" s="368"/>
      <c r="M120" s="761"/>
      <c r="N120" s="368"/>
      <c r="O120" s="761"/>
      <c r="P120" s="368"/>
      <c r="Q120" s="761"/>
    </row>
    <row r="121" spans="1:17">
      <c r="A121" s="2"/>
      <c r="C121" s="29"/>
      <c r="D121" s="29"/>
      <c r="E121" s="765"/>
      <c r="F121" s="755"/>
      <c r="G121" s="765"/>
      <c r="H121" s="755"/>
      <c r="I121" s="765"/>
      <c r="J121" s="755"/>
      <c r="K121" s="765"/>
      <c r="L121" s="755"/>
      <c r="M121" s="765"/>
      <c r="N121" s="755"/>
      <c r="O121" s="765"/>
      <c r="P121" s="755"/>
      <c r="Q121" s="765"/>
    </row>
    <row r="122" spans="1:17">
      <c r="A122" s="2"/>
      <c r="D122" s="29"/>
      <c r="E122" s="765"/>
      <c r="F122" s="755"/>
      <c r="G122" s="765"/>
      <c r="H122" s="755"/>
      <c r="I122" s="765"/>
      <c r="J122" s="755"/>
      <c r="K122" s="765"/>
      <c r="L122" s="755"/>
      <c r="M122" s="765"/>
      <c r="N122" s="755"/>
      <c r="O122" s="765"/>
      <c r="P122" s="755"/>
      <c r="Q122" s="765"/>
    </row>
  </sheetData>
  <mergeCells count="2">
    <mergeCell ref="E3:K3"/>
    <mergeCell ref="M3:Q3"/>
  </mergeCells>
  <pageMargins left="0.7" right="0.7" top="0.75" bottom="0.75" header="0.3" footer="0.3"/>
  <pageSetup scale="55" fitToHeight="0" orientation="portrait" horizontalDpi="1200" verticalDpi="1200" r:id="rId1"/>
  <headerFooter>
    <oddHeader>&amp;LPuerto Rico Electric Power Authority 
Docket NEPR-AP-2023-0003
Billing Determinants &amp;RSchedule C-8 (Lighting)
Page &amp;P of &amp;N</oddHeader>
  </headerFooter>
  <rowBreaks count="1" manualBreakCount="1">
    <brk id="72" max="16" man="1"/>
  </rowBreaks>
  <colBreaks count="1" manualBreakCount="1">
    <brk id="14" max="119"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2570-1080-48BF-9300-CA7039A78703}">
  <sheetPr>
    <tabColor theme="7" tint="0.79998168889431442"/>
  </sheetPr>
  <dimension ref="A1:Q20"/>
  <sheetViews>
    <sheetView workbookViewId="0"/>
    <sheetView workbookViewId="1"/>
    <sheetView workbookViewId="2"/>
  </sheetViews>
  <sheetFormatPr defaultColWidth="8.5703125" defaultRowHeight="15" customHeight="1"/>
  <cols>
    <col min="1" max="2" width="5.5703125" style="2" customWidth="1"/>
    <col min="3" max="3" width="26" customWidth="1"/>
    <col min="4" max="4" width="5.5703125" customWidth="1"/>
    <col min="5" max="5" width="16" customWidth="1"/>
    <col min="6" max="6" width="5.5703125" customWidth="1"/>
    <col min="7" max="7" width="17.5703125" customWidth="1"/>
    <col min="8" max="8" width="5.5703125" customWidth="1"/>
    <col min="9" max="9" width="17.5703125" customWidth="1"/>
    <col min="10" max="10" width="5.5703125" customWidth="1"/>
    <col min="11" max="11" width="18.42578125" customWidth="1"/>
    <col min="12" max="12" width="5.5703125" customWidth="1"/>
    <col min="13" max="13" width="17.5703125" customWidth="1"/>
    <col min="14" max="14" width="5.5703125" customWidth="1"/>
    <col min="15" max="15" width="18.42578125" customWidth="1"/>
  </cols>
  <sheetData>
    <row r="1" spans="1:17" ht="14.85" customHeight="1">
      <c r="M1" s="6"/>
    </row>
    <row r="2" spans="1:17" ht="11.25" customHeight="1">
      <c r="C2" s="56"/>
      <c r="D2" s="56"/>
      <c r="E2" s="56"/>
      <c r="F2" s="56"/>
      <c r="G2" s="56"/>
      <c r="H2" s="56"/>
      <c r="I2" s="56"/>
      <c r="J2" s="56"/>
      <c r="K2" s="56"/>
      <c r="L2" s="56"/>
      <c r="M2" s="56"/>
    </row>
    <row r="3" spans="1:17" ht="30">
      <c r="A3" s="58" t="s">
        <v>242</v>
      </c>
      <c r="C3" s="58" t="s">
        <v>5</v>
      </c>
      <c r="D3" s="56"/>
      <c r="E3" s="58" t="s">
        <v>929</v>
      </c>
      <c r="F3" s="56"/>
      <c r="G3" s="58" t="s">
        <v>930</v>
      </c>
      <c r="H3" s="56"/>
      <c r="I3" s="58" t="s">
        <v>931</v>
      </c>
      <c r="J3" s="56"/>
      <c r="K3" s="58" t="s">
        <v>932</v>
      </c>
      <c r="L3" s="56"/>
      <c r="M3" s="58" t="s">
        <v>933</v>
      </c>
      <c r="O3" s="58" t="s">
        <v>934</v>
      </c>
    </row>
    <row r="4" spans="1:17">
      <c r="A4" s="59"/>
      <c r="C4" s="59"/>
      <c r="D4" s="56"/>
      <c r="E4" s="59"/>
      <c r="F4" s="56"/>
      <c r="G4" s="59"/>
      <c r="H4" s="56"/>
      <c r="I4" s="59"/>
      <c r="J4" s="56"/>
      <c r="K4" s="59"/>
      <c r="L4" s="56"/>
      <c r="M4" s="59"/>
      <c r="O4" s="59"/>
    </row>
    <row r="5" spans="1:17">
      <c r="A5" s="2">
        <v>1</v>
      </c>
      <c r="C5" s="74" t="s">
        <v>708</v>
      </c>
      <c r="E5" s="368"/>
      <c r="F5" s="376"/>
      <c r="G5" s="368"/>
      <c r="H5" s="376"/>
      <c r="I5" s="368"/>
      <c r="J5" s="376"/>
      <c r="K5" s="376"/>
      <c r="L5" s="368"/>
      <c r="M5" s="368"/>
      <c r="N5" s="368"/>
      <c r="O5" s="368"/>
    </row>
    <row r="6" spans="1:17">
      <c r="C6" s="74"/>
      <c r="E6" s="368"/>
      <c r="F6" s="376"/>
      <c r="G6" s="368"/>
      <c r="H6" s="376"/>
      <c r="I6" s="368"/>
      <c r="J6" s="376"/>
      <c r="K6" s="376"/>
      <c r="L6" s="368"/>
      <c r="M6" s="368"/>
      <c r="N6" s="368"/>
      <c r="O6" s="368"/>
    </row>
    <row r="7" spans="1:17">
      <c r="A7" s="2">
        <f>IF(C7&lt;&gt;"",MAX(A2:A5)+1,"")</f>
        <v>2</v>
      </c>
      <c r="C7" s="60" t="s">
        <v>935</v>
      </c>
      <c r="E7" s="368">
        <v>0</v>
      </c>
      <c r="F7" s="376"/>
      <c r="G7" s="368">
        <v>803</v>
      </c>
      <c r="H7" s="376"/>
      <c r="I7" s="368">
        <v>803</v>
      </c>
      <c r="J7" s="376"/>
      <c r="K7" s="368">
        <v>803</v>
      </c>
      <c r="L7" s="368"/>
      <c r="M7" s="368">
        <v>803</v>
      </c>
      <c r="N7" s="368"/>
      <c r="O7" s="368">
        <v>803</v>
      </c>
    </row>
    <row r="8" spans="1:17">
      <c r="C8" s="60"/>
      <c r="E8" s="368"/>
      <c r="F8" s="376"/>
      <c r="G8" s="368"/>
      <c r="H8" s="376"/>
      <c r="I8" s="368"/>
      <c r="J8" s="376"/>
      <c r="K8" s="368"/>
      <c r="L8" s="368"/>
      <c r="M8" s="368"/>
      <c r="N8" s="368"/>
      <c r="O8" s="368"/>
    </row>
    <row r="9" spans="1:17">
      <c r="A9" s="2">
        <f>IF(C9&lt;&gt;"",MAX(A3:A7)+1,"")</f>
        <v>3</v>
      </c>
      <c r="C9" s="60" t="s">
        <v>936</v>
      </c>
      <c r="E9" s="368">
        <v>0</v>
      </c>
      <c r="F9" s="376"/>
      <c r="G9" s="368">
        <v>0</v>
      </c>
      <c r="H9" s="376"/>
      <c r="I9" s="368">
        <v>0</v>
      </c>
      <c r="J9" s="376"/>
      <c r="K9" s="368">
        <v>0</v>
      </c>
      <c r="L9" s="368"/>
      <c r="M9" s="368">
        <v>0</v>
      </c>
      <c r="N9" s="368"/>
      <c r="O9" s="368">
        <v>0</v>
      </c>
    </row>
    <row r="10" spans="1:17">
      <c r="C10" s="60"/>
      <c r="E10" s="368"/>
      <c r="F10" s="376"/>
      <c r="G10" s="368"/>
      <c r="H10" s="376"/>
      <c r="I10" s="368"/>
      <c r="J10" s="376"/>
      <c r="K10" s="368"/>
      <c r="L10" s="368"/>
      <c r="M10" s="368"/>
      <c r="N10" s="368"/>
      <c r="O10" s="368"/>
    </row>
    <row r="11" spans="1:17">
      <c r="A11" s="2">
        <f>IF(C11&lt;&gt;"",MAX(A5:A9)+1,"")</f>
        <v>4</v>
      </c>
      <c r="C11" s="60" t="s">
        <v>937</v>
      </c>
      <c r="E11" s="368">
        <v>0</v>
      </c>
      <c r="F11" s="376"/>
      <c r="G11" s="368">
        <v>0</v>
      </c>
      <c r="H11" s="376"/>
      <c r="I11" s="368">
        <v>0</v>
      </c>
      <c r="J11" s="376"/>
      <c r="K11" s="368">
        <v>0</v>
      </c>
      <c r="L11" s="368"/>
      <c r="M11" s="368">
        <v>0</v>
      </c>
      <c r="N11" s="368"/>
      <c r="O11" s="368">
        <v>0</v>
      </c>
    </row>
    <row r="12" spans="1:17">
      <c r="C12" s="60"/>
      <c r="E12" s="368"/>
      <c r="F12" s="376"/>
      <c r="G12" s="368"/>
      <c r="H12" s="376"/>
      <c r="I12" s="368"/>
      <c r="J12" s="376"/>
      <c r="K12" s="368"/>
      <c r="L12" s="368"/>
      <c r="M12" s="368"/>
      <c r="N12" s="368"/>
      <c r="O12" s="368"/>
    </row>
    <row r="13" spans="1:17">
      <c r="A13" s="2">
        <f t="shared" ref="A13" si="0">IF(C13&lt;&gt;"",MAX(A7:A11)+1,"")</f>
        <v>5</v>
      </c>
      <c r="C13" s="60" t="s">
        <v>938</v>
      </c>
      <c r="E13" s="368">
        <v>4236</v>
      </c>
      <c r="F13" s="376"/>
      <c r="G13" s="368">
        <v>4861</v>
      </c>
      <c r="H13" s="376"/>
      <c r="I13" s="368">
        <v>4777</v>
      </c>
      <c r="J13" s="376"/>
      <c r="K13" s="368">
        <v>6291</v>
      </c>
      <c r="L13" s="376"/>
      <c r="M13" s="368">
        <v>6934</v>
      </c>
      <c r="N13" s="376"/>
      <c r="O13" s="368">
        <v>7264</v>
      </c>
      <c r="Q13" t="s">
        <v>939</v>
      </c>
    </row>
    <row r="14" spans="1:17">
      <c r="C14" s="60"/>
      <c r="E14" s="368"/>
      <c r="F14" s="376"/>
      <c r="G14" s="368"/>
      <c r="H14" s="376"/>
      <c r="I14" s="368"/>
      <c r="J14" s="376"/>
      <c r="K14" s="368"/>
      <c r="L14" s="376"/>
      <c r="M14" s="368"/>
      <c r="N14" s="376"/>
      <c r="O14" s="368"/>
    </row>
    <row r="15" spans="1:17">
      <c r="A15" s="2">
        <v>6</v>
      </c>
      <c r="C15" s="60" t="s">
        <v>940</v>
      </c>
      <c r="E15" s="368">
        <v>4236</v>
      </c>
      <c r="F15" s="376"/>
      <c r="G15" s="368">
        <v>4861</v>
      </c>
      <c r="H15" s="376"/>
      <c r="I15" s="368">
        <v>4777</v>
      </c>
      <c r="J15" s="376"/>
      <c r="K15" s="368">
        <v>5865</v>
      </c>
      <c r="L15" s="376"/>
      <c r="M15" s="368">
        <v>5982</v>
      </c>
      <c r="N15" s="376"/>
      <c r="O15" s="368">
        <v>6101</v>
      </c>
      <c r="Q15" t="s">
        <v>939</v>
      </c>
    </row>
    <row r="16" spans="1:17" ht="15" customHeight="1">
      <c r="A16" s="2" t="str">
        <f>IF(C16&lt;&gt;"",MAX(A8:A12)+1,"")</f>
        <v/>
      </c>
      <c r="C16" s="80"/>
      <c r="E16" s="368"/>
      <c r="F16" s="368"/>
      <c r="G16" s="368"/>
      <c r="H16" s="368"/>
      <c r="I16" s="368"/>
      <c r="J16" s="368"/>
      <c r="K16" s="368"/>
      <c r="L16" s="368"/>
      <c r="M16" s="368"/>
      <c r="N16" s="368"/>
      <c r="O16" s="368"/>
    </row>
    <row r="17" spans="1:15" ht="15" customHeight="1">
      <c r="A17" s="2">
        <v>7</v>
      </c>
      <c r="C17" s="74" t="s">
        <v>941</v>
      </c>
      <c r="E17" s="368"/>
      <c r="F17" s="376"/>
      <c r="G17" s="368"/>
      <c r="H17" s="376"/>
      <c r="I17" s="368"/>
      <c r="J17" s="376"/>
      <c r="K17" s="376"/>
      <c r="L17" s="368"/>
      <c r="M17" s="368"/>
      <c r="N17" s="368"/>
      <c r="O17" s="368"/>
    </row>
    <row r="18" spans="1:15" ht="15" customHeight="1">
      <c r="A18" s="2" t="str">
        <f>IF(C18&lt;&gt;"",MAX(A10:A16)+1,"")</f>
        <v/>
      </c>
      <c r="C18" s="74"/>
      <c r="E18" s="368"/>
      <c r="F18" s="376"/>
      <c r="G18" s="368"/>
      <c r="H18" s="376"/>
      <c r="I18" s="368"/>
      <c r="J18" s="376"/>
      <c r="K18" s="376"/>
      <c r="L18" s="368"/>
      <c r="M18" s="368"/>
      <c r="N18" s="368"/>
      <c r="O18" s="368"/>
    </row>
    <row r="19" spans="1:15" ht="15" customHeight="1">
      <c r="A19" s="2">
        <f>IF(C19&lt;&gt;"",MAX(A11:A17)+1,"")</f>
        <v>8</v>
      </c>
      <c r="C19" s="60" t="s">
        <v>942</v>
      </c>
      <c r="E19" s="368">
        <v>0</v>
      </c>
      <c r="F19" s="376"/>
      <c r="G19" s="368">
        <v>0</v>
      </c>
      <c r="H19" s="376"/>
      <c r="I19" s="368">
        <v>0</v>
      </c>
      <c r="J19" s="376"/>
      <c r="K19" s="368">
        <v>0</v>
      </c>
      <c r="L19" s="368"/>
      <c r="M19" s="368">
        <v>0</v>
      </c>
      <c r="N19" s="368"/>
      <c r="O19" s="368">
        <v>0</v>
      </c>
    </row>
    <row r="20" spans="1:15" ht="15" customHeight="1">
      <c r="A20" s="2" t="str">
        <f>IF(C20&lt;&gt;"",MAX(A12:A18)+1,"")</f>
        <v/>
      </c>
      <c r="C20" s="60"/>
      <c r="E20" s="57"/>
      <c r="F20" s="56"/>
      <c r="G20" s="57"/>
      <c r="H20" s="56"/>
      <c r="I20" s="57"/>
      <c r="J20" s="56"/>
      <c r="K20" s="57"/>
      <c r="L20" s="57"/>
      <c r="M20" s="57"/>
      <c r="O20" s="57"/>
    </row>
  </sheetData>
  <pageMargins left="0.7" right="0.7" top="0.75" bottom="0.75" header="0.3" footer="0.3"/>
  <pageSetup scale="52" orientation="landscape" horizontalDpi="1200" verticalDpi="1200" r:id="rId1"/>
  <headerFooter>
    <oddHeader>&amp;LPuerto Rico Electric Power Authority   
Docket NEPR-AP-2023-0003
Various Operating Statistics  &amp;RSchedule C-9
Page &amp;P of &amp;N</oddHeader>
  </headerFooter>
  <colBreaks count="1" manualBreakCount="1">
    <brk id="15" max="19"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9E141-641C-4DA9-ADB6-BB4CA6EF21AA}">
  <sheetPr>
    <tabColor theme="7" tint="0.79998168889431442"/>
    <pageSetUpPr fitToPage="1"/>
  </sheetPr>
  <dimension ref="B3:K22"/>
  <sheetViews>
    <sheetView workbookViewId="0"/>
    <sheetView workbookViewId="1"/>
    <sheetView workbookViewId="2"/>
  </sheetViews>
  <sheetFormatPr defaultColWidth="8.5703125" defaultRowHeight="15"/>
  <cols>
    <col min="2" max="2" width="59.42578125" customWidth="1"/>
    <col min="3" max="3" width="38.42578125" customWidth="1"/>
    <col min="4" max="4" width="15.85546875" customWidth="1"/>
    <col min="5" max="5" width="15" customWidth="1"/>
  </cols>
  <sheetData>
    <row r="3" spans="2:11" ht="30" customHeight="1">
      <c r="B3" s="743" t="s">
        <v>943</v>
      </c>
      <c r="G3" s="346"/>
      <c r="H3" s="346"/>
      <c r="I3" s="346"/>
      <c r="J3" s="346"/>
      <c r="K3" s="346"/>
    </row>
    <row r="4" spans="2:11" ht="16.5" thickBot="1">
      <c r="B4" s="744" t="s">
        <v>369</v>
      </c>
      <c r="C4" s="745">
        <v>2026</v>
      </c>
      <c r="D4" s="745">
        <v>2027</v>
      </c>
      <c r="E4" s="745">
        <v>2028</v>
      </c>
    </row>
    <row r="5" spans="2:11" ht="15.75">
      <c r="B5" s="61" t="s">
        <v>944</v>
      </c>
      <c r="C5" s="766">
        <v>1597098.0120776861</v>
      </c>
      <c r="D5" s="766">
        <v>1572832.7809887675</v>
      </c>
      <c r="E5" s="766">
        <v>1518429.7745375761</v>
      </c>
    </row>
    <row r="6" spans="2:11" ht="15.75">
      <c r="B6" s="61" t="s">
        <v>945</v>
      </c>
      <c r="C6" s="766">
        <v>478713.25205599918</v>
      </c>
      <c r="D6" s="766">
        <v>472655.14142147748</v>
      </c>
      <c r="E6" s="766">
        <v>473893.12480351719</v>
      </c>
    </row>
    <row r="7" spans="2:11" ht="15.75">
      <c r="B7" s="61" t="s">
        <v>946</v>
      </c>
      <c r="C7" s="766">
        <v>4707984.4969449164</v>
      </c>
      <c r="D7" s="766">
        <v>4807040.532522399</v>
      </c>
      <c r="E7" s="766">
        <v>4810337.2414912907</v>
      </c>
    </row>
    <row r="8" spans="2:11" ht="15.75">
      <c r="B8" s="61" t="s">
        <v>947</v>
      </c>
      <c r="C8" s="766">
        <v>673154.07530112914</v>
      </c>
      <c r="D8" s="766">
        <v>656704.47845014476</v>
      </c>
      <c r="E8" s="766">
        <v>642280.69417571218</v>
      </c>
    </row>
    <row r="9" spans="2:11" ht="15.75">
      <c r="B9" s="61" t="s">
        <v>948</v>
      </c>
      <c r="C9" s="766">
        <v>13542608.140620088</v>
      </c>
      <c r="D9" s="766">
        <v>13257084.211023979</v>
      </c>
      <c r="E9" s="766">
        <v>13010689.722840486</v>
      </c>
    </row>
    <row r="10" spans="2:11" ht="15.75">
      <c r="B10" s="61" t="s">
        <v>949</v>
      </c>
      <c r="C10" s="766">
        <v>1666901.7300470569</v>
      </c>
      <c r="D10" s="766">
        <v>0</v>
      </c>
      <c r="E10" s="766">
        <v>0</v>
      </c>
    </row>
    <row r="11" spans="2:11" ht="15.75">
      <c r="B11" s="61" t="s">
        <v>950</v>
      </c>
      <c r="C11" s="766">
        <v>2806.2990158692769</v>
      </c>
      <c r="D11" s="766">
        <v>2950.9192408007279</v>
      </c>
      <c r="E11" s="766">
        <v>2954.8382748386393</v>
      </c>
    </row>
    <row r="12" spans="2:11" ht="15.75">
      <c r="B12" s="61" t="s">
        <v>951</v>
      </c>
      <c r="C12" s="766">
        <v>4152000</v>
      </c>
      <c r="D12" s="766">
        <v>4152000</v>
      </c>
      <c r="E12" s="766">
        <v>4152000</v>
      </c>
    </row>
    <row r="13" spans="2:11" ht="15.75">
      <c r="B13" s="61" t="s">
        <v>952</v>
      </c>
      <c r="C13" s="766">
        <v>13873290.03596366</v>
      </c>
      <c r="D13" s="766">
        <v>13475303.09804816</v>
      </c>
      <c r="E13" s="766">
        <v>13033277.351107409</v>
      </c>
    </row>
    <row r="14" spans="2:11" ht="15.75">
      <c r="B14" s="61" t="s">
        <v>953</v>
      </c>
      <c r="C14" s="766">
        <v>2398555.3551328867</v>
      </c>
      <c r="D14" s="766">
        <v>2354101.0952160037</v>
      </c>
      <c r="E14" s="766">
        <v>2360640.9995676135</v>
      </c>
    </row>
    <row r="15" spans="2:11" ht="15.75">
      <c r="B15" s="61" t="s">
        <v>954</v>
      </c>
      <c r="C15" s="766">
        <v>1041.9568149682914</v>
      </c>
      <c r="D15" s="766">
        <v>1036.5028362522332</v>
      </c>
      <c r="E15" s="766">
        <v>1040.6038347430931</v>
      </c>
    </row>
    <row r="16" spans="2:11" ht="15.75">
      <c r="B16" s="61" t="s">
        <v>955</v>
      </c>
      <c r="C16" s="766">
        <v>21868190</v>
      </c>
      <c r="D16" s="766">
        <v>20726690.527132161</v>
      </c>
      <c r="E16" s="766">
        <v>25431151.003094859</v>
      </c>
      <c r="G16" s="766"/>
      <c r="H16" s="766"/>
    </row>
    <row r="17" spans="2:5" ht="15.75">
      <c r="B17" s="61" t="s">
        <v>956</v>
      </c>
      <c r="C17" s="766">
        <v>20247673</v>
      </c>
      <c r="D17" s="766">
        <v>19190763.029110759</v>
      </c>
      <c r="E17" s="766">
        <v>12226310.773313293</v>
      </c>
    </row>
    <row r="18" spans="2:5" ht="15.75">
      <c r="B18" s="61" t="s">
        <v>957</v>
      </c>
      <c r="C18" s="766">
        <v>105619240.41075449</v>
      </c>
      <c r="D18" s="766">
        <v>103751886.10460496</v>
      </c>
      <c r="E18" s="766">
        <v>105987124.26499259</v>
      </c>
    </row>
    <row r="19" spans="2:5" ht="15.75">
      <c r="B19" s="61" t="s">
        <v>958</v>
      </c>
      <c r="C19" s="766">
        <v>16529308.280000003</v>
      </c>
      <c r="D19" s="766">
        <v>16529308.280000003</v>
      </c>
      <c r="E19" s="766">
        <v>16529308.280000003</v>
      </c>
    </row>
    <row r="20" spans="2:5" ht="15.75">
      <c r="B20" s="746" t="s">
        <v>959</v>
      </c>
      <c r="C20" s="747">
        <f t="shared" ref="C20:E20" si="0">SUM(C5:C19)</f>
        <v>207358565.04472873</v>
      </c>
      <c r="D20" s="747">
        <f t="shared" si="0"/>
        <v>200950356.70059586</v>
      </c>
      <c r="E20" s="747">
        <f t="shared" si="0"/>
        <v>200179438.67203394</v>
      </c>
    </row>
    <row r="21" spans="2:5" ht="15.75">
      <c r="B21" t="s">
        <v>960</v>
      </c>
      <c r="C21" s="766">
        <v>93592036.577160656</v>
      </c>
      <c r="D21" s="766">
        <v>85380453.074941054</v>
      </c>
      <c r="E21" s="766">
        <v>86737640.962087542</v>
      </c>
    </row>
    <row r="22" spans="2:5" ht="16.5" thickBot="1">
      <c r="B22" s="748" t="s">
        <v>778</v>
      </c>
      <c r="C22" s="749">
        <f t="shared" ref="C22:E22" si="1">+C20+C21</f>
        <v>300950601.62188935</v>
      </c>
      <c r="D22" s="749">
        <f t="shared" si="1"/>
        <v>286330809.77553689</v>
      </c>
      <c r="E22" s="749">
        <f t="shared" si="1"/>
        <v>286917079.63412148</v>
      </c>
    </row>
  </sheetData>
  <pageMargins left="0.7" right="0.7" top="0.75" bottom="0.75" header="0.3" footer="0.3"/>
  <pageSetup scale="89" fitToHeight="0" orientation="landscape" horizontalDpi="1200" verticalDpi="1200" r:id="rId1"/>
  <headerFooter>
    <oddHeader>&amp;LPuerto Rico Electric Power Authority   
Docket NEPR-AP-2023-0003
Details of Contributions in Lieu of Taxes (CILT)  &amp;RSchedule C-10
Page &amp;P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AC6F4-C6BC-41E5-89B4-5272ADEB99BE}">
  <sheetPr>
    <tabColor theme="0"/>
  </sheetPr>
  <dimension ref="A1:C58"/>
  <sheetViews>
    <sheetView workbookViewId="0">
      <selection sqref="A1:C1"/>
    </sheetView>
    <sheetView workbookViewId="1">
      <selection sqref="A1:C1"/>
    </sheetView>
    <sheetView workbookViewId="2">
      <selection sqref="A1:C1"/>
    </sheetView>
  </sheetViews>
  <sheetFormatPr defaultRowHeight="15"/>
  <cols>
    <col min="1" max="1" width="18.140625" style="2" customWidth="1"/>
    <col min="2" max="2" width="64.42578125" customWidth="1"/>
    <col min="3" max="3" width="108.42578125" customWidth="1"/>
    <col min="4" max="4" width="10.42578125" customWidth="1"/>
    <col min="5" max="5" width="11.85546875" customWidth="1"/>
  </cols>
  <sheetData>
    <row r="1" spans="1:3">
      <c r="A1" s="1177" t="s">
        <v>0</v>
      </c>
      <c r="B1" s="1177"/>
      <c r="C1" s="1177"/>
    </row>
    <row r="2" spans="1:3">
      <c r="A2" s="1177" t="s">
        <v>88</v>
      </c>
      <c r="B2" s="1177"/>
      <c r="C2" s="1177"/>
    </row>
    <row r="3" spans="1:3" ht="15.75" thickBot="1">
      <c r="A3" s="1188"/>
      <c r="B3" s="1188"/>
      <c r="C3" s="1188"/>
    </row>
    <row r="4" spans="1:3">
      <c r="A4" s="30" t="s">
        <v>89</v>
      </c>
      <c r="B4" s="81" t="s">
        <v>90</v>
      </c>
      <c r="C4" s="31" t="s">
        <v>190</v>
      </c>
    </row>
    <row r="5" spans="1:3">
      <c r="A5" s="1185" t="s">
        <v>100</v>
      </c>
      <c r="B5" s="1186"/>
      <c r="C5" s="1187"/>
    </row>
    <row r="6" spans="1:3" ht="270">
      <c r="A6" s="32" t="s">
        <v>101</v>
      </c>
      <c r="B6" s="89" t="s">
        <v>102</v>
      </c>
      <c r="C6" s="362" t="s">
        <v>191</v>
      </c>
    </row>
    <row r="7" spans="1:3" ht="409.5" customHeight="1">
      <c r="A7" s="33" t="s">
        <v>108</v>
      </c>
      <c r="B7" s="89" t="s">
        <v>109</v>
      </c>
      <c r="C7" s="362" t="s">
        <v>192</v>
      </c>
    </row>
    <row r="8" spans="1:3">
      <c r="A8" s="1185" t="s">
        <v>110</v>
      </c>
      <c r="B8" s="1186"/>
      <c r="C8" s="1187"/>
    </row>
    <row r="9" spans="1:3" ht="60">
      <c r="A9" s="35" t="s">
        <v>9</v>
      </c>
      <c r="B9" s="89" t="s">
        <v>8</v>
      </c>
      <c r="C9" s="90" t="s">
        <v>193</v>
      </c>
    </row>
    <row r="10" spans="1:3" ht="30">
      <c r="A10" s="35" t="s">
        <v>11</v>
      </c>
      <c r="B10" s="89" t="s">
        <v>10</v>
      </c>
      <c r="C10" s="90" t="s">
        <v>194</v>
      </c>
    </row>
    <row r="11" spans="1:3" ht="195">
      <c r="A11" s="35" t="s">
        <v>13</v>
      </c>
      <c r="B11" s="89" t="s">
        <v>12</v>
      </c>
      <c r="C11" s="90" t="s">
        <v>195</v>
      </c>
    </row>
    <row r="12" spans="1:3" ht="30">
      <c r="A12" s="35" t="s">
        <v>15</v>
      </c>
      <c r="B12" s="89" t="s">
        <v>14</v>
      </c>
      <c r="C12" s="90" t="s">
        <v>196</v>
      </c>
    </row>
    <row r="13" spans="1:3" ht="45">
      <c r="A13" s="35" t="s">
        <v>17</v>
      </c>
      <c r="B13" s="89" t="s">
        <v>16</v>
      </c>
      <c r="C13" s="90" t="s">
        <v>197</v>
      </c>
    </row>
    <row r="14" spans="1:3" ht="30">
      <c r="A14" s="35" t="s">
        <v>19</v>
      </c>
      <c r="B14" s="89" t="s">
        <v>18</v>
      </c>
      <c r="C14" s="90" t="s">
        <v>198</v>
      </c>
    </row>
    <row r="15" spans="1:3" ht="75">
      <c r="A15" s="37" t="s">
        <v>21</v>
      </c>
      <c r="B15" s="34" t="s">
        <v>20</v>
      </c>
      <c r="C15" s="88" t="s">
        <v>199</v>
      </c>
    </row>
    <row r="16" spans="1:3">
      <c r="A16" s="1185" t="s">
        <v>131</v>
      </c>
      <c r="B16" s="1186"/>
      <c r="C16" s="1187"/>
    </row>
    <row r="17" spans="1:3" ht="45">
      <c r="A17" s="38" t="s">
        <v>23</v>
      </c>
      <c r="B17" s="89" t="s">
        <v>22</v>
      </c>
      <c r="C17" s="90" t="s">
        <v>200</v>
      </c>
    </row>
    <row r="18" spans="1:3" ht="45">
      <c r="A18" s="38" t="s">
        <v>25</v>
      </c>
      <c r="B18" s="89" t="s">
        <v>24</v>
      </c>
      <c r="C18" s="90" t="s">
        <v>201</v>
      </c>
    </row>
    <row r="19" spans="1:3" ht="45">
      <c r="A19" s="38" t="s">
        <v>27</v>
      </c>
      <c r="B19" s="89" t="s">
        <v>26</v>
      </c>
      <c r="C19" s="90" t="s">
        <v>202</v>
      </c>
    </row>
    <row r="20" spans="1:3" ht="60">
      <c r="A20" s="38" t="s">
        <v>29</v>
      </c>
      <c r="B20" s="89" t="s">
        <v>203</v>
      </c>
      <c r="C20" s="90" t="s">
        <v>204</v>
      </c>
    </row>
    <row r="21" spans="1:3" ht="45">
      <c r="A21" s="38" t="s">
        <v>31</v>
      </c>
      <c r="B21" s="89" t="s">
        <v>205</v>
      </c>
      <c r="C21" s="90" t="s">
        <v>206</v>
      </c>
    </row>
    <row r="22" spans="1:3">
      <c r="A22" s="38" t="s">
        <v>33</v>
      </c>
      <c r="B22" s="89" t="s">
        <v>32</v>
      </c>
      <c r="C22" s="47" t="s">
        <v>207</v>
      </c>
    </row>
    <row r="23" spans="1:3" ht="75">
      <c r="A23" s="38" t="s">
        <v>35</v>
      </c>
      <c r="B23" s="89" t="s">
        <v>34</v>
      </c>
      <c r="C23" s="90" t="s">
        <v>208</v>
      </c>
    </row>
    <row r="24" spans="1:3" ht="90">
      <c r="A24" s="38" t="s">
        <v>37</v>
      </c>
      <c r="B24" s="89" t="s">
        <v>36</v>
      </c>
      <c r="C24" s="90" t="s">
        <v>209</v>
      </c>
    </row>
    <row r="25" spans="1:3" ht="120">
      <c r="A25" s="38" t="s">
        <v>39</v>
      </c>
      <c r="B25" s="89" t="s">
        <v>38</v>
      </c>
      <c r="C25" s="90" t="s">
        <v>210</v>
      </c>
    </row>
    <row r="26" spans="1:3" ht="45">
      <c r="A26" s="38" t="s">
        <v>41</v>
      </c>
      <c r="B26" s="89" t="s">
        <v>40</v>
      </c>
      <c r="C26" s="90" t="s">
        <v>211</v>
      </c>
    </row>
    <row r="27" spans="1:3" ht="60">
      <c r="A27" s="38" t="s">
        <v>43</v>
      </c>
      <c r="B27" s="89" t="s">
        <v>42</v>
      </c>
      <c r="C27" s="90" t="s">
        <v>212</v>
      </c>
    </row>
    <row r="28" spans="1:3">
      <c r="A28" s="1185" t="s">
        <v>153</v>
      </c>
      <c r="B28" s="1186"/>
      <c r="C28" s="1187"/>
    </row>
    <row r="29" spans="1:3" ht="45">
      <c r="A29" s="39" t="s">
        <v>45</v>
      </c>
      <c r="B29" s="89" t="s">
        <v>44</v>
      </c>
      <c r="C29" s="90" t="s">
        <v>213</v>
      </c>
    </row>
    <row r="30" spans="1:3" ht="45">
      <c r="A30" s="39" t="s">
        <v>47</v>
      </c>
      <c r="B30" s="89" t="s">
        <v>46</v>
      </c>
      <c r="C30" s="90" t="s">
        <v>214</v>
      </c>
    </row>
    <row r="31" spans="1:3" ht="45">
      <c r="A31" s="39" t="s">
        <v>49</v>
      </c>
      <c r="B31" s="89" t="s">
        <v>48</v>
      </c>
      <c r="C31" s="90" t="s">
        <v>215</v>
      </c>
    </row>
    <row r="32" spans="1:3" ht="30">
      <c r="A32" s="39" t="s">
        <v>51</v>
      </c>
      <c r="B32" s="89" t="s">
        <v>50</v>
      </c>
      <c r="C32" s="90" t="s">
        <v>216</v>
      </c>
    </row>
    <row r="33" spans="1:3" ht="45">
      <c r="A33" s="39" t="s">
        <v>52</v>
      </c>
      <c r="B33" s="89" t="s">
        <v>44</v>
      </c>
      <c r="C33" s="90" t="s">
        <v>213</v>
      </c>
    </row>
    <row r="34" spans="1:3" ht="45">
      <c r="A34" s="39" t="s">
        <v>53</v>
      </c>
      <c r="B34" s="89" t="s">
        <v>46</v>
      </c>
      <c r="C34" s="90" t="s">
        <v>214</v>
      </c>
    </row>
    <row r="35" spans="1:3" ht="45">
      <c r="A35" s="39" t="s">
        <v>54</v>
      </c>
      <c r="B35" s="89" t="s">
        <v>48</v>
      </c>
      <c r="C35" s="90" t="s">
        <v>215</v>
      </c>
    </row>
    <row r="36" spans="1:3" ht="30">
      <c r="A36" s="309" t="s">
        <v>55</v>
      </c>
      <c r="B36" s="89" t="s">
        <v>50</v>
      </c>
      <c r="C36" s="90" t="s">
        <v>216</v>
      </c>
    </row>
    <row r="37" spans="1:3">
      <c r="A37" s="1185" t="s">
        <v>159</v>
      </c>
      <c r="B37" s="1186"/>
      <c r="C37" s="1187"/>
    </row>
    <row r="38" spans="1:3" ht="30">
      <c r="A38" s="40" t="s">
        <v>57</v>
      </c>
      <c r="B38" s="89" t="s">
        <v>160</v>
      </c>
      <c r="C38" s="90" t="s">
        <v>217</v>
      </c>
    </row>
    <row r="39" spans="1:3" ht="45">
      <c r="A39" s="41" t="s">
        <v>59</v>
      </c>
      <c r="B39" s="89" t="s">
        <v>164</v>
      </c>
      <c r="C39" s="90" t="s">
        <v>218</v>
      </c>
    </row>
    <row r="40" spans="1:3" ht="30">
      <c r="A40" s="41" t="s">
        <v>61</v>
      </c>
      <c r="B40" s="89" t="s">
        <v>60</v>
      </c>
      <c r="C40" s="90" t="s">
        <v>219</v>
      </c>
    </row>
    <row r="41" spans="1:3" ht="45">
      <c r="A41" s="41" t="s">
        <v>63</v>
      </c>
      <c r="B41" s="89" t="s">
        <v>62</v>
      </c>
      <c r="C41" s="90" t="s">
        <v>220</v>
      </c>
    </row>
    <row r="42" spans="1:3">
      <c r="A42" s="41" t="s">
        <v>65</v>
      </c>
      <c r="B42" s="89" t="s">
        <v>64</v>
      </c>
      <c r="C42" s="90" t="s">
        <v>221</v>
      </c>
    </row>
    <row r="43" spans="1:3">
      <c r="A43" s="1185" t="s">
        <v>172</v>
      </c>
      <c r="B43" s="1186"/>
      <c r="C43" s="1187"/>
    </row>
    <row r="44" spans="1:3" ht="30">
      <c r="A44" s="42" t="s">
        <v>67</v>
      </c>
      <c r="B44" s="89" t="s">
        <v>66</v>
      </c>
      <c r="C44" s="90" t="s">
        <v>222</v>
      </c>
    </row>
    <row r="45" spans="1:3" ht="45">
      <c r="A45" s="43" t="s">
        <v>69</v>
      </c>
      <c r="B45" s="89" t="s">
        <v>68</v>
      </c>
      <c r="C45" s="90" t="s">
        <v>223</v>
      </c>
    </row>
    <row r="46" spans="1:3" ht="75">
      <c r="A46" s="43" t="s">
        <v>71</v>
      </c>
      <c r="B46" s="89" t="s">
        <v>70</v>
      </c>
      <c r="C46" s="90" t="s">
        <v>224</v>
      </c>
    </row>
    <row r="47" spans="1:3" ht="30">
      <c r="A47" s="43" t="s">
        <v>73</v>
      </c>
      <c r="B47" s="89" t="s">
        <v>72</v>
      </c>
      <c r="C47" s="90" t="s">
        <v>225</v>
      </c>
    </row>
    <row r="48" spans="1:3" ht="45">
      <c r="A48" s="43" t="s">
        <v>75</v>
      </c>
      <c r="B48" s="89" t="s">
        <v>74</v>
      </c>
      <c r="C48" s="90" t="s">
        <v>226</v>
      </c>
    </row>
    <row r="49" spans="1:3" ht="60">
      <c r="A49" s="43" t="s">
        <v>77</v>
      </c>
      <c r="B49" s="89" t="s">
        <v>227</v>
      </c>
      <c r="C49" s="90" t="s">
        <v>228</v>
      </c>
    </row>
    <row r="50" spans="1:3" ht="105">
      <c r="A50" s="44" t="s">
        <v>79</v>
      </c>
      <c r="B50" s="89" t="s">
        <v>78</v>
      </c>
      <c r="C50" s="90" t="s">
        <v>229</v>
      </c>
    </row>
    <row r="51" spans="1:3">
      <c r="A51" s="1185" t="s">
        <v>180</v>
      </c>
      <c r="B51" s="1186"/>
      <c r="C51" s="1187"/>
    </row>
    <row r="52" spans="1:3" ht="150">
      <c r="A52" s="45" t="s">
        <v>81</v>
      </c>
      <c r="B52" s="46" t="s">
        <v>80</v>
      </c>
      <c r="C52" s="88" t="s">
        <v>230</v>
      </c>
    </row>
    <row r="53" spans="1:3">
      <c r="A53" s="1185" t="s">
        <v>184</v>
      </c>
      <c r="B53" s="1186"/>
      <c r="C53" s="1187"/>
    </row>
    <row r="54" spans="1:3" ht="330">
      <c r="A54" s="308" t="s">
        <v>83</v>
      </c>
      <c r="B54" s="46" t="s">
        <v>82</v>
      </c>
      <c r="C54" s="90" t="s">
        <v>231</v>
      </c>
    </row>
    <row r="55" spans="1:3">
      <c r="A55" s="1182" t="s">
        <v>187</v>
      </c>
      <c r="B55" s="1183"/>
      <c r="C55" s="1184"/>
    </row>
    <row r="56" spans="1:3" ht="230.1" customHeight="1" thickBot="1">
      <c r="A56" s="305" t="s">
        <v>85</v>
      </c>
      <c r="B56" s="111" t="s">
        <v>232</v>
      </c>
      <c r="C56" s="173" t="s">
        <v>233</v>
      </c>
    </row>
    <row r="57" spans="1:3" ht="18.600000000000001" customHeight="1">
      <c r="A57" s="1185" t="s">
        <v>234</v>
      </c>
      <c r="B57" s="1186"/>
      <c r="C57" s="1187"/>
    </row>
    <row r="58" spans="1:3" ht="409.5" customHeight="1" thickBot="1">
      <c r="A58" s="305" t="s">
        <v>87</v>
      </c>
      <c r="B58" s="109" t="s">
        <v>235</v>
      </c>
      <c r="C58" s="307" t="s">
        <v>236</v>
      </c>
    </row>
  </sheetData>
  <mergeCells count="13">
    <mergeCell ref="A55:C55"/>
    <mergeCell ref="A57:C57"/>
    <mergeCell ref="A8:C8"/>
    <mergeCell ref="A16:C16"/>
    <mergeCell ref="A1:C1"/>
    <mergeCell ref="A2:C2"/>
    <mergeCell ref="A3:C3"/>
    <mergeCell ref="A5:C5"/>
    <mergeCell ref="A28:C28"/>
    <mergeCell ref="A37:C37"/>
    <mergeCell ref="A43:C43"/>
    <mergeCell ref="A51:C51"/>
    <mergeCell ref="A53:C53"/>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B8559-4241-45D1-88AA-8E5020F82ECE}">
  <sheetPr>
    <tabColor theme="7" tint="0.79998168889431442"/>
    <pageSetUpPr fitToPage="1"/>
  </sheetPr>
  <dimension ref="A2:L2036"/>
  <sheetViews>
    <sheetView workbookViewId="0"/>
    <sheetView workbookViewId="1"/>
    <sheetView workbookViewId="2"/>
  </sheetViews>
  <sheetFormatPr defaultRowHeight="15"/>
  <cols>
    <col min="1" max="1" width="13.5703125" bestFit="1" customWidth="1"/>
    <col min="2" max="2" width="16.85546875" customWidth="1"/>
    <col min="3" max="5" width="12.42578125" bestFit="1" customWidth="1"/>
    <col min="6" max="6" width="14.5703125" bestFit="1" customWidth="1"/>
    <col min="7" max="7" width="13.5703125" bestFit="1" customWidth="1"/>
    <col min="8" max="8" width="14.85546875" bestFit="1" customWidth="1"/>
    <col min="9" max="9" width="13.5703125" bestFit="1" customWidth="1"/>
    <col min="10" max="10" width="13" bestFit="1" customWidth="1"/>
    <col min="11" max="11" width="13.5703125" bestFit="1" customWidth="1"/>
    <col min="12" max="12" width="14.5703125" bestFit="1" customWidth="1"/>
  </cols>
  <sheetData>
    <row r="2" spans="1:12">
      <c r="B2" s="669" t="s">
        <v>961</v>
      </c>
      <c r="C2" s="669" t="s">
        <v>962</v>
      </c>
      <c r="D2" s="669" t="s">
        <v>963</v>
      </c>
      <c r="E2" s="669" t="s">
        <v>964</v>
      </c>
      <c r="F2" s="670" t="s">
        <v>965</v>
      </c>
      <c r="G2" s="670" t="s">
        <v>966</v>
      </c>
      <c r="H2" s="670" t="s">
        <v>967</v>
      </c>
      <c r="I2" s="670" t="s">
        <v>968</v>
      </c>
      <c r="J2" s="670" t="s">
        <v>969</v>
      </c>
      <c r="K2" s="670" t="s">
        <v>970</v>
      </c>
      <c r="L2" s="670" t="s">
        <v>971</v>
      </c>
    </row>
    <row r="3" spans="1:12" ht="19.5">
      <c r="A3" s="671"/>
      <c r="B3" s="180" t="s">
        <v>972</v>
      </c>
      <c r="C3" s="180" t="s">
        <v>973</v>
      </c>
      <c r="D3" s="180" t="s">
        <v>974</v>
      </c>
      <c r="E3" s="180" t="s">
        <v>975</v>
      </c>
      <c r="F3" s="672">
        <v>-588.22</v>
      </c>
      <c r="G3" s="672">
        <v>0</v>
      </c>
      <c r="H3" s="672">
        <v>0</v>
      </c>
      <c r="I3" s="672">
        <v>0</v>
      </c>
      <c r="J3" s="672">
        <v>0</v>
      </c>
      <c r="K3" s="672">
        <v>-588.22</v>
      </c>
      <c r="L3" s="672">
        <v>0</v>
      </c>
    </row>
    <row r="4" spans="1:12">
      <c r="B4" s="180" t="s">
        <v>976</v>
      </c>
      <c r="C4" s="180" t="s">
        <v>977</v>
      </c>
      <c r="D4" s="180" t="s">
        <v>974</v>
      </c>
      <c r="E4" s="180" t="s">
        <v>975</v>
      </c>
      <c r="F4" s="672">
        <v>427118.23</v>
      </c>
      <c r="G4" s="672">
        <v>0</v>
      </c>
      <c r="H4" s="672">
        <v>0</v>
      </c>
      <c r="I4" s="672">
        <v>11515.58</v>
      </c>
      <c r="J4" s="672">
        <v>0</v>
      </c>
      <c r="K4" s="672">
        <v>49869.21</v>
      </c>
      <c r="L4" s="672">
        <v>365733.44</v>
      </c>
    </row>
    <row r="5" spans="1:12">
      <c r="B5" s="180" t="s">
        <v>978</v>
      </c>
      <c r="C5" s="180" t="s">
        <v>979</v>
      </c>
      <c r="D5" s="180" t="s">
        <v>974</v>
      </c>
      <c r="E5" s="180" t="s">
        <v>980</v>
      </c>
      <c r="F5" s="672">
        <v>-10284.25</v>
      </c>
      <c r="G5" s="672">
        <v>-19982.64</v>
      </c>
      <c r="H5" s="672">
        <v>23130.799999999999</v>
      </c>
      <c r="I5" s="672">
        <v>-48684.22</v>
      </c>
      <c r="J5" s="672">
        <v>-14535.07</v>
      </c>
      <c r="K5" s="672">
        <v>68344.53</v>
      </c>
      <c r="L5" s="672">
        <v>-18557.650000000001</v>
      </c>
    </row>
    <row r="6" spans="1:12">
      <c r="B6" s="180" t="s">
        <v>981</v>
      </c>
      <c r="C6" s="180" t="s">
        <v>982</v>
      </c>
      <c r="D6" s="180" t="s">
        <v>974</v>
      </c>
      <c r="E6" s="180" t="s">
        <v>983</v>
      </c>
      <c r="F6" s="672">
        <v>0</v>
      </c>
      <c r="G6" s="672">
        <v>0</v>
      </c>
      <c r="H6" s="672">
        <v>0</v>
      </c>
      <c r="I6" s="672">
        <v>0</v>
      </c>
      <c r="J6" s="672">
        <v>0</v>
      </c>
      <c r="K6" s="672">
        <v>24991.38</v>
      </c>
      <c r="L6" s="672">
        <v>-24991.38</v>
      </c>
    </row>
    <row r="7" spans="1:12">
      <c r="B7" s="180" t="s">
        <v>984</v>
      </c>
      <c r="C7" s="180" t="s">
        <v>985</v>
      </c>
      <c r="D7" s="180" t="s">
        <v>974</v>
      </c>
      <c r="E7" s="180" t="s">
        <v>980</v>
      </c>
      <c r="F7" s="672">
        <v>1043.24</v>
      </c>
      <c r="G7" s="672">
        <v>-1976.2</v>
      </c>
      <c r="H7" s="672">
        <v>1420.78</v>
      </c>
      <c r="I7" s="672">
        <v>217.1</v>
      </c>
      <c r="J7" s="672">
        <v>136.94999999999999</v>
      </c>
      <c r="K7" s="672">
        <v>-1348.52</v>
      </c>
      <c r="L7" s="672">
        <v>2593.13</v>
      </c>
    </row>
    <row r="8" spans="1:12">
      <c r="B8" s="180" t="s">
        <v>986</v>
      </c>
      <c r="C8" s="180" t="s">
        <v>987</v>
      </c>
      <c r="D8" s="180" t="s">
        <v>974</v>
      </c>
      <c r="E8" s="180" t="s">
        <v>975</v>
      </c>
      <c r="F8" s="672">
        <v>644.27</v>
      </c>
      <c r="G8" s="672">
        <v>0</v>
      </c>
      <c r="H8" s="672">
        <v>0</v>
      </c>
      <c r="I8" s="672">
        <v>0</v>
      </c>
      <c r="J8" s="672">
        <v>0</v>
      </c>
      <c r="K8" s="672">
        <v>0</v>
      </c>
      <c r="L8" s="672">
        <v>644.27</v>
      </c>
    </row>
    <row r="9" spans="1:12">
      <c r="B9" s="180" t="s">
        <v>988</v>
      </c>
      <c r="C9" s="180" t="s">
        <v>989</v>
      </c>
      <c r="D9" s="180" t="s">
        <v>974</v>
      </c>
      <c r="E9" s="180" t="s">
        <v>990</v>
      </c>
      <c r="F9" s="672">
        <v>0</v>
      </c>
      <c r="G9" s="672">
        <v>0</v>
      </c>
      <c r="H9" s="672">
        <v>0</v>
      </c>
      <c r="I9" s="672">
        <v>0</v>
      </c>
      <c r="J9" s="672">
        <v>0</v>
      </c>
      <c r="K9" s="672">
        <v>0</v>
      </c>
      <c r="L9" s="672">
        <v>0</v>
      </c>
    </row>
    <row r="10" spans="1:12">
      <c r="B10" s="180" t="s">
        <v>991</v>
      </c>
      <c r="C10" s="180" t="s">
        <v>992</v>
      </c>
      <c r="D10" s="180" t="s">
        <v>993</v>
      </c>
      <c r="E10" s="180" t="s">
        <v>980</v>
      </c>
      <c r="F10" s="672">
        <v>920545.99</v>
      </c>
      <c r="G10" s="672">
        <v>23534.6</v>
      </c>
      <c r="H10" s="672">
        <v>71396.570000000007</v>
      </c>
      <c r="I10" s="672">
        <v>22068.41</v>
      </c>
      <c r="J10" s="672">
        <v>20996.75</v>
      </c>
      <c r="K10" s="672">
        <v>166371.22</v>
      </c>
      <c r="L10" s="672">
        <v>616178.43999999994</v>
      </c>
    </row>
    <row r="11" spans="1:12">
      <c r="B11" s="180" t="s">
        <v>994</v>
      </c>
      <c r="C11" s="180" t="s">
        <v>995</v>
      </c>
      <c r="D11" s="180" t="s">
        <v>993</v>
      </c>
      <c r="E11" s="180" t="s">
        <v>975</v>
      </c>
      <c r="F11" s="672">
        <v>-10108.11</v>
      </c>
      <c r="G11" s="672">
        <v>0</v>
      </c>
      <c r="H11" s="672">
        <v>0</v>
      </c>
      <c r="I11" s="672">
        <v>0</v>
      </c>
      <c r="J11" s="672">
        <v>0</v>
      </c>
      <c r="K11" s="672">
        <v>0</v>
      </c>
      <c r="L11" s="672">
        <v>-10108.11</v>
      </c>
    </row>
    <row r="12" spans="1:12">
      <c r="B12" s="180" t="s">
        <v>996</v>
      </c>
      <c r="C12" s="180" t="s">
        <v>997</v>
      </c>
      <c r="D12" s="180" t="s">
        <v>974</v>
      </c>
      <c r="E12" s="180" t="s">
        <v>975</v>
      </c>
      <c r="F12" s="672">
        <v>211604.09</v>
      </c>
      <c r="G12" s="672">
        <v>0</v>
      </c>
      <c r="H12" s="672">
        <v>0</v>
      </c>
      <c r="I12" s="672">
        <v>0</v>
      </c>
      <c r="J12" s="672">
        <v>0</v>
      </c>
      <c r="K12" s="672">
        <v>200109.09</v>
      </c>
      <c r="L12" s="672">
        <v>11495</v>
      </c>
    </row>
    <row r="13" spans="1:12">
      <c r="B13" s="180" t="s">
        <v>998</v>
      </c>
      <c r="C13" s="180" t="s">
        <v>999</v>
      </c>
      <c r="D13" s="180" t="s">
        <v>974</v>
      </c>
      <c r="E13" s="180" t="s">
        <v>980</v>
      </c>
      <c r="F13" s="672">
        <v>-1930.39</v>
      </c>
      <c r="G13" s="672">
        <v>0</v>
      </c>
      <c r="H13" s="672">
        <v>0</v>
      </c>
      <c r="I13" s="672">
        <v>0</v>
      </c>
      <c r="J13" s="672">
        <v>0</v>
      </c>
      <c r="K13" s="672">
        <v>0</v>
      </c>
      <c r="L13" s="672">
        <v>-1930.39</v>
      </c>
    </row>
    <row r="14" spans="1:12">
      <c r="B14" s="180" t="s">
        <v>1000</v>
      </c>
      <c r="C14" s="180" t="s">
        <v>1001</v>
      </c>
      <c r="D14" s="180" t="s">
        <v>974</v>
      </c>
      <c r="E14" s="180" t="s">
        <v>990</v>
      </c>
      <c r="F14" s="672">
        <v>0</v>
      </c>
      <c r="G14" s="672">
        <v>0</v>
      </c>
      <c r="H14" s="672">
        <v>0</v>
      </c>
      <c r="I14" s="672">
        <v>0</v>
      </c>
      <c r="J14" s="672">
        <v>0</v>
      </c>
      <c r="K14" s="672">
        <v>0</v>
      </c>
      <c r="L14" s="672">
        <v>0</v>
      </c>
    </row>
    <row r="15" spans="1:12">
      <c r="B15" s="180" t="s">
        <v>1002</v>
      </c>
      <c r="C15" s="180" t="s">
        <v>1003</v>
      </c>
      <c r="D15" s="180" t="s">
        <v>974</v>
      </c>
      <c r="E15" s="180" t="s">
        <v>975</v>
      </c>
      <c r="F15" s="672">
        <v>-62.34</v>
      </c>
      <c r="G15" s="672">
        <v>0</v>
      </c>
      <c r="H15" s="672">
        <v>0.33</v>
      </c>
      <c r="I15" s="672">
        <v>0</v>
      </c>
      <c r="J15" s="672">
        <v>0</v>
      </c>
      <c r="K15" s="672">
        <v>0</v>
      </c>
      <c r="L15" s="672">
        <v>-62.67</v>
      </c>
    </row>
    <row r="16" spans="1:12">
      <c r="B16" s="180" t="s">
        <v>1004</v>
      </c>
      <c r="C16" s="180" t="s">
        <v>1005</v>
      </c>
      <c r="D16" s="180" t="s">
        <v>993</v>
      </c>
      <c r="E16" s="180" t="s">
        <v>975</v>
      </c>
      <c r="F16" s="672">
        <v>-345100.01</v>
      </c>
      <c r="G16" s="672">
        <v>0</v>
      </c>
      <c r="H16" s="672">
        <v>0</v>
      </c>
      <c r="I16" s="672">
        <v>0</v>
      </c>
      <c r="J16" s="672">
        <v>0</v>
      </c>
      <c r="K16" s="672">
        <v>0</v>
      </c>
      <c r="L16" s="672">
        <v>-345100.01</v>
      </c>
    </row>
    <row r="17" spans="2:12">
      <c r="B17" s="180" t="s">
        <v>1006</v>
      </c>
      <c r="C17" s="180" t="s">
        <v>1007</v>
      </c>
      <c r="D17" s="180" t="s">
        <v>974</v>
      </c>
      <c r="E17" s="180" t="s">
        <v>975</v>
      </c>
      <c r="F17" s="672">
        <v>-54.36</v>
      </c>
      <c r="G17" s="672">
        <v>0</v>
      </c>
      <c r="H17" s="672">
        <v>0</v>
      </c>
      <c r="I17" s="672">
        <v>0</v>
      </c>
      <c r="J17" s="672">
        <v>0</v>
      </c>
      <c r="K17" s="672">
        <v>0</v>
      </c>
      <c r="L17" s="672">
        <v>-54.36</v>
      </c>
    </row>
    <row r="18" spans="2:12">
      <c r="B18" s="180" t="s">
        <v>1008</v>
      </c>
      <c r="C18" s="180" t="s">
        <v>1009</v>
      </c>
      <c r="D18" s="180" t="s">
        <v>974</v>
      </c>
      <c r="E18" s="180" t="s">
        <v>975</v>
      </c>
      <c r="F18" s="672">
        <v>238451.99</v>
      </c>
      <c r="G18" s="672">
        <v>0</v>
      </c>
      <c r="H18" s="672">
        <v>0</v>
      </c>
      <c r="I18" s="672">
        <v>0</v>
      </c>
      <c r="J18" s="672">
        <v>-2250.4499999999998</v>
      </c>
      <c r="K18" s="672">
        <v>46545</v>
      </c>
      <c r="L18" s="672">
        <v>194157.44</v>
      </c>
    </row>
    <row r="19" spans="2:12">
      <c r="B19" s="180" t="s">
        <v>1010</v>
      </c>
      <c r="C19" s="180" t="s">
        <v>1011</v>
      </c>
      <c r="D19" s="180" t="s">
        <v>993</v>
      </c>
      <c r="E19" s="180" t="s">
        <v>975</v>
      </c>
      <c r="F19" s="672">
        <v>-12182.12</v>
      </c>
      <c r="G19" s="672">
        <v>0</v>
      </c>
      <c r="H19" s="672">
        <v>0</v>
      </c>
      <c r="I19" s="672">
        <v>0</v>
      </c>
      <c r="J19" s="672">
        <v>0</v>
      </c>
      <c r="K19" s="672">
        <v>0</v>
      </c>
      <c r="L19" s="672">
        <v>-12182.12</v>
      </c>
    </row>
    <row r="20" spans="2:12">
      <c r="B20" s="180" t="s">
        <v>1012</v>
      </c>
      <c r="C20" s="180" t="s">
        <v>1013</v>
      </c>
      <c r="D20" s="180" t="s">
        <v>974</v>
      </c>
      <c r="E20" s="180" t="s">
        <v>980</v>
      </c>
      <c r="F20" s="672">
        <v>1253709.21</v>
      </c>
      <c r="G20" s="672">
        <v>-3236.46</v>
      </c>
      <c r="H20" s="672">
        <v>-98868.23</v>
      </c>
      <c r="I20" s="672">
        <v>53752.1</v>
      </c>
      <c r="J20" s="672">
        <v>15214.69</v>
      </c>
      <c r="K20" s="672">
        <v>-591901.73</v>
      </c>
      <c r="L20" s="672">
        <v>1878748.84</v>
      </c>
    </row>
    <row r="21" spans="2:12">
      <c r="B21" s="180" t="s">
        <v>1014</v>
      </c>
      <c r="C21" s="180" t="s">
        <v>1015</v>
      </c>
      <c r="D21" s="180" t="s">
        <v>974</v>
      </c>
      <c r="E21" s="180" t="s">
        <v>980</v>
      </c>
      <c r="F21" s="672">
        <v>243681.96</v>
      </c>
      <c r="G21" s="672">
        <v>121741.21</v>
      </c>
      <c r="H21" s="672">
        <v>-5786.8</v>
      </c>
      <c r="I21" s="672">
        <v>56.2</v>
      </c>
      <c r="J21" s="672">
        <v>-6703.42</v>
      </c>
      <c r="K21" s="672">
        <v>23466.16</v>
      </c>
      <c r="L21" s="672">
        <v>110908.61</v>
      </c>
    </row>
    <row r="22" spans="2:12">
      <c r="B22" s="180" t="s">
        <v>1016</v>
      </c>
      <c r="C22" s="180" t="s">
        <v>1017</v>
      </c>
      <c r="D22" s="180" t="s">
        <v>974</v>
      </c>
      <c r="E22" s="180" t="s">
        <v>1018</v>
      </c>
      <c r="F22" s="672">
        <v>0</v>
      </c>
      <c r="G22" s="672">
        <v>0</v>
      </c>
      <c r="H22" s="672">
        <v>0</v>
      </c>
      <c r="I22" s="672">
        <v>0</v>
      </c>
      <c r="J22" s="672">
        <v>0</v>
      </c>
      <c r="K22" s="672">
        <v>0</v>
      </c>
      <c r="L22" s="672">
        <v>0</v>
      </c>
    </row>
    <row r="23" spans="2:12">
      <c r="B23" s="180" t="s">
        <v>1019</v>
      </c>
      <c r="C23" s="180" t="s">
        <v>999</v>
      </c>
      <c r="D23" s="180" t="s">
        <v>974</v>
      </c>
      <c r="E23" s="180" t="s">
        <v>975</v>
      </c>
      <c r="F23" s="672">
        <v>504444.84</v>
      </c>
      <c r="G23" s="672">
        <v>0</v>
      </c>
      <c r="H23" s="672">
        <v>0</v>
      </c>
      <c r="I23" s="672">
        <v>0</v>
      </c>
      <c r="J23" s="672">
        <v>0</v>
      </c>
      <c r="K23" s="672">
        <v>0</v>
      </c>
      <c r="L23" s="672">
        <v>504444.84</v>
      </c>
    </row>
    <row r="24" spans="2:12">
      <c r="B24" s="180" t="s">
        <v>1020</v>
      </c>
      <c r="C24" s="180" t="s">
        <v>1021</v>
      </c>
      <c r="D24" s="180" t="s">
        <v>993</v>
      </c>
      <c r="E24" s="180" t="s">
        <v>1022</v>
      </c>
      <c r="F24" s="672">
        <v>100</v>
      </c>
      <c r="G24" s="672">
        <v>0</v>
      </c>
      <c r="H24" s="672">
        <v>100</v>
      </c>
      <c r="I24" s="672">
        <v>0</v>
      </c>
      <c r="J24" s="672">
        <v>0</v>
      </c>
      <c r="K24" s="672">
        <v>0</v>
      </c>
      <c r="L24" s="672">
        <v>0</v>
      </c>
    </row>
    <row r="25" spans="2:12">
      <c r="B25" s="180" t="s">
        <v>1000</v>
      </c>
      <c r="C25" s="180" t="s">
        <v>1001</v>
      </c>
      <c r="D25" s="180" t="s">
        <v>974</v>
      </c>
      <c r="E25" s="180" t="s">
        <v>980</v>
      </c>
      <c r="F25" s="672">
        <v>90880.78</v>
      </c>
      <c r="G25" s="672">
        <v>0</v>
      </c>
      <c r="H25" s="672">
        <v>0</v>
      </c>
      <c r="I25" s="672">
        <v>0</v>
      </c>
      <c r="J25" s="672">
        <v>0</v>
      </c>
      <c r="K25" s="672">
        <v>31241.8</v>
      </c>
      <c r="L25" s="672">
        <v>59638.98</v>
      </c>
    </row>
    <row r="26" spans="2:12">
      <c r="B26" s="180" t="s">
        <v>1023</v>
      </c>
      <c r="C26" s="180" t="s">
        <v>1024</v>
      </c>
      <c r="D26" s="180" t="s">
        <v>974</v>
      </c>
      <c r="E26" s="180" t="s">
        <v>990</v>
      </c>
      <c r="F26" s="672">
        <v>0</v>
      </c>
      <c r="G26" s="672">
        <v>0</v>
      </c>
      <c r="H26" s="672">
        <v>0</v>
      </c>
      <c r="I26" s="672">
        <v>0</v>
      </c>
      <c r="J26" s="672">
        <v>0</v>
      </c>
      <c r="K26" s="672">
        <v>0</v>
      </c>
      <c r="L26" s="672">
        <v>0</v>
      </c>
    </row>
    <row r="27" spans="2:12">
      <c r="B27" s="180" t="s">
        <v>1025</v>
      </c>
      <c r="C27" s="180" t="s">
        <v>1026</v>
      </c>
      <c r="D27" s="180" t="s">
        <v>993</v>
      </c>
      <c r="E27" s="180" t="s">
        <v>975</v>
      </c>
      <c r="F27" s="672">
        <v>21912.87</v>
      </c>
      <c r="G27" s="672">
        <v>0</v>
      </c>
      <c r="H27" s="672">
        <v>0</v>
      </c>
      <c r="I27" s="672">
        <v>0</v>
      </c>
      <c r="J27" s="672">
        <v>0</v>
      </c>
      <c r="K27" s="672">
        <v>0</v>
      </c>
      <c r="L27" s="672">
        <v>21912.87</v>
      </c>
    </row>
    <row r="28" spans="2:12">
      <c r="B28" s="180" t="s">
        <v>1027</v>
      </c>
      <c r="C28" s="180" t="s">
        <v>1028</v>
      </c>
      <c r="D28" s="180" t="s">
        <v>974</v>
      </c>
      <c r="E28" s="180" t="s">
        <v>975</v>
      </c>
      <c r="F28" s="672">
        <v>-7260</v>
      </c>
      <c r="G28" s="672">
        <v>0</v>
      </c>
      <c r="H28" s="672">
        <v>0</v>
      </c>
      <c r="I28" s="672">
        <v>0</v>
      </c>
      <c r="J28" s="672">
        <v>0</v>
      </c>
      <c r="K28" s="672">
        <v>0</v>
      </c>
      <c r="L28" s="672">
        <v>-7260</v>
      </c>
    </row>
    <row r="29" spans="2:12">
      <c r="B29" s="180" t="s">
        <v>1029</v>
      </c>
      <c r="C29" s="180" t="s">
        <v>1030</v>
      </c>
      <c r="D29" s="180" t="s">
        <v>993</v>
      </c>
      <c r="E29" s="180" t="s">
        <v>990</v>
      </c>
      <c r="F29" s="672">
        <v>0</v>
      </c>
      <c r="G29" s="672">
        <v>0</v>
      </c>
      <c r="H29" s="672">
        <v>0</v>
      </c>
      <c r="I29" s="672">
        <v>0</v>
      </c>
      <c r="J29" s="672">
        <v>0</v>
      </c>
      <c r="K29" s="672">
        <v>0</v>
      </c>
      <c r="L29" s="672">
        <v>0</v>
      </c>
    </row>
    <row r="30" spans="2:12">
      <c r="B30" s="180" t="s">
        <v>1031</v>
      </c>
      <c r="C30" s="180" t="s">
        <v>1032</v>
      </c>
      <c r="D30" s="180" t="s">
        <v>974</v>
      </c>
      <c r="E30" s="180" t="s">
        <v>975</v>
      </c>
      <c r="F30" s="672">
        <v>0</v>
      </c>
      <c r="G30" s="672">
        <v>0</v>
      </c>
      <c r="H30" s="672">
        <v>0</v>
      </c>
      <c r="I30" s="672">
        <v>0</v>
      </c>
      <c r="J30" s="672">
        <v>0</v>
      </c>
      <c r="K30" s="672">
        <v>0</v>
      </c>
      <c r="L30" s="672">
        <v>0</v>
      </c>
    </row>
    <row r="31" spans="2:12">
      <c r="B31" s="180" t="s">
        <v>1033</v>
      </c>
      <c r="C31" s="180" t="s">
        <v>999</v>
      </c>
      <c r="D31" s="180" t="s">
        <v>974</v>
      </c>
      <c r="E31" s="180" t="s">
        <v>1034</v>
      </c>
      <c r="F31" s="672">
        <v>0</v>
      </c>
      <c r="G31" s="672">
        <v>0</v>
      </c>
      <c r="H31" s="672">
        <v>0</v>
      </c>
      <c r="I31" s="672">
        <v>0</v>
      </c>
      <c r="J31" s="672">
        <v>0</v>
      </c>
      <c r="K31" s="672">
        <v>0</v>
      </c>
      <c r="L31" s="672">
        <v>0</v>
      </c>
    </row>
    <row r="32" spans="2:12">
      <c r="B32" s="180" t="s">
        <v>1035</v>
      </c>
      <c r="C32" s="180" t="s">
        <v>1036</v>
      </c>
      <c r="D32" s="180" t="s">
        <v>993</v>
      </c>
      <c r="E32" s="180" t="s">
        <v>990</v>
      </c>
      <c r="F32" s="672">
        <v>0</v>
      </c>
      <c r="G32" s="672">
        <v>0</v>
      </c>
      <c r="H32" s="672">
        <v>0</v>
      </c>
      <c r="I32" s="672">
        <v>0</v>
      </c>
      <c r="J32" s="672">
        <v>0</v>
      </c>
      <c r="K32" s="672">
        <v>0</v>
      </c>
      <c r="L32" s="672">
        <v>0</v>
      </c>
    </row>
    <row r="33" spans="2:12">
      <c r="B33" s="180" t="s">
        <v>1037</v>
      </c>
      <c r="C33" s="180" t="s">
        <v>1038</v>
      </c>
      <c r="D33" s="180" t="s">
        <v>974</v>
      </c>
      <c r="E33" s="180" t="s">
        <v>990</v>
      </c>
      <c r="F33" s="672">
        <v>0</v>
      </c>
      <c r="G33" s="672">
        <v>0</v>
      </c>
      <c r="H33" s="672">
        <v>0</v>
      </c>
      <c r="I33" s="672">
        <v>0</v>
      </c>
      <c r="J33" s="672">
        <v>0</v>
      </c>
      <c r="K33" s="672">
        <v>0</v>
      </c>
      <c r="L33" s="672">
        <v>0</v>
      </c>
    </row>
    <row r="34" spans="2:12">
      <c r="B34" s="180" t="s">
        <v>1039</v>
      </c>
      <c r="C34" s="180" t="s">
        <v>1040</v>
      </c>
      <c r="D34" s="180" t="s">
        <v>974</v>
      </c>
      <c r="E34" s="180" t="s">
        <v>980</v>
      </c>
      <c r="F34" s="672">
        <v>0</v>
      </c>
      <c r="G34" s="672">
        <v>0</v>
      </c>
      <c r="H34" s="672">
        <v>0</v>
      </c>
      <c r="I34" s="672">
        <v>0</v>
      </c>
      <c r="J34" s="672">
        <v>0</v>
      </c>
      <c r="K34" s="672">
        <v>0</v>
      </c>
      <c r="L34" s="672">
        <v>0</v>
      </c>
    </row>
    <row r="35" spans="2:12">
      <c r="B35" s="180" t="s">
        <v>1041</v>
      </c>
      <c r="C35" s="180" t="s">
        <v>1042</v>
      </c>
      <c r="D35" s="180" t="s">
        <v>974</v>
      </c>
      <c r="E35" s="180" t="s">
        <v>990</v>
      </c>
      <c r="F35" s="672">
        <v>0</v>
      </c>
      <c r="G35" s="672">
        <v>0</v>
      </c>
      <c r="H35" s="672">
        <v>0</v>
      </c>
      <c r="I35" s="672">
        <v>0</v>
      </c>
      <c r="J35" s="672">
        <v>0</v>
      </c>
      <c r="K35" s="672">
        <v>0</v>
      </c>
      <c r="L35" s="672">
        <v>0</v>
      </c>
    </row>
    <row r="36" spans="2:12">
      <c r="B36" s="180" t="s">
        <v>1043</v>
      </c>
      <c r="C36" s="180" t="s">
        <v>1044</v>
      </c>
      <c r="D36" s="180" t="s">
        <v>974</v>
      </c>
      <c r="E36" s="180" t="s">
        <v>983</v>
      </c>
      <c r="F36" s="672">
        <v>-1.98</v>
      </c>
      <c r="G36" s="672">
        <v>3.02</v>
      </c>
      <c r="H36" s="672">
        <v>0.33</v>
      </c>
      <c r="I36" s="672">
        <v>4.67</v>
      </c>
      <c r="J36" s="672">
        <v>-5</v>
      </c>
      <c r="K36" s="672">
        <v>-5</v>
      </c>
      <c r="L36" s="672">
        <v>0</v>
      </c>
    </row>
    <row r="37" spans="2:12">
      <c r="B37" s="180" t="s">
        <v>1045</v>
      </c>
      <c r="C37" s="180" t="s">
        <v>1046</v>
      </c>
      <c r="D37" s="180" t="s">
        <v>974</v>
      </c>
      <c r="E37" s="180" t="s">
        <v>990</v>
      </c>
      <c r="F37" s="672">
        <v>0</v>
      </c>
      <c r="G37" s="672">
        <v>0</v>
      </c>
      <c r="H37" s="672">
        <v>0</v>
      </c>
      <c r="I37" s="672">
        <v>0</v>
      </c>
      <c r="J37" s="672">
        <v>0</v>
      </c>
      <c r="K37" s="672">
        <v>0</v>
      </c>
      <c r="L37" s="672">
        <v>0</v>
      </c>
    </row>
    <row r="38" spans="2:12">
      <c r="B38" s="180" t="s">
        <v>1047</v>
      </c>
      <c r="C38" s="180" t="s">
        <v>1048</v>
      </c>
      <c r="D38" s="180" t="s">
        <v>993</v>
      </c>
      <c r="E38" s="180" t="s">
        <v>990</v>
      </c>
      <c r="F38" s="672">
        <v>0</v>
      </c>
      <c r="G38" s="672">
        <v>0</v>
      </c>
      <c r="H38" s="672">
        <v>0</v>
      </c>
      <c r="I38" s="672">
        <v>0</v>
      </c>
      <c r="J38" s="672">
        <v>0</v>
      </c>
      <c r="K38" s="672">
        <v>0</v>
      </c>
      <c r="L38" s="672">
        <v>0</v>
      </c>
    </row>
    <row r="39" spans="2:12">
      <c r="B39" s="180" t="s">
        <v>1049</v>
      </c>
      <c r="C39" s="180" t="s">
        <v>1050</v>
      </c>
      <c r="D39" s="180" t="s">
        <v>974</v>
      </c>
      <c r="E39" s="180" t="s">
        <v>975</v>
      </c>
      <c r="F39" s="672">
        <v>71948.22</v>
      </c>
      <c r="G39" s="672">
        <v>0</v>
      </c>
      <c r="H39" s="672">
        <v>0</v>
      </c>
      <c r="I39" s="672">
        <v>0</v>
      </c>
      <c r="J39" s="672">
        <v>0</v>
      </c>
      <c r="K39" s="672">
        <v>1612.13</v>
      </c>
      <c r="L39" s="672">
        <v>70336.09</v>
      </c>
    </row>
    <row r="40" spans="2:12">
      <c r="B40" s="180" t="s">
        <v>1051</v>
      </c>
      <c r="C40" s="180" t="s">
        <v>1052</v>
      </c>
      <c r="D40" s="180" t="s">
        <v>974</v>
      </c>
      <c r="E40" s="180" t="s">
        <v>980</v>
      </c>
      <c r="F40" s="672">
        <v>0</v>
      </c>
      <c r="G40" s="672">
        <v>0</v>
      </c>
      <c r="H40" s="672">
        <v>0.33</v>
      </c>
      <c r="I40" s="672">
        <v>-0.33</v>
      </c>
      <c r="J40" s="672">
        <v>0</v>
      </c>
      <c r="K40" s="672">
        <v>-11410.35</v>
      </c>
      <c r="L40" s="672">
        <v>11410.35</v>
      </c>
    </row>
    <row r="41" spans="2:12">
      <c r="B41" s="180" t="s">
        <v>1053</v>
      </c>
      <c r="C41" s="180" t="s">
        <v>1054</v>
      </c>
      <c r="D41" s="180" t="s">
        <v>974</v>
      </c>
      <c r="E41" s="180" t="s">
        <v>983</v>
      </c>
      <c r="F41" s="672">
        <v>-1367.19</v>
      </c>
      <c r="G41" s="672">
        <v>74.72</v>
      </c>
      <c r="H41" s="672">
        <v>-134.47</v>
      </c>
      <c r="I41" s="672">
        <v>66.97</v>
      </c>
      <c r="J41" s="672">
        <v>-195.21</v>
      </c>
      <c r="K41" s="672">
        <v>114.35</v>
      </c>
      <c r="L41" s="672">
        <v>-1293.55</v>
      </c>
    </row>
    <row r="42" spans="2:12">
      <c r="B42" s="180" t="s">
        <v>1055</v>
      </c>
      <c r="C42" s="180" t="s">
        <v>1056</v>
      </c>
      <c r="D42" s="180" t="s">
        <v>993</v>
      </c>
      <c r="E42" s="180" t="s">
        <v>980</v>
      </c>
      <c r="F42" s="672">
        <v>1129928.82</v>
      </c>
      <c r="G42" s="672">
        <v>20577.169999999998</v>
      </c>
      <c r="H42" s="672">
        <v>24643.82</v>
      </c>
      <c r="I42" s="672">
        <v>21802.27</v>
      </c>
      <c r="J42" s="672">
        <v>23334.73</v>
      </c>
      <c r="K42" s="672">
        <v>197002.31</v>
      </c>
      <c r="L42" s="672">
        <v>842568.52</v>
      </c>
    </row>
    <row r="43" spans="2:12">
      <c r="B43" s="180" t="s">
        <v>998</v>
      </c>
      <c r="C43" s="180" t="s">
        <v>999</v>
      </c>
      <c r="D43" s="180" t="s">
        <v>974</v>
      </c>
      <c r="E43" s="180" t="s">
        <v>1034</v>
      </c>
      <c r="F43" s="672">
        <v>0</v>
      </c>
      <c r="G43" s="672">
        <v>0</v>
      </c>
      <c r="H43" s="672">
        <v>0</v>
      </c>
      <c r="I43" s="672">
        <v>0</v>
      </c>
      <c r="J43" s="672">
        <v>0</v>
      </c>
      <c r="K43" s="672">
        <v>0</v>
      </c>
      <c r="L43" s="672">
        <v>0</v>
      </c>
    </row>
    <row r="44" spans="2:12">
      <c r="B44" s="180" t="s">
        <v>1057</v>
      </c>
      <c r="C44" s="180" t="s">
        <v>1058</v>
      </c>
      <c r="D44" s="180" t="s">
        <v>974</v>
      </c>
      <c r="E44" s="180" t="s">
        <v>980</v>
      </c>
      <c r="F44" s="672">
        <v>39339496.890000001</v>
      </c>
      <c r="G44" s="672">
        <v>5970502.5</v>
      </c>
      <c r="H44" s="672">
        <v>30346.44</v>
      </c>
      <c r="I44" s="672">
        <v>25059.759999999998</v>
      </c>
      <c r="J44" s="672">
        <v>24178.53</v>
      </c>
      <c r="K44" s="672">
        <v>4581433.1900000004</v>
      </c>
      <c r="L44" s="672">
        <v>28707976.469999999</v>
      </c>
    </row>
    <row r="45" spans="2:12">
      <c r="B45" s="180" t="s">
        <v>1059</v>
      </c>
      <c r="C45" s="180" t="s">
        <v>1060</v>
      </c>
      <c r="D45" s="180" t="s">
        <v>993</v>
      </c>
      <c r="E45" s="180" t="s">
        <v>975</v>
      </c>
      <c r="F45" s="672">
        <v>-1129.79</v>
      </c>
      <c r="G45" s="672">
        <v>0</v>
      </c>
      <c r="H45" s="672">
        <v>0</v>
      </c>
      <c r="I45" s="672">
        <v>0</v>
      </c>
      <c r="J45" s="672">
        <v>0</v>
      </c>
      <c r="K45" s="672">
        <v>0</v>
      </c>
      <c r="L45" s="672">
        <v>-1129.79</v>
      </c>
    </row>
    <row r="46" spans="2:12">
      <c r="B46" s="180" t="s">
        <v>1061</v>
      </c>
      <c r="C46" s="180" t="s">
        <v>1062</v>
      </c>
      <c r="D46" s="180" t="s">
        <v>993</v>
      </c>
      <c r="E46" s="180" t="s">
        <v>990</v>
      </c>
      <c r="F46" s="672">
        <v>0</v>
      </c>
      <c r="G46" s="672">
        <v>0</v>
      </c>
      <c r="H46" s="672">
        <v>0</v>
      </c>
      <c r="I46" s="672">
        <v>0</v>
      </c>
      <c r="J46" s="672">
        <v>0</v>
      </c>
      <c r="K46" s="672">
        <v>0</v>
      </c>
      <c r="L46" s="672">
        <v>0</v>
      </c>
    </row>
    <row r="47" spans="2:12">
      <c r="B47" s="180" t="s">
        <v>1063</v>
      </c>
      <c r="C47" s="180" t="s">
        <v>1050</v>
      </c>
      <c r="D47" s="180" t="s">
        <v>974</v>
      </c>
      <c r="E47" s="180" t="s">
        <v>990</v>
      </c>
      <c r="F47" s="672">
        <v>0</v>
      </c>
      <c r="G47" s="672">
        <v>0</v>
      </c>
      <c r="H47" s="672">
        <v>0</v>
      </c>
      <c r="I47" s="672">
        <v>0</v>
      </c>
      <c r="J47" s="672">
        <v>0</v>
      </c>
      <c r="K47" s="672">
        <v>0</v>
      </c>
      <c r="L47" s="672">
        <v>0</v>
      </c>
    </row>
    <row r="48" spans="2:12">
      <c r="B48" s="180" t="s">
        <v>1064</v>
      </c>
      <c r="C48" s="180" t="s">
        <v>1065</v>
      </c>
      <c r="D48" s="180" t="s">
        <v>993</v>
      </c>
      <c r="E48" s="180" t="s">
        <v>990</v>
      </c>
      <c r="F48" s="672">
        <v>0</v>
      </c>
      <c r="G48" s="672">
        <v>0</v>
      </c>
      <c r="H48" s="672">
        <v>0</v>
      </c>
      <c r="I48" s="672">
        <v>0</v>
      </c>
      <c r="J48" s="672">
        <v>0</v>
      </c>
      <c r="K48" s="672">
        <v>0</v>
      </c>
      <c r="L48" s="672">
        <v>0</v>
      </c>
    </row>
    <row r="49" spans="2:12">
      <c r="B49" s="180" t="s">
        <v>1066</v>
      </c>
      <c r="C49" s="180" t="s">
        <v>1067</v>
      </c>
      <c r="D49" s="180" t="s">
        <v>993</v>
      </c>
      <c r="E49" s="180" t="s">
        <v>975</v>
      </c>
      <c r="F49" s="672">
        <v>-5208.79</v>
      </c>
      <c r="G49" s="672">
        <v>0</v>
      </c>
      <c r="H49" s="672">
        <v>0</v>
      </c>
      <c r="I49" s="672">
        <v>0</v>
      </c>
      <c r="J49" s="672">
        <v>0</v>
      </c>
      <c r="K49" s="672">
        <v>0</v>
      </c>
      <c r="L49" s="672">
        <v>-5208.79</v>
      </c>
    </row>
    <row r="50" spans="2:12">
      <c r="B50" s="180" t="s">
        <v>1068</v>
      </c>
      <c r="C50" s="180" t="s">
        <v>1069</v>
      </c>
      <c r="D50" s="180" t="s">
        <v>993</v>
      </c>
      <c r="E50" s="180" t="s">
        <v>980</v>
      </c>
      <c r="F50" s="672">
        <v>32843.660000000003</v>
      </c>
      <c r="G50" s="672">
        <v>547.86</v>
      </c>
      <c r="H50" s="672">
        <v>619.38</v>
      </c>
      <c r="I50" s="672">
        <v>721.33</v>
      </c>
      <c r="J50" s="672">
        <v>777.55</v>
      </c>
      <c r="K50" s="672">
        <v>4256.99</v>
      </c>
      <c r="L50" s="672">
        <v>25920.55</v>
      </c>
    </row>
    <row r="51" spans="2:12">
      <c r="B51" s="180" t="s">
        <v>1070</v>
      </c>
      <c r="C51" s="180" t="s">
        <v>1005</v>
      </c>
      <c r="D51" s="180" t="s">
        <v>993</v>
      </c>
      <c r="E51" s="180" t="s">
        <v>975</v>
      </c>
      <c r="F51" s="672">
        <v>-18246.47</v>
      </c>
      <c r="G51" s="672">
        <v>0</v>
      </c>
      <c r="H51" s="672">
        <v>0</v>
      </c>
      <c r="I51" s="672">
        <v>0</v>
      </c>
      <c r="J51" s="672">
        <v>0</v>
      </c>
      <c r="K51" s="672">
        <v>0</v>
      </c>
      <c r="L51" s="672">
        <v>-18246.47</v>
      </c>
    </row>
    <row r="52" spans="2:12">
      <c r="B52" s="180" t="s">
        <v>1023</v>
      </c>
      <c r="C52" s="180" t="s">
        <v>1024</v>
      </c>
      <c r="D52" s="180" t="s">
        <v>974</v>
      </c>
      <c r="E52" s="180" t="s">
        <v>983</v>
      </c>
      <c r="F52" s="672">
        <v>-2350.52</v>
      </c>
      <c r="G52" s="672">
        <v>-10.63</v>
      </c>
      <c r="H52" s="672">
        <v>113.63</v>
      </c>
      <c r="I52" s="672">
        <v>15.9</v>
      </c>
      <c r="J52" s="672">
        <v>4.8</v>
      </c>
      <c r="K52" s="672">
        <v>146.22</v>
      </c>
      <c r="L52" s="672">
        <v>-2620.44</v>
      </c>
    </row>
    <row r="53" spans="2:12">
      <c r="B53" s="180" t="s">
        <v>1071</v>
      </c>
      <c r="C53" s="180" t="s">
        <v>1072</v>
      </c>
      <c r="D53" s="180" t="s">
        <v>993</v>
      </c>
      <c r="E53" s="180" t="s">
        <v>980</v>
      </c>
      <c r="F53" s="672">
        <v>1344510.91</v>
      </c>
      <c r="G53" s="672">
        <v>46828.88</v>
      </c>
      <c r="H53" s="672">
        <v>105406.86</v>
      </c>
      <c r="I53" s="672">
        <v>17596.38</v>
      </c>
      <c r="J53" s="672">
        <v>17818.14</v>
      </c>
      <c r="K53" s="672">
        <v>244508.69</v>
      </c>
      <c r="L53" s="672">
        <v>912351.96</v>
      </c>
    </row>
    <row r="54" spans="2:12">
      <c r="B54" s="180" t="s">
        <v>1073</v>
      </c>
      <c r="C54" s="180" t="s">
        <v>1074</v>
      </c>
      <c r="D54" s="180" t="s">
        <v>974</v>
      </c>
      <c r="E54" s="180" t="s">
        <v>975</v>
      </c>
      <c r="F54" s="672">
        <v>-387.46</v>
      </c>
      <c r="G54" s="672">
        <v>0</v>
      </c>
      <c r="H54" s="672">
        <v>0</v>
      </c>
      <c r="I54" s="672">
        <v>0</v>
      </c>
      <c r="J54" s="672">
        <v>0</v>
      </c>
      <c r="K54" s="672">
        <v>0</v>
      </c>
      <c r="L54" s="672">
        <v>-387.46</v>
      </c>
    </row>
    <row r="55" spans="2:12">
      <c r="B55" s="180" t="s">
        <v>1057</v>
      </c>
      <c r="C55" s="180" t="s">
        <v>1058</v>
      </c>
      <c r="D55" s="180" t="s">
        <v>974</v>
      </c>
      <c r="E55" s="180" t="s">
        <v>1075</v>
      </c>
      <c r="F55" s="672">
        <v>0</v>
      </c>
      <c r="G55" s="672">
        <v>0</v>
      </c>
      <c r="H55" s="672">
        <v>0</v>
      </c>
      <c r="I55" s="672">
        <v>0</v>
      </c>
      <c r="J55" s="672">
        <v>0</v>
      </c>
      <c r="K55" s="672">
        <v>0</v>
      </c>
      <c r="L55" s="672">
        <v>0</v>
      </c>
    </row>
    <row r="56" spans="2:12">
      <c r="B56" s="180" t="s">
        <v>1076</v>
      </c>
      <c r="C56" s="180" t="s">
        <v>1077</v>
      </c>
      <c r="D56" s="180" t="s">
        <v>974</v>
      </c>
      <c r="E56" s="180" t="s">
        <v>1075</v>
      </c>
      <c r="F56" s="672">
        <v>0</v>
      </c>
      <c r="G56" s="672">
        <v>0</v>
      </c>
      <c r="H56" s="672">
        <v>0</v>
      </c>
      <c r="I56" s="672">
        <v>0</v>
      </c>
      <c r="J56" s="672">
        <v>0</v>
      </c>
      <c r="K56" s="672">
        <v>0</v>
      </c>
      <c r="L56" s="672">
        <v>0</v>
      </c>
    </row>
    <row r="57" spans="2:12">
      <c r="B57" s="180" t="s">
        <v>1076</v>
      </c>
      <c r="C57" s="180" t="s">
        <v>1077</v>
      </c>
      <c r="D57" s="180" t="s">
        <v>974</v>
      </c>
      <c r="E57" s="180" t="s">
        <v>1078</v>
      </c>
      <c r="F57" s="672">
        <v>-33556.370000000003</v>
      </c>
      <c r="G57" s="672">
        <v>0</v>
      </c>
      <c r="H57" s="672">
        <v>0</v>
      </c>
      <c r="I57" s="672">
        <v>0</v>
      </c>
      <c r="J57" s="672">
        <v>0</v>
      </c>
      <c r="K57" s="672">
        <v>0</v>
      </c>
      <c r="L57" s="672">
        <v>-33556.370000000003</v>
      </c>
    </row>
    <row r="58" spans="2:12">
      <c r="B58" s="180" t="s">
        <v>1079</v>
      </c>
      <c r="C58" s="180" t="s">
        <v>1080</v>
      </c>
      <c r="D58" s="180" t="s">
        <v>974</v>
      </c>
      <c r="E58" s="180" t="s">
        <v>983</v>
      </c>
      <c r="F58" s="672">
        <v>40036.959999999999</v>
      </c>
      <c r="G58" s="672">
        <v>6205.11</v>
      </c>
      <c r="H58" s="672">
        <v>6793.71</v>
      </c>
      <c r="I58" s="672">
        <v>6887.22</v>
      </c>
      <c r="J58" s="672">
        <v>-25995.39</v>
      </c>
      <c r="K58" s="672">
        <v>-23509.49</v>
      </c>
      <c r="L58" s="672">
        <v>69655.8</v>
      </c>
    </row>
    <row r="59" spans="2:12">
      <c r="B59" s="180" t="s">
        <v>1081</v>
      </c>
      <c r="C59" s="180" t="s">
        <v>1082</v>
      </c>
      <c r="D59" s="180" t="s">
        <v>993</v>
      </c>
      <c r="E59" s="180" t="s">
        <v>980</v>
      </c>
      <c r="F59" s="672">
        <v>1037884.54</v>
      </c>
      <c r="G59" s="672">
        <v>22785.56</v>
      </c>
      <c r="H59" s="672">
        <v>46978.63</v>
      </c>
      <c r="I59" s="672">
        <v>16196.54</v>
      </c>
      <c r="J59" s="672">
        <v>15394.27</v>
      </c>
      <c r="K59" s="672">
        <v>231578.68</v>
      </c>
      <c r="L59" s="672">
        <v>704950.86</v>
      </c>
    </row>
    <row r="60" spans="2:12">
      <c r="B60" s="180" t="s">
        <v>1083</v>
      </c>
      <c r="C60" s="180" t="s">
        <v>1084</v>
      </c>
      <c r="D60" s="180" t="s">
        <v>993</v>
      </c>
      <c r="E60" s="180" t="s">
        <v>990</v>
      </c>
      <c r="F60" s="672">
        <v>0</v>
      </c>
      <c r="G60" s="672">
        <v>0</v>
      </c>
      <c r="H60" s="672">
        <v>0</v>
      </c>
      <c r="I60" s="672">
        <v>0</v>
      </c>
      <c r="J60" s="672">
        <v>0</v>
      </c>
      <c r="K60" s="672">
        <v>0</v>
      </c>
      <c r="L60" s="672">
        <v>0</v>
      </c>
    </row>
    <row r="61" spans="2:12">
      <c r="B61" s="180" t="s">
        <v>1085</v>
      </c>
      <c r="C61" s="180" t="s">
        <v>1086</v>
      </c>
      <c r="D61" s="180" t="s">
        <v>974</v>
      </c>
      <c r="E61" s="180" t="s">
        <v>975</v>
      </c>
      <c r="F61" s="672">
        <v>69183.820000000007</v>
      </c>
      <c r="G61" s="672">
        <v>0</v>
      </c>
      <c r="H61" s="672">
        <v>0</v>
      </c>
      <c r="I61" s="672">
        <v>0</v>
      </c>
      <c r="J61" s="672">
        <v>0</v>
      </c>
      <c r="K61" s="672">
        <v>0</v>
      </c>
      <c r="L61" s="672">
        <v>69183.820000000007</v>
      </c>
    </row>
    <row r="62" spans="2:12">
      <c r="B62" s="180" t="s">
        <v>1087</v>
      </c>
      <c r="C62" s="180" t="s">
        <v>1088</v>
      </c>
      <c r="D62" s="180" t="s">
        <v>974</v>
      </c>
      <c r="E62" s="180" t="s">
        <v>990</v>
      </c>
      <c r="F62" s="672">
        <v>0</v>
      </c>
      <c r="G62" s="672">
        <v>0</v>
      </c>
      <c r="H62" s="672">
        <v>0</v>
      </c>
      <c r="I62" s="672">
        <v>0</v>
      </c>
      <c r="J62" s="672">
        <v>0</v>
      </c>
      <c r="K62" s="672">
        <v>0</v>
      </c>
      <c r="L62" s="672">
        <v>0</v>
      </c>
    </row>
    <row r="63" spans="2:12">
      <c r="B63" s="180" t="s">
        <v>1089</v>
      </c>
      <c r="C63" s="180" t="s">
        <v>1090</v>
      </c>
      <c r="D63" s="180" t="s">
        <v>974</v>
      </c>
      <c r="E63" s="180" t="s">
        <v>980</v>
      </c>
      <c r="F63" s="672">
        <v>-61036.29</v>
      </c>
      <c r="G63" s="672">
        <v>1759.68</v>
      </c>
      <c r="H63" s="672">
        <v>1731.81</v>
      </c>
      <c r="I63" s="672">
        <v>1871.66</v>
      </c>
      <c r="J63" s="672">
        <v>1815.84</v>
      </c>
      <c r="K63" s="672">
        <v>80690.62</v>
      </c>
      <c r="L63" s="672">
        <v>-148905.9</v>
      </c>
    </row>
    <row r="64" spans="2:12">
      <c r="B64" s="180" t="s">
        <v>1091</v>
      </c>
      <c r="C64" s="180" t="s">
        <v>1092</v>
      </c>
      <c r="D64" s="180" t="s">
        <v>974</v>
      </c>
      <c r="E64" s="180" t="s">
        <v>990</v>
      </c>
      <c r="F64" s="672">
        <v>0</v>
      </c>
      <c r="G64" s="672">
        <v>0</v>
      </c>
      <c r="H64" s="672">
        <v>0</v>
      </c>
      <c r="I64" s="672">
        <v>0</v>
      </c>
      <c r="J64" s="672">
        <v>0</v>
      </c>
      <c r="K64" s="672">
        <v>0</v>
      </c>
      <c r="L64" s="672">
        <v>0</v>
      </c>
    </row>
    <row r="65" spans="2:12">
      <c r="B65" s="180" t="s">
        <v>1051</v>
      </c>
      <c r="C65" s="180" t="s">
        <v>1052</v>
      </c>
      <c r="D65" s="180" t="s">
        <v>974</v>
      </c>
      <c r="E65" s="180" t="s">
        <v>975</v>
      </c>
      <c r="F65" s="672">
        <v>402194.66</v>
      </c>
      <c r="G65" s="672">
        <v>23807.63</v>
      </c>
      <c r="H65" s="672">
        <v>0</v>
      </c>
      <c r="I65" s="672">
        <v>42235.83</v>
      </c>
      <c r="J65" s="672">
        <v>40488.21</v>
      </c>
      <c r="K65" s="672">
        <v>167073.9</v>
      </c>
      <c r="L65" s="672">
        <v>128589.09</v>
      </c>
    </row>
    <row r="66" spans="2:12">
      <c r="B66" s="180" t="s">
        <v>1093</v>
      </c>
      <c r="C66" s="180" t="s">
        <v>1094</v>
      </c>
      <c r="D66" s="180" t="s">
        <v>974</v>
      </c>
      <c r="E66" s="180" t="s">
        <v>990</v>
      </c>
      <c r="F66" s="672">
        <v>0</v>
      </c>
      <c r="G66" s="672">
        <v>0</v>
      </c>
      <c r="H66" s="672">
        <v>0</v>
      </c>
      <c r="I66" s="672">
        <v>0</v>
      </c>
      <c r="J66" s="672">
        <v>0</v>
      </c>
      <c r="K66" s="672">
        <v>0</v>
      </c>
      <c r="L66" s="672">
        <v>0</v>
      </c>
    </row>
    <row r="67" spans="2:12">
      <c r="B67" s="180" t="s">
        <v>1095</v>
      </c>
      <c r="C67" s="180" t="s">
        <v>1096</v>
      </c>
      <c r="D67" s="180" t="s">
        <v>974</v>
      </c>
      <c r="E67" s="180" t="s">
        <v>1075</v>
      </c>
      <c r="F67" s="672">
        <v>0</v>
      </c>
      <c r="G67" s="672">
        <v>0</v>
      </c>
      <c r="H67" s="672">
        <v>0</v>
      </c>
      <c r="I67" s="672">
        <v>0</v>
      </c>
      <c r="J67" s="672">
        <v>0</v>
      </c>
      <c r="K67" s="672">
        <v>0</v>
      </c>
      <c r="L67" s="672">
        <v>0</v>
      </c>
    </row>
    <row r="68" spans="2:12">
      <c r="B68" s="180" t="s">
        <v>1097</v>
      </c>
      <c r="C68" s="180" t="s">
        <v>1098</v>
      </c>
      <c r="D68" s="180" t="s">
        <v>993</v>
      </c>
      <c r="E68" s="180" t="s">
        <v>980</v>
      </c>
      <c r="F68" s="672">
        <v>80082.17</v>
      </c>
      <c r="G68" s="672">
        <v>2034.99</v>
      </c>
      <c r="H68" s="672">
        <v>1898.74</v>
      </c>
      <c r="I68" s="672">
        <v>29863.66</v>
      </c>
      <c r="J68" s="672">
        <v>1091.82</v>
      </c>
      <c r="K68" s="672">
        <v>10532.8</v>
      </c>
      <c r="L68" s="672">
        <v>34660.160000000003</v>
      </c>
    </row>
    <row r="69" spans="2:12">
      <c r="B69" s="180" t="s">
        <v>1099</v>
      </c>
      <c r="C69" s="180" t="s">
        <v>1100</v>
      </c>
      <c r="D69" s="180" t="s">
        <v>974</v>
      </c>
      <c r="E69" s="180" t="s">
        <v>975</v>
      </c>
      <c r="F69" s="672">
        <v>2229.83</v>
      </c>
      <c r="G69" s="672">
        <v>0</v>
      </c>
      <c r="H69" s="672">
        <v>0</v>
      </c>
      <c r="I69" s="672">
        <v>0</v>
      </c>
      <c r="J69" s="672">
        <v>0</v>
      </c>
      <c r="K69" s="672">
        <v>646.45000000000005</v>
      </c>
      <c r="L69" s="672">
        <v>1583.38</v>
      </c>
    </row>
    <row r="70" spans="2:12">
      <c r="B70" s="180" t="s">
        <v>1101</v>
      </c>
      <c r="C70" s="180" t="s">
        <v>1102</v>
      </c>
      <c r="D70" s="180" t="s">
        <v>993</v>
      </c>
      <c r="E70" s="180" t="s">
        <v>975</v>
      </c>
      <c r="F70" s="672">
        <v>-97.67</v>
      </c>
      <c r="G70" s="672">
        <v>0</v>
      </c>
      <c r="H70" s="672">
        <v>0</v>
      </c>
      <c r="I70" s="672">
        <v>0</v>
      </c>
      <c r="J70" s="672">
        <v>0</v>
      </c>
      <c r="K70" s="672">
        <v>0</v>
      </c>
      <c r="L70" s="672">
        <v>-97.67</v>
      </c>
    </row>
    <row r="71" spans="2:12">
      <c r="B71" s="180" t="s">
        <v>1103</v>
      </c>
      <c r="C71" s="180" t="s">
        <v>1104</v>
      </c>
      <c r="D71" s="180" t="s">
        <v>993</v>
      </c>
      <c r="E71" s="180" t="s">
        <v>990</v>
      </c>
      <c r="F71" s="672">
        <v>-17.96</v>
      </c>
      <c r="G71" s="672">
        <v>0</v>
      </c>
      <c r="H71" s="672">
        <v>0</v>
      </c>
      <c r="I71" s="672">
        <v>0</v>
      </c>
      <c r="J71" s="672">
        <v>0</v>
      </c>
      <c r="K71" s="672">
        <v>-8.23</v>
      </c>
      <c r="L71" s="672">
        <v>-9.73</v>
      </c>
    </row>
    <row r="72" spans="2:12">
      <c r="B72" s="180" t="s">
        <v>1105</v>
      </c>
      <c r="C72" s="180" t="s">
        <v>1106</v>
      </c>
      <c r="D72" s="180" t="s">
        <v>993</v>
      </c>
      <c r="E72" s="180" t="s">
        <v>980</v>
      </c>
      <c r="F72" s="672">
        <v>1658.53</v>
      </c>
      <c r="G72" s="672">
        <v>0</v>
      </c>
      <c r="H72" s="672">
        <v>0</v>
      </c>
      <c r="I72" s="672">
        <v>0</v>
      </c>
      <c r="J72" s="672">
        <v>0</v>
      </c>
      <c r="K72" s="672">
        <v>1658.53</v>
      </c>
      <c r="L72" s="672">
        <v>0</v>
      </c>
    </row>
    <row r="73" spans="2:12">
      <c r="B73" s="180" t="s">
        <v>1107</v>
      </c>
      <c r="C73" s="180" t="s">
        <v>1108</v>
      </c>
      <c r="D73" s="180" t="s">
        <v>974</v>
      </c>
      <c r="E73" s="180" t="s">
        <v>980</v>
      </c>
      <c r="F73" s="672">
        <v>10014.67</v>
      </c>
      <c r="G73" s="672">
        <v>1298.44</v>
      </c>
      <c r="H73" s="672">
        <v>1528.42</v>
      </c>
      <c r="I73" s="672">
        <v>1493.54</v>
      </c>
      <c r="J73" s="672">
        <v>613.34</v>
      </c>
      <c r="K73" s="672">
        <v>14690.86</v>
      </c>
      <c r="L73" s="672">
        <v>-9609.93</v>
      </c>
    </row>
    <row r="74" spans="2:12">
      <c r="B74" s="180" t="s">
        <v>1109</v>
      </c>
      <c r="C74" s="180" t="s">
        <v>1110</v>
      </c>
      <c r="D74" s="180" t="s">
        <v>974</v>
      </c>
      <c r="E74" s="180" t="s">
        <v>1111</v>
      </c>
      <c r="F74" s="672">
        <v>-9.41</v>
      </c>
      <c r="G74" s="672">
        <v>0</v>
      </c>
      <c r="H74" s="672">
        <v>0</v>
      </c>
      <c r="I74" s="672">
        <v>0</v>
      </c>
      <c r="J74" s="672">
        <v>0</v>
      </c>
      <c r="K74" s="672">
        <v>-9.41</v>
      </c>
      <c r="L74" s="672">
        <v>0</v>
      </c>
    </row>
    <row r="75" spans="2:12">
      <c r="B75" s="180" t="s">
        <v>1112</v>
      </c>
      <c r="C75" s="180" t="s">
        <v>1113</v>
      </c>
      <c r="D75" s="180" t="s">
        <v>974</v>
      </c>
      <c r="E75" s="180" t="s">
        <v>980</v>
      </c>
      <c r="F75" s="672">
        <v>124003.24</v>
      </c>
      <c r="G75" s="672">
        <v>-6781.08</v>
      </c>
      <c r="H75" s="672">
        <v>-9440.61</v>
      </c>
      <c r="I75" s="672">
        <v>-4429.42</v>
      </c>
      <c r="J75" s="672">
        <v>-180244.45</v>
      </c>
      <c r="K75" s="672">
        <v>169177.48</v>
      </c>
      <c r="L75" s="672">
        <v>155721.32</v>
      </c>
    </row>
    <row r="76" spans="2:12">
      <c r="B76" s="180" t="s">
        <v>1114</v>
      </c>
      <c r="C76" s="180" t="s">
        <v>1115</v>
      </c>
      <c r="D76" s="180" t="s">
        <v>974</v>
      </c>
      <c r="E76" s="180" t="s">
        <v>980</v>
      </c>
      <c r="F76" s="672">
        <v>-2124.7399999999998</v>
      </c>
      <c r="G76" s="672">
        <v>33.61</v>
      </c>
      <c r="H76" s="672">
        <v>68.08</v>
      </c>
      <c r="I76" s="672">
        <v>73.63</v>
      </c>
      <c r="J76" s="672">
        <v>5</v>
      </c>
      <c r="K76" s="672">
        <v>61600.62</v>
      </c>
      <c r="L76" s="672">
        <v>-63905.68</v>
      </c>
    </row>
    <row r="77" spans="2:12">
      <c r="B77" s="180" t="s">
        <v>1116</v>
      </c>
      <c r="C77" s="180" t="s">
        <v>1117</v>
      </c>
      <c r="D77" s="180" t="s">
        <v>974</v>
      </c>
      <c r="E77" s="180" t="s">
        <v>983</v>
      </c>
      <c r="F77" s="672">
        <v>5</v>
      </c>
      <c r="G77" s="672">
        <v>-61.55</v>
      </c>
      <c r="H77" s="672">
        <v>7.65</v>
      </c>
      <c r="I77" s="672">
        <v>12.78</v>
      </c>
      <c r="J77" s="672">
        <v>12.95</v>
      </c>
      <c r="K77" s="672">
        <v>33.17</v>
      </c>
      <c r="L77" s="672">
        <v>0</v>
      </c>
    </row>
    <row r="78" spans="2:12">
      <c r="B78" s="180" t="s">
        <v>1118</v>
      </c>
      <c r="C78" s="180" t="s">
        <v>1119</v>
      </c>
      <c r="D78" s="180" t="s">
        <v>974</v>
      </c>
      <c r="E78" s="180" t="s">
        <v>975</v>
      </c>
      <c r="F78" s="672">
        <v>1657.17</v>
      </c>
      <c r="G78" s="672">
        <v>0</v>
      </c>
      <c r="H78" s="672">
        <v>0</v>
      </c>
      <c r="I78" s="672">
        <v>0</v>
      </c>
      <c r="J78" s="672">
        <v>0</v>
      </c>
      <c r="K78" s="672">
        <v>0</v>
      </c>
      <c r="L78" s="672">
        <v>1657.17</v>
      </c>
    </row>
    <row r="79" spans="2:12">
      <c r="B79" s="180" t="s">
        <v>1120</v>
      </c>
      <c r="C79" s="180" t="s">
        <v>1121</v>
      </c>
      <c r="D79" s="180" t="s">
        <v>993</v>
      </c>
      <c r="E79" s="180" t="s">
        <v>990</v>
      </c>
      <c r="F79" s="672">
        <v>0</v>
      </c>
      <c r="G79" s="672">
        <v>0</v>
      </c>
      <c r="H79" s="672">
        <v>0</v>
      </c>
      <c r="I79" s="672">
        <v>0</v>
      </c>
      <c r="J79" s="672">
        <v>0</v>
      </c>
      <c r="K79" s="672">
        <v>0</v>
      </c>
      <c r="L79" s="672">
        <v>0</v>
      </c>
    </row>
    <row r="80" spans="2:12">
      <c r="B80" s="180" t="s">
        <v>1122</v>
      </c>
      <c r="C80" s="180" t="s">
        <v>1123</v>
      </c>
      <c r="D80" s="180" t="s">
        <v>993</v>
      </c>
      <c r="E80" s="180" t="s">
        <v>1078</v>
      </c>
      <c r="F80" s="672">
        <v>0</v>
      </c>
      <c r="G80" s="672">
        <v>-5500</v>
      </c>
      <c r="H80" s="672">
        <v>0</v>
      </c>
      <c r="I80" s="672">
        <v>0</v>
      </c>
      <c r="J80" s="672">
        <v>0</v>
      </c>
      <c r="K80" s="672">
        <v>0</v>
      </c>
      <c r="L80" s="672">
        <v>5500</v>
      </c>
    </row>
    <row r="81" spans="2:12">
      <c r="B81" s="180" t="s">
        <v>1124</v>
      </c>
      <c r="C81" s="180" t="s">
        <v>1125</v>
      </c>
      <c r="D81" s="180" t="s">
        <v>974</v>
      </c>
      <c r="E81" s="180" t="s">
        <v>975</v>
      </c>
      <c r="F81" s="672">
        <v>-3284.53</v>
      </c>
      <c r="G81" s="672">
        <v>0</v>
      </c>
      <c r="H81" s="672">
        <v>0</v>
      </c>
      <c r="I81" s="672">
        <v>0</v>
      </c>
      <c r="J81" s="672">
        <v>0</v>
      </c>
      <c r="K81" s="672">
        <v>0</v>
      </c>
      <c r="L81" s="672">
        <v>-3284.53</v>
      </c>
    </row>
    <row r="82" spans="2:12">
      <c r="B82" s="180" t="s">
        <v>1045</v>
      </c>
      <c r="C82" s="180" t="s">
        <v>1046</v>
      </c>
      <c r="D82" s="180" t="s">
        <v>974</v>
      </c>
      <c r="E82" s="180" t="s">
        <v>980</v>
      </c>
      <c r="F82" s="672">
        <v>-11422.37</v>
      </c>
      <c r="G82" s="672">
        <v>-2429.85</v>
      </c>
      <c r="H82" s="672">
        <v>12788.19</v>
      </c>
      <c r="I82" s="672">
        <v>341.05</v>
      </c>
      <c r="J82" s="672">
        <v>931.99</v>
      </c>
      <c r="K82" s="672">
        <v>466.21</v>
      </c>
      <c r="L82" s="672">
        <v>-23519.96</v>
      </c>
    </row>
    <row r="83" spans="2:12">
      <c r="B83" s="180" t="s">
        <v>1126</v>
      </c>
      <c r="C83" s="180" t="s">
        <v>1127</v>
      </c>
      <c r="D83" s="180" t="s">
        <v>974</v>
      </c>
      <c r="E83" s="180" t="s">
        <v>990</v>
      </c>
      <c r="F83" s="672">
        <v>0</v>
      </c>
      <c r="G83" s="672">
        <v>0</v>
      </c>
      <c r="H83" s="672">
        <v>0</v>
      </c>
      <c r="I83" s="672">
        <v>0</v>
      </c>
      <c r="J83" s="672">
        <v>0</v>
      </c>
      <c r="K83" s="672">
        <v>0</v>
      </c>
      <c r="L83" s="672">
        <v>0</v>
      </c>
    </row>
    <row r="84" spans="2:12">
      <c r="B84" s="180" t="s">
        <v>1128</v>
      </c>
      <c r="C84" s="180" t="s">
        <v>1129</v>
      </c>
      <c r="D84" s="180" t="s">
        <v>974</v>
      </c>
      <c r="E84" s="180" t="s">
        <v>990</v>
      </c>
      <c r="F84" s="672">
        <v>0</v>
      </c>
      <c r="G84" s="672">
        <v>0</v>
      </c>
      <c r="H84" s="672">
        <v>0</v>
      </c>
      <c r="I84" s="672">
        <v>0</v>
      </c>
      <c r="J84" s="672">
        <v>0</v>
      </c>
      <c r="K84" s="672">
        <v>0</v>
      </c>
      <c r="L84" s="672">
        <v>0</v>
      </c>
    </row>
    <row r="85" spans="2:12">
      <c r="B85" s="180" t="s">
        <v>1130</v>
      </c>
      <c r="C85" s="180" t="s">
        <v>1131</v>
      </c>
      <c r="D85" s="180" t="s">
        <v>974</v>
      </c>
      <c r="E85" s="180" t="s">
        <v>1111</v>
      </c>
      <c r="F85" s="672">
        <v>-138567.38</v>
      </c>
      <c r="G85" s="672">
        <v>0</v>
      </c>
      <c r="H85" s="672">
        <v>0</v>
      </c>
      <c r="I85" s="672">
        <v>0</v>
      </c>
      <c r="J85" s="672">
        <v>0</v>
      </c>
      <c r="K85" s="672">
        <v>0</v>
      </c>
      <c r="L85" s="672">
        <v>-138567.38</v>
      </c>
    </row>
    <row r="86" spans="2:12">
      <c r="B86" s="180" t="s">
        <v>1132</v>
      </c>
      <c r="C86" s="180" t="s">
        <v>1133</v>
      </c>
      <c r="D86" s="180" t="s">
        <v>993</v>
      </c>
      <c r="E86" s="180" t="s">
        <v>975</v>
      </c>
      <c r="F86" s="672">
        <v>-112390.67</v>
      </c>
      <c r="G86" s="672">
        <v>0</v>
      </c>
      <c r="H86" s="672">
        <v>0</v>
      </c>
      <c r="I86" s="672">
        <v>0</v>
      </c>
      <c r="J86" s="672">
        <v>0</v>
      </c>
      <c r="K86" s="672">
        <v>-111103.67999999999</v>
      </c>
      <c r="L86" s="672">
        <v>-1286.99</v>
      </c>
    </row>
    <row r="87" spans="2:12">
      <c r="B87" s="180" t="s">
        <v>1043</v>
      </c>
      <c r="C87" s="180" t="s">
        <v>1044</v>
      </c>
      <c r="D87" s="180" t="s">
        <v>974</v>
      </c>
      <c r="E87" s="180" t="s">
        <v>975</v>
      </c>
      <c r="F87" s="672">
        <v>972.48</v>
      </c>
      <c r="G87" s="672">
        <v>0</v>
      </c>
      <c r="H87" s="672">
        <v>0</v>
      </c>
      <c r="I87" s="672">
        <v>0</v>
      </c>
      <c r="J87" s="672">
        <v>0</v>
      </c>
      <c r="K87" s="672">
        <v>0</v>
      </c>
      <c r="L87" s="672">
        <v>972.48</v>
      </c>
    </row>
    <row r="88" spans="2:12">
      <c r="B88" s="180" t="s">
        <v>1134</v>
      </c>
      <c r="C88" s="180" t="s">
        <v>1135</v>
      </c>
      <c r="D88" s="180" t="s">
        <v>974</v>
      </c>
      <c r="E88" s="180" t="s">
        <v>975</v>
      </c>
      <c r="F88" s="672">
        <v>375.51</v>
      </c>
      <c r="G88" s="672">
        <v>194.23</v>
      </c>
      <c r="H88" s="672">
        <v>181.28</v>
      </c>
      <c r="I88" s="672">
        <v>0</v>
      </c>
      <c r="J88" s="672">
        <v>0</v>
      </c>
      <c r="K88" s="672">
        <v>0</v>
      </c>
      <c r="L88" s="672">
        <v>0</v>
      </c>
    </row>
    <row r="89" spans="2:12">
      <c r="B89" s="180" t="s">
        <v>1136</v>
      </c>
      <c r="C89" s="180" t="s">
        <v>1137</v>
      </c>
      <c r="D89" s="180" t="s">
        <v>974</v>
      </c>
      <c r="E89" s="180" t="s">
        <v>1034</v>
      </c>
      <c r="F89" s="672">
        <v>0</v>
      </c>
      <c r="G89" s="672">
        <v>0</v>
      </c>
      <c r="H89" s="672">
        <v>0</v>
      </c>
      <c r="I89" s="672">
        <v>0</v>
      </c>
      <c r="J89" s="672">
        <v>0</v>
      </c>
      <c r="K89" s="672">
        <v>0</v>
      </c>
      <c r="L89" s="672">
        <v>0</v>
      </c>
    </row>
    <row r="90" spans="2:12">
      <c r="B90" s="180" t="s">
        <v>1138</v>
      </c>
      <c r="C90" s="180" t="s">
        <v>1139</v>
      </c>
      <c r="D90" s="180" t="s">
        <v>974</v>
      </c>
      <c r="E90" s="180" t="s">
        <v>983</v>
      </c>
      <c r="F90" s="672">
        <v>16094.52</v>
      </c>
      <c r="G90" s="672">
        <v>1630.06</v>
      </c>
      <c r="H90" s="672">
        <v>1630.06</v>
      </c>
      <c r="I90" s="672">
        <v>1630.06</v>
      </c>
      <c r="J90" s="672">
        <v>1630.06</v>
      </c>
      <c r="K90" s="672">
        <v>-11566.87</v>
      </c>
      <c r="L90" s="672">
        <v>21141.15</v>
      </c>
    </row>
    <row r="91" spans="2:12">
      <c r="B91" s="180" t="s">
        <v>1140</v>
      </c>
      <c r="C91" s="180" t="s">
        <v>1069</v>
      </c>
      <c r="D91" s="180" t="s">
        <v>993</v>
      </c>
      <c r="E91" s="180" t="s">
        <v>980</v>
      </c>
      <c r="F91" s="672">
        <v>1028965.83</v>
      </c>
      <c r="G91" s="672">
        <v>20515.87</v>
      </c>
      <c r="H91" s="672">
        <v>22462.58</v>
      </c>
      <c r="I91" s="672">
        <v>38259.870000000003</v>
      </c>
      <c r="J91" s="672">
        <v>22717.91</v>
      </c>
      <c r="K91" s="672">
        <v>194164.04</v>
      </c>
      <c r="L91" s="672">
        <v>730845.56</v>
      </c>
    </row>
    <row r="92" spans="2:12">
      <c r="B92" s="180" t="s">
        <v>1141</v>
      </c>
      <c r="C92" s="180" t="s">
        <v>1142</v>
      </c>
      <c r="D92" s="180" t="s">
        <v>974</v>
      </c>
      <c r="E92" s="180" t="s">
        <v>975</v>
      </c>
      <c r="F92" s="672">
        <v>967.69</v>
      </c>
      <c r="G92" s="672">
        <v>0</v>
      </c>
      <c r="H92" s="672">
        <v>0</v>
      </c>
      <c r="I92" s="672">
        <v>0</v>
      </c>
      <c r="J92" s="672">
        <v>0</v>
      </c>
      <c r="K92" s="672">
        <v>0</v>
      </c>
      <c r="L92" s="672">
        <v>967.69</v>
      </c>
    </row>
    <row r="93" spans="2:12">
      <c r="B93" s="180" t="s">
        <v>1143</v>
      </c>
      <c r="C93" s="180" t="s">
        <v>1144</v>
      </c>
      <c r="D93" s="180" t="s">
        <v>974</v>
      </c>
      <c r="E93" s="180" t="s">
        <v>1034</v>
      </c>
      <c r="F93" s="672">
        <v>0</v>
      </c>
      <c r="G93" s="672">
        <v>0</v>
      </c>
      <c r="H93" s="672">
        <v>0</v>
      </c>
      <c r="I93" s="672">
        <v>0</v>
      </c>
      <c r="J93" s="672">
        <v>0</v>
      </c>
      <c r="K93" s="672">
        <v>0</v>
      </c>
      <c r="L93" s="672">
        <v>0</v>
      </c>
    </row>
    <row r="94" spans="2:12">
      <c r="B94" s="180" t="s">
        <v>1145</v>
      </c>
      <c r="C94" s="180" t="s">
        <v>1146</v>
      </c>
      <c r="D94" s="180" t="s">
        <v>974</v>
      </c>
      <c r="E94" s="180" t="s">
        <v>1078</v>
      </c>
      <c r="F94" s="672">
        <v>0</v>
      </c>
      <c r="G94" s="672">
        <v>-408</v>
      </c>
      <c r="H94" s="672">
        <v>0</v>
      </c>
      <c r="I94" s="672">
        <v>0</v>
      </c>
      <c r="J94" s="672">
        <v>0</v>
      </c>
      <c r="K94" s="672">
        <v>0</v>
      </c>
      <c r="L94" s="672">
        <v>408</v>
      </c>
    </row>
    <row r="95" spans="2:12">
      <c r="B95" s="180" t="s">
        <v>1147</v>
      </c>
      <c r="C95" s="180" t="s">
        <v>1148</v>
      </c>
      <c r="D95" s="180" t="s">
        <v>974</v>
      </c>
      <c r="E95" s="180" t="s">
        <v>990</v>
      </c>
      <c r="F95" s="672">
        <v>0</v>
      </c>
      <c r="G95" s="672">
        <v>0</v>
      </c>
      <c r="H95" s="672">
        <v>0</v>
      </c>
      <c r="I95" s="672">
        <v>0</v>
      </c>
      <c r="J95" s="672">
        <v>0</v>
      </c>
      <c r="K95" s="672">
        <v>0</v>
      </c>
      <c r="L95" s="672">
        <v>0</v>
      </c>
    </row>
    <row r="96" spans="2:12">
      <c r="B96" s="180" t="s">
        <v>1006</v>
      </c>
      <c r="C96" s="180" t="s">
        <v>1007</v>
      </c>
      <c r="D96" s="180" t="s">
        <v>974</v>
      </c>
      <c r="E96" s="180" t="s">
        <v>980</v>
      </c>
      <c r="F96" s="672">
        <v>2028687.47</v>
      </c>
      <c r="G96" s="672">
        <v>46302.55</v>
      </c>
      <c r="H96" s="672">
        <v>46519.43</v>
      </c>
      <c r="I96" s="672">
        <v>46344.800000000003</v>
      </c>
      <c r="J96" s="672">
        <v>46154.42</v>
      </c>
      <c r="K96" s="672">
        <v>374454.34</v>
      </c>
      <c r="L96" s="672">
        <v>1468911.93</v>
      </c>
    </row>
    <row r="97" spans="2:12">
      <c r="B97" s="180" t="s">
        <v>1149</v>
      </c>
      <c r="C97" s="180" t="s">
        <v>1150</v>
      </c>
      <c r="D97" s="180" t="s">
        <v>974</v>
      </c>
      <c r="E97" s="180" t="s">
        <v>990</v>
      </c>
      <c r="F97" s="672">
        <v>0</v>
      </c>
      <c r="G97" s="672">
        <v>0</v>
      </c>
      <c r="H97" s="672">
        <v>0</v>
      </c>
      <c r="I97" s="672">
        <v>0</v>
      </c>
      <c r="J97" s="672">
        <v>0</v>
      </c>
      <c r="K97" s="672">
        <v>0</v>
      </c>
      <c r="L97" s="672">
        <v>0</v>
      </c>
    </row>
    <row r="98" spans="2:12">
      <c r="B98" s="180" t="s">
        <v>1151</v>
      </c>
      <c r="C98" s="180" t="s">
        <v>1152</v>
      </c>
      <c r="D98" s="180" t="s">
        <v>993</v>
      </c>
      <c r="E98" s="180" t="s">
        <v>990</v>
      </c>
      <c r="F98" s="672">
        <v>0</v>
      </c>
      <c r="G98" s="672">
        <v>0</v>
      </c>
      <c r="H98" s="672">
        <v>0</v>
      </c>
      <c r="I98" s="672">
        <v>0</v>
      </c>
      <c r="J98" s="672">
        <v>0</v>
      </c>
      <c r="K98" s="672">
        <v>0</v>
      </c>
      <c r="L98" s="672">
        <v>0</v>
      </c>
    </row>
    <row r="99" spans="2:12">
      <c r="B99" s="180" t="s">
        <v>1153</v>
      </c>
      <c r="C99" s="180" t="s">
        <v>989</v>
      </c>
      <c r="D99" s="180" t="s">
        <v>974</v>
      </c>
      <c r="E99" s="180" t="s">
        <v>990</v>
      </c>
      <c r="F99" s="672">
        <v>0</v>
      </c>
      <c r="G99" s="672">
        <v>0</v>
      </c>
      <c r="H99" s="672">
        <v>0</v>
      </c>
      <c r="I99" s="672">
        <v>0</v>
      </c>
      <c r="J99" s="672">
        <v>0</v>
      </c>
      <c r="K99" s="672">
        <v>0</v>
      </c>
      <c r="L99" s="672">
        <v>0</v>
      </c>
    </row>
    <row r="100" spans="2:12">
      <c r="B100" s="180" t="s">
        <v>1039</v>
      </c>
      <c r="C100" s="180" t="s">
        <v>1040</v>
      </c>
      <c r="D100" s="180" t="s">
        <v>974</v>
      </c>
      <c r="E100" s="180" t="s">
        <v>990</v>
      </c>
      <c r="F100" s="672">
        <v>0</v>
      </c>
      <c r="G100" s="672">
        <v>0</v>
      </c>
      <c r="H100" s="672">
        <v>0</v>
      </c>
      <c r="I100" s="672">
        <v>0</v>
      </c>
      <c r="J100" s="672">
        <v>0</v>
      </c>
      <c r="K100" s="672">
        <v>0</v>
      </c>
      <c r="L100" s="672">
        <v>0</v>
      </c>
    </row>
    <row r="101" spans="2:12">
      <c r="B101" s="180" t="s">
        <v>1154</v>
      </c>
      <c r="C101" s="180" t="s">
        <v>1065</v>
      </c>
      <c r="D101" s="180" t="s">
        <v>993</v>
      </c>
      <c r="E101" s="180" t="s">
        <v>975</v>
      </c>
      <c r="F101" s="672">
        <v>-14066.13</v>
      </c>
      <c r="G101" s="672">
        <v>0</v>
      </c>
      <c r="H101" s="672">
        <v>0</v>
      </c>
      <c r="I101" s="672">
        <v>0</v>
      </c>
      <c r="J101" s="672">
        <v>0</v>
      </c>
      <c r="K101" s="672">
        <v>-5761.61</v>
      </c>
      <c r="L101" s="672">
        <v>-8304.52</v>
      </c>
    </row>
    <row r="102" spans="2:12">
      <c r="B102" s="180" t="s">
        <v>1155</v>
      </c>
      <c r="C102" s="180" t="s">
        <v>1156</v>
      </c>
      <c r="D102" s="180" t="s">
        <v>974</v>
      </c>
      <c r="E102" s="180" t="s">
        <v>975</v>
      </c>
      <c r="F102" s="672">
        <v>152165.54</v>
      </c>
      <c r="G102" s="672">
        <v>0</v>
      </c>
      <c r="H102" s="672">
        <v>0</v>
      </c>
      <c r="I102" s="672">
        <v>0</v>
      </c>
      <c r="J102" s="672">
        <v>0</v>
      </c>
      <c r="K102" s="672">
        <v>152165.54</v>
      </c>
      <c r="L102" s="672">
        <v>0</v>
      </c>
    </row>
    <row r="103" spans="2:12">
      <c r="B103" s="180" t="s">
        <v>1157</v>
      </c>
      <c r="C103" s="180" t="s">
        <v>1121</v>
      </c>
      <c r="D103" s="180" t="s">
        <v>993</v>
      </c>
      <c r="E103" s="180" t="s">
        <v>975</v>
      </c>
      <c r="F103" s="672">
        <v>-163672.14000000001</v>
      </c>
      <c r="G103" s="672">
        <v>0</v>
      </c>
      <c r="H103" s="672">
        <v>0</v>
      </c>
      <c r="I103" s="672">
        <v>0</v>
      </c>
      <c r="J103" s="672">
        <v>0</v>
      </c>
      <c r="K103" s="672">
        <v>-163672.14000000001</v>
      </c>
      <c r="L103" s="672">
        <v>0</v>
      </c>
    </row>
    <row r="104" spans="2:12">
      <c r="B104" s="180" t="s">
        <v>1158</v>
      </c>
      <c r="C104" s="180" t="s">
        <v>1159</v>
      </c>
      <c r="D104" s="180" t="s">
        <v>993</v>
      </c>
      <c r="E104" s="180" t="s">
        <v>990</v>
      </c>
      <c r="F104" s="672">
        <v>0</v>
      </c>
      <c r="G104" s="672">
        <v>0</v>
      </c>
      <c r="H104" s="672">
        <v>0</v>
      </c>
      <c r="I104" s="672">
        <v>0</v>
      </c>
      <c r="J104" s="672">
        <v>0</v>
      </c>
      <c r="K104" s="672">
        <v>0</v>
      </c>
      <c r="L104" s="672">
        <v>0</v>
      </c>
    </row>
    <row r="105" spans="2:12">
      <c r="B105" s="180" t="s">
        <v>1057</v>
      </c>
      <c r="C105" s="180" t="s">
        <v>1058</v>
      </c>
      <c r="D105" s="180" t="s">
        <v>974</v>
      </c>
      <c r="E105" s="180" t="s">
        <v>990</v>
      </c>
      <c r="F105" s="672">
        <v>-44.37</v>
      </c>
      <c r="G105" s="672">
        <v>0</v>
      </c>
      <c r="H105" s="672">
        <v>0</v>
      </c>
      <c r="I105" s="672">
        <v>0</v>
      </c>
      <c r="J105" s="672">
        <v>0</v>
      </c>
      <c r="K105" s="672">
        <v>0</v>
      </c>
      <c r="L105" s="672">
        <v>-44.37</v>
      </c>
    </row>
    <row r="106" spans="2:12">
      <c r="B106" s="180" t="s">
        <v>1160</v>
      </c>
      <c r="C106" s="180" t="s">
        <v>1161</v>
      </c>
      <c r="D106" s="180" t="s">
        <v>974</v>
      </c>
      <c r="E106" s="180" t="s">
        <v>975</v>
      </c>
      <c r="F106" s="672">
        <v>837.17</v>
      </c>
      <c r="G106" s="672">
        <v>0</v>
      </c>
      <c r="H106" s="672">
        <v>0</v>
      </c>
      <c r="I106" s="672">
        <v>0</v>
      </c>
      <c r="J106" s="672">
        <v>0</v>
      </c>
      <c r="K106" s="672">
        <v>0</v>
      </c>
      <c r="L106" s="672">
        <v>837.17</v>
      </c>
    </row>
    <row r="107" spans="2:12">
      <c r="B107" s="180" t="s">
        <v>1162</v>
      </c>
      <c r="C107" s="180" t="s">
        <v>1163</v>
      </c>
      <c r="D107" s="180" t="s">
        <v>974</v>
      </c>
      <c r="E107" s="180" t="s">
        <v>980</v>
      </c>
      <c r="F107" s="672">
        <v>4564.96</v>
      </c>
      <c r="G107" s="672">
        <v>-799.2</v>
      </c>
      <c r="H107" s="672">
        <v>-7129.39</v>
      </c>
      <c r="I107" s="672">
        <v>9139.19</v>
      </c>
      <c r="J107" s="672">
        <v>6140.61</v>
      </c>
      <c r="K107" s="672">
        <v>5801.85</v>
      </c>
      <c r="L107" s="672">
        <v>-8588.1</v>
      </c>
    </row>
    <row r="108" spans="2:12">
      <c r="B108" s="180" t="s">
        <v>976</v>
      </c>
      <c r="C108" s="180" t="s">
        <v>977</v>
      </c>
      <c r="D108" s="180" t="s">
        <v>974</v>
      </c>
      <c r="E108" s="180" t="s">
        <v>1075</v>
      </c>
      <c r="F108" s="672">
        <v>0</v>
      </c>
      <c r="G108" s="672">
        <v>0</v>
      </c>
      <c r="H108" s="672">
        <v>0</v>
      </c>
      <c r="I108" s="672">
        <v>0</v>
      </c>
      <c r="J108" s="672">
        <v>0</v>
      </c>
      <c r="K108" s="672">
        <v>0</v>
      </c>
      <c r="L108" s="672">
        <v>0</v>
      </c>
    </row>
    <row r="109" spans="2:12">
      <c r="B109" s="180" t="s">
        <v>1012</v>
      </c>
      <c r="C109" s="180" t="s">
        <v>1013</v>
      </c>
      <c r="D109" s="180" t="s">
        <v>974</v>
      </c>
      <c r="E109" s="180" t="s">
        <v>990</v>
      </c>
      <c r="F109" s="672">
        <v>0</v>
      </c>
      <c r="G109" s="672">
        <v>0</v>
      </c>
      <c r="H109" s="672">
        <v>0</v>
      </c>
      <c r="I109" s="672">
        <v>0</v>
      </c>
      <c r="J109" s="672">
        <v>0</v>
      </c>
      <c r="K109" s="672">
        <v>0</v>
      </c>
      <c r="L109" s="672">
        <v>0</v>
      </c>
    </row>
    <row r="110" spans="2:12">
      <c r="B110" s="180" t="s">
        <v>1164</v>
      </c>
      <c r="C110" s="180" t="s">
        <v>1165</v>
      </c>
      <c r="D110" s="180" t="s">
        <v>974</v>
      </c>
      <c r="E110" s="180" t="s">
        <v>990</v>
      </c>
      <c r="F110" s="672">
        <v>0</v>
      </c>
      <c r="G110" s="672">
        <v>0</v>
      </c>
      <c r="H110" s="672">
        <v>0</v>
      </c>
      <c r="I110" s="672">
        <v>0</v>
      </c>
      <c r="J110" s="672">
        <v>0</v>
      </c>
      <c r="K110" s="672">
        <v>0</v>
      </c>
      <c r="L110" s="672">
        <v>0</v>
      </c>
    </row>
    <row r="111" spans="2:12">
      <c r="B111" s="180" t="s">
        <v>1166</v>
      </c>
      <c r="C111" s="180" t="s">
        <v>1167</v>
      </c>
      <c r="D111" s="180" t="s">
        <v>993</v>
      </c>
      <c r="E111" s="180" t="s">
        <v>983</v>
      </c>
      <c r="F111" s="672">
        <v>86.99</v>
      </c>
      <c r="G111" s="672">
        <v>13.19</v>
      </c>
      <c r="H111" s="672">
        <v>13.9</v>
      </c>
      <c r="I111" s="672">
        <v>13.06</v>
      </c>
      <c r="J111" s="672">
        <v>12.73</v>
      </c>
      <c r="K111" s="672">
        <v>34.11</v>
      </c>
      <c r="L111" s="672">
        <v>0</v>
      </c>
    </row>
    <row r="112" spans="2:12">
      <c r="B112" s="180" t="s">
        <v>1168</v>
      </c>
      <c r="C112" s="180" t="s">
        <v>1169</v>
      </c>
      <c r="D112" s="180" t="s">
        <v>974</v>
      </c>
      <c r="E112" s="180" t="s">
        <v>983</v>
      </c>
      <c r="F112" s="672">
        <v>-83270.740000000005</v>
      </c>
      <c r="G112" s="672">
        <v>-98616.95</v>
      </c>
      <c r="H112" s="672">
        <v>-62272.78</v>
      </c>
      <c r="I112" s="672">
        <v>-32790.54</v>
      </c>
      <c r="J112" s="672">
        <v>0</v>
      </c>
      <c r="K112" s="672">
        <v>110409.53</v>
      </c>
      <c r="L112" s="672">
        <v>0</v>
      </c>
    </row>
    <row r="113" spans="2:12">
      <c r="B113" s="180" t="s">
        <v>1170</v>
      </c>
      <c r="C113" s="180" t="s">
        <v>1171</v>
      </c>
      <c r="D113" s="180" t="s">
        <v>974</v>
      </c>
      <c r="E113" s="180" t="s">
        <v>990</v>
      </c>
      <c r="F113" s="672">
        <v>0</v>
      </c>
      <c r="G113" s="672">
        <v>0</v>
      </c>
      <c r="H113" s="672">
        <v>0</v>
      </c>
      <c r="I113" s="672">
        <v>0</v>
      </c>
      <c r="J113" s="672">
        <v>0</v>
      </c>
      <c r="K113" s="672">
        <v>0</v>
      </c>
      <c r="L113" s="672">
        <v>0</v>
      </c>
    </row>
    <row r="114" spans="2:12">
      <c r="B114" s="180" t="s">
        <v>1172</v>
      </c>
      <c r="C114" s="180" t="s">
        <v>1115</v>
      </c>
      <c r="D114" s="180" t="s">
        <v>974</v>
      </c>
      <c r="E114" s="180" t="s">
        <v>990</v>
      </c>
      <c r="F114" s="672">
        <v>0</v>
      </c>
      <c r="G114" s="672">
        <v>0</v>
      </c>
      <c r="H114" s="672">
        <v>0</v>
      </c>
      <c r="I114" s="672">
        <v>0</v>
      </c>
      <c r="J114" s="672">
        <v>0</v>
      </c>
      <c r="K114" s="672">
        <v>0</v>
      </c>
      <c r="L114" s="672">
        <v>0</v>
      </c>
    </row>
    <row r="115" spans="2:12">
      <c r="B115" s="180" t="s">
        <v>1173</v>
      </c>
      <c r="C115" s="180" t="s">
        <v>1174</v>
      </c>
      <c r="D115" s="180" t="s">
        <v>993</v>
      </c>
      <c r="E115" s="180" t="s">
        <v>980</v>
      </c>
      <c r="F115" s="672">
        <v>186495.28</v>
      </c>
      <c r="G115" s="672">
        <v>3550.69</v>
      </c>
      <c r="H115" s="672">
        <v>4488.8500000000004</v>
      </c>
      <c r="I115" s="672">
        <v>4854.97</v>
      </c>
      <c r="J115" s="672">
        <v>4703.67</v>
      </c>
      <c r="K115" s="672">
        <v>28398.19</v>
      </c>
      <c r="L115" s="672">
        <v>140498.91</v>
      </c>
    </row>
    <row r="116" spans="2:12">
      <c r="B116" s="180" t="s">
        <v>1175</v>
      </c>
      <c r="C116" s="180" t="s">
        <v>1176</v>
      </c>
      <c r="D116" s="180" t="s">
        <v>993</v>
      </c>
      <c r="E116" s="180" t="s">
        <v>980</v>
      </c>
      <c r="F116" s="672">
        <v>49034.03</v>
      </c>
      <c r="G116" s="672">
        <v>696.93</v>
      </c>
      <c r="H116" s="672">
        <v>3215.69</v>
      </c>
      <c r="I116" s="672">
        <v>915.53</v>
      </c>
      <c r="J116" s="672">
        <v>814.87</v>
      </c>
      <c r="K116" s="672">
        <v>5443.16</v>
      </c>
      <c r="L116" s="672">
        <v>37947.85</v>
      </c>
    </row>
    <row r="117" spans="2:12">
      <c r="B117" s="180" t="s">
        <v>1177</v>
      </c>
      <c r="C117" s="180" t="s">
        <v>1178</v>
      </c>
      <c r="D117" s="180" t="s">
        <v>974</v>
      </c>
      <c r="E117" s="180" t="s">
        <v>980</v>
      </c>
      <c r="F117" s="672">
        <v>-958.46</v>
      </c>
      <c r="G117" s="672">
        <v>-1112.8800000000001</v>
      </c>
      <c r="H117" s="672">
        <v>-22014.91</v>
      </c>
      <c r="I117" s="672">
        <v>38094.160000000003</v>
      </c>
      <c r="J117" s="672">
        <v>-15607.78</v>
      </c>
      <c r="K117" s="672">
        <v>-55940.7</v>
      </c>
      <c r="L117" s="672">
        <v>55623.65</v>
      </c>
    </row>
    <row r="118" spans="2:12">
      <c r="B118" s="180" t="s">
        <v>1179</v>
      </c>
      <c r="C118" s="180" t="s">
        <v>1180</v>
      </c>
      <c r="D118" s="180" t="s">
        <v>974</v>
      </c>
      <c r="E118" s="180" t="s">
        <v>1181</v>
      </c>
      <c r="F118" s="672">
        <v>0</v>
      </c>
      <c r="G118" s="672">
        <v>0</v>
      </c>
      <c r="H118" s="672">
        <v>0</v>
      </c>
      <c r="I118" s="672">
        <v>0</v>
      </c>
      <c r="J118" s="672">
        <v>0</v>
      </c>
      <c r="K118" s="672">
        <v>0</v>
      </c>
      <c r="L118" s="672">
        <v>0</v>
      </c>
    </row>
    <row r="119" spans="2:12">
      <c r="B119" s="180" t="s">
        <v>1182</v>
      </c>
      <c r="C119" s="180" t="s">
        <v>1183</v>
      </c>
      <c r="D119" s="180" t="s">
        <v>974</v>
      </c>
      <c r="E119" s="180" t="s">
        <v>980</v>
      </c>
      <c r="F119" s="672">
        <v>6113136.4900000002</v>
      </c>
      <c r="G119" s="672">
        <v>181059.21</v>
      </c>
      <c r="H119" s="672">
        <v>173893.79</v>
      </c>
      <c r="I119" s="672">
        <v>683945.73</v>
      </c>
      <c r="J119" s="672">
        <v>92721.47</v>
      </c>
      <c r="K119" s="672">
        <v>973610.3</v>
      </c>
      <c r="L119" s="672">
        <v>4007905.99</v>
      </c>
    </row>
    <row r="120" spans="2:12">
      <c r="B120" s="180" t="s">
        <v>1184</v>
      </c>
      <c r="C120" s="180" t="s">
        <v>1185</v>
      </c>
      <c r="D120" s="180" t="s">
        <v>993</v>
      </c>
      <c r="E120" s="180" t="s">
        <v>975</v>
      </c>
      <c r="F120" s="672">
        <v>-28814.3</v>
      </c>
      <c r="G120" s="672">
        <v>0</v>
      </c>
      <c r="H120" s="672">
        <v>0</v>
      </c>
      <c r="I120" s="672">
        <v>0</v>
      </c>
      <c r="J120" s="672">
        <v>0</v>
      </c>
      <c r="K120" s="672">
        <v>-2051.81</v>
      </c>
      <c r="L120" s="672">
        <v>-26762.49</v>
      </c>
    </row>
    <row r="121" spans="2:12">
      <c r="B121" s="180" t="s">
        <v>1047</v>
      </c>
      <c r="C121" s="180" t="s">
        <v>1048</v>
      </c>
      <c r="D121" s="180" t="s">
        <v>993</v>
      </c>
      <c r="E121" s="180" t="s">
        <v>975</v>
      </c>
      <c r="F121" s="672">
        <v>-32238.19</v>
      </c>
      <c r="G121" s="672">
        <v>0</v>
      </c>
      <c r="H121" s="672">
        <v>0</v>
      </c>
      <c r="I121" s="672">
        <v>0</v>
      </c>
      <c r="J121" s="672">
        <v>0</v>
      </c>
      <c r="K121" s="672">
        <v>0</v>
      </c>
      <c r="L121" s="672">
        <v>-32238.19</v>
      </c>
    </row>
    <row r="122" spans="2:12">
      <c r="B122" s="180" t="s">
        <v>1186</v>
      </c>
      <c r="C122" s="180" t="s">
        <v>1187</v>
      </c>
      <c r="D122" s="180" t="s">
        <v>993</v>
      </c>
      <c r="E122" s="180" t="s">
        <v>990</v>
      </c>
      <c r="F122" s="672">
        <v>0</v>
      </c>
      <c r="G122" s="672">
        <v>0</v>
      </c>
      <c r="H122" s="672">
        <v>0</v>
      </c>
      <c r="I122" s="672">
        <v>0</v>
      </c>
      <c r="J122" s="672">
        <v>0</v>
      </c>
      <c r="K122" s="672">
        <v>0</v>
      </c>
      <c r="L122" s="672">
        <v>0</v>
      </c>
    </row>
    <row r="123" spans="2:12">
      <c r="B123" s="180" t="s">
        <v>1188</v>
      </c>
      <c r="C123" s="180" t="s">
        <v>1189</v>
      </c>
      <c r="D123" s="180" t="s">
        <v>993</v>
      </c>
      <c r="E123" s="180" t="s">
        <v>1078</v>
      </c>
      <c r="F123" s="672">
        <v>-5776</v>
      </c>
      <c r="G123" s="672">
        <v>-5776</v>
      </c>
      <c r="H123" s="672">
        <v>0</v>
      </c>
      <c r="I123" s="672">
        <v>0</v>
      </c>
      <c r="J123" s="672">
        <v>0</v>
      </c>
      <c r="K123" s="672">
        <v>0</v>
      </c>
      <c r="L123" s="672">
        <v>0</v>
      </c>
    </row>
    <row r="124" spans="2:12">
      <c r="B124" s="180" t="s">
        <v>1190</v>
      </c>
      <c r="C124" s="180" t="s">
        <v>1191</v>
      </c>
      <c r="D124" s="180" t="s">
        <v>974</v>
      </c>
      <c r="E124" s="180" t="s">
        <v>983</v>
      </c>
      <c r="F124" s="672">
        <v>17688.87</v>
      </c>
      <c r="G124" s="672">
        <v>398.82</v>
      </c>
      <c r="H124" s="672">
        <v>422.31</v>
      </c>
      <c r="I124" s="672">
        <v>456.9</v>
      </c>
      <c r="J124" s="672">
        <v>442.44</v>
      </c>
      <c r="K124" s="672">
        <v>3189.18</v>
      </c>
      <c r="L124" s="672">
        <v>12779.22</v>
      </c>
    </row>
    <row r="125" spans="2:12">
      <c r="B125" s="180" t="s">
        <v>1192</v>
      </c>
      <c r="C125" s="180" t="s">
        <v>1193</v>
      </c>
      <c r="D125" s="180" t="s">
        <v>974</v>
      </c>
      <c r="E125" s="180" t="s">
        <v>980</v>
      </c>
      <c r="F125" s="672">
        <v>2635748.25</v>
      </c>
      <c r="G125" s="672">
        <v>61312.91</v>
      </c>
      <c r="H125" s="672">
        <v>61336.14</v>
      </c>
      <c r="I125" s="672">
        <v>61341.93</v>
      </c>
      <c r="J125" s="672">
        <v>61321.81</v>
      </c>
      <c r="K125" s="672">
        <v>481818.87</v>
      </c>
      <c r="L125" s="672">
        <v>1908616.59</v>
      </c>
    </row>
    <row r="126" spans="2:12">
      <c r="B126" s="180" t="s">
        <v>1194</v>
      </c>
      <c r="C126" s="180" t="s">
        <v>1195</v>
      </c>
      <c r="D126" s="180" t="s">
        <v>974</v>
      </c>
      <c r="E126" s="180" t="s">
        <v>980</v>
      </c>
      <c r="F126" s="672">
        <v>7762886.4299999997</v>
      </c>
      <c r="G126" s="672">
        <v>180552.88</v>
      </c>
      <c r="H126" s="672">
        <v>180591.28</v>
      </c>
      <c r="I126" s="672">
        <v>180639.79</v>
      </c>
      <c r="J126" s="672">
        <v>180633.93</v>
      </c>
      <c r="K126" s="672">
        <v>1418318.47</v>
      </c>
      <c r="L126" s="672">
        <v>5622150.0800000001</v>
      </c>
    </row>
    <row r="127" spans="2:12">
      <c r="B127" s="180" t="s">
        <v>1196</v>
      </c>
      <c r="C127" s="180" t="s">
        <v>1197</v>
      </c>
      <c r="D127" s="180" t="s">
        <v>993</v>
      </c>
      <c r="E127" s="180" t="s">
        <v>980</v>
      </c>
      <c r="F127" s="672">
        <v>229400.8</v>
      </c>
      <c r="G127" s="672">
        <v>8274.57</v>
      </c>
      <c r="H127" s="672">
        <v>1408.11</v>
      </c>
      <c r="I127" s="672">
        <v>6369.71</v>
      </c>
      <c r="J127" s="672">
        <v>6290.73</v>
      </c>
      <c r="K127" s="672">
        <v>42626.73</v>
      </c>
      <c r="L127" s="672">
        <v>164430.95000000001</v>
      </c>
    </row>
    <row r="128" spans="2:12">
      <c r="B128" s="180" t="s">
        <v>1198</v>
      </c>
      <c r="C128" s="180" t="s">
        <v>1199</v>
      </c>
      <c r="D128" s="180" t="s">
        <v>993</v>
      </c>
      <c r="E128" s="180" t="s">
        <v>990</v>
      </c>
      <c r="F128" s="672">
        <v>-4.58</v>
      </c>
      <c r="G128" s="672">
        <v>0</v>
      </c>
      <c r="H128" s="672">
        <v>0</v>
      </c>
      <c r="I128" s="672">
        <v>0</v>
      </c>
      <c r="J128" s="672">
        <v>0</v>
      </c>
      <c r="K128" s="672">
        <v>21.06</v>
      </c>
      <c r="L128" s="672">
        <v>-25.64</v>
      </c>
    </row>
    <row r="129" spans="2:12">
      <c r="B129" s="180" t="s">
        <v>1200</v>
      </c>
      <c r="C129" s="180" t="s">
        <v>1201</v>
      </c>
      <c r="D129" s="180" t="s">
        <v>974</v>
      </c>
      <c r="E129" s="180" t="s">
        <v>990</v>
      </c>
      <c r="F129" s="672">
        <v>8.52</v>
      </c>
      <c r="G129" s="672">
        <v>0</v>
      </c>
      <c r="H129" s="672">
        <v>0</v>
      </c>
      <c r="I129" s="672">
        <v>0</v>
      </c>
      <c r="J129" s="672">
        <v>0</v>
      </c>
      <c r="K129" s="672">
        <v>0</v>
      </c>
      <c r="L129" s="672">
        <v>8.52</v>
      </c>
    </row>
    <row r="130" spans="2:12">
      <c r="B130" s="180" t="s">
        <v>1202</v>
      </c>
      <c r="C130" s="180" t="s">
        <v>1137</v>
      </c>
      <c r="D130" s="180" t="s">
        <v>974</v>
      </c>
      <c r="E130" s="180" t="s">
        <v>980</v>
      </c>
      <c r="F130" s="672">
        <v>-34019.29</v>
      </c>
      <c r="G130" s="672">
        <v>-88124.09</v>
      </c>
      <c r="H130" s="672">
        <v>46613.440000000002</v>
      </c>
      <c r="I130" s="672">
        <v>2803.83</v>
      </c>
      <c r="J130" s="672">
        <v>4687.53</v>
      </c>
      <c r="K130" s="672">
        <v>0</v>
      </c>
      <c r="L130" s="672">
        <v>0</v>
      </c>
    </row>
    <row r="131" spans="2:12">
      <c r="B131" s="180" t="s">
        <v>1203</v>
      </c>
      <c r="C131" s="180" t="s">
        <v>1204</v>
      </c>
      <c r="D131" s="180" t="s">
        <v>974</v>
      </c>
      <c r="E131" s="180" t="s">
        <v>980</v>
      </c>
      <c r="F131" s="672">
        <v>89197.56</v>
      </c>
      <c r="G131" s="672">
        <v>7668.61</v>
      </c>
      <c r="H131" s="672">
        <v>14648.16</v>
      </c>
      <c r="I131" s="672">
        <v>4124.41</v>
      </c>
      <c r="J131" s="672">
        <v>4217.5200000000004</v>
      </c>
      <c r="K131" s="672">
        <v>37274.31</v>
      </c>
      <c r="L131" s="672">
        <v>21264.55</v>
      </c>
    </row>
    <row r="132" spans="2:12">
      <c r="B132" s="180" t="s">
        <v>1205</v>
      </c>
      <c r="C132" s="180" t="s">
        <v>1206</v>
      </c>
      <c r="D132" s="180" t="s">
        <v>974</v>
      </c>
      <c r="E132" s="180" t="s">
        <v>975</v>
      </c>
      <c r="F132" s="672">
        <v>-20168.29</v>
      </c>
      <c r="G132" s="672">
        <v>0</v>
      </c>
      <c r="H132" s="672">
        <v>0</v>
      </c>
      <c r="I132" s="672">
        <v>0</v>
      </c>
      <c r="J132" s="672">
        <v>0</v>
      </c>
      <c r="K132" s="672">
        <v>0</v>
      </c>
      <c r="L132" s="672">
        <v>-20168.29</v>
      </c>
    </row>
    <row r="133" spans="2:12">
      <c r="B133" s="180" t="s">
        <v>1207</v>
      </c>
      <c r="C133" s="180" t="s">
        <v>1208</v>
      </c>
      <c r="D133" s="180" t="s">
        <v>993</v>
      </c>
      <c r="E133" s="180" t="s">
        <v>990</v>
      </c>
      <c r="F133" s="672">
        <v>0</v>
      </c>
      <c r="G133" s="672">
        <v>0</v>
      </c>
      <c r="H133" s="672">
        <v>0</v>
      </c>
      <c r="I133" s="672">
        <v>0</v>
      </c>
      <c r="J133" s="672">
        <v>0</v>
      </c>
      <c r="K133" s="672">
        <v>0</v>
      </c>
      <c r="L133" s="672">
        <v>0</v>
      </c>
    </row>
    <row r="134" spans="2:12">
      <c r="B134" s="180" t="s">
        <v>1209</v>
      </c>
      <c r="C134" s="180" t="s">
        <v>1210</v>
      </c>
      <c r="D134" s="180" t="s">
        <v>993</v>
      </c>
      <c r="E134" s="180" t="s">
        <v>990</v>
      </c>
      <c r="F134" s="672">
        <v>-112.28</v>
      </c>
      <c r="G134" s="672">
        <v>0</v>
      </c>
      <c r="H134" s="672">
        <v>0</v>
      </c>
      <c r="I134" s="672">
        <v>0</v>
      </c>
      <c r="J134" s="672">
        <v>0</v>
      </c>
      <c r="K134" s="672">
        <v>0</v>
      </c>
      <c r="L134" s="672">
        <v>-112.28</v>
      </c>
    </row>
    <row r="135" spans="2:12">
      <c r="B135" s="180" t="s">
        <v>1211</v>
      </c>
      <c r="C135" s="180" t="s">
        <v>1212</v>
      </c>
      <c r="D135" s="180" t="s">
        <v>974</v>
      </c>
      <c r="E135" s="180" t="s">
        <v>1078</v>
      </c>
      <c r="F135" s="672">
        <v>0</v>
      </c>
      <c r="G135" s="672">
        <v>-851</v>
      </c>
      <c r="H135" s="672">
        <v>0</v>
      </c>
      <c r="I135" s="672">
        <v>0</v>
      </c>
      <c r="J135" s="672">
        <v>0</v>
      </c>
      <c r="K135" s="672">
        <v>0</v>
      </c>
      <c r="L135" s="672">
        <v>851</v>
      </c>
    </row>
    <row r="136" spans="2:12">
      <c r="B136" s="180" t="s">
        <v>1213</v>
      </c>
      <c r="C136" s="180" t="s">
        <v>1214</v>
      </c>
      <c r="D136" s="180" t="s">
        <v>974</v>
      </c>
      <c r="E136" s="180" t="s">
        <v>980</v>
      </c>
      <c r="F136" s="672">
        <v>356.78</v>
      </c>
      <c r="G136" s="672">
        <v>-57.41</v>
      </c>
      <c r="H136" s="672">
        <v>-176.24</v>
      </c>
      <c r="I136" s="672">
        <v>-43.74</v>
      </c>
      <c r="J136" s="672">
        <v>-32.82</v>
      </c>
      <c r="K136" s="672">
        <v>-412.44</v>
      </c>
      <c r="L136" s="672">
        <v>1079.43</v>
      </c>
    </row>
    <row r="137" spans="2:12">
      <c r="B137" s="180" t="s">
        <v>1215</v>
      </c>
      <c r="C137" s="180" t="s">
        <v>1216</v>
      </c>
      <c r="D137" s="180" t="s">
        <v>974</v>
      </c>
      <c r="E137" s="180" t="s">
        <v>990</v>
      </c>
      <c r="F137" s="672">
        <v>0</v>
      </c>
      <c r="G137" s="672">
        <v>0</v>
      </c>
      <c r="H137" s="672">
        <v>0</v>
      </c>
      <c r="I137" s="672">
        <v>0</v>
      </c>
      <c r="J137" s="672">
        <v>0</v>
      </c>
      <c r="K137" s="672">
        <v>0</v>
      </c>
      <c r="L137" s="672">
        <v>0</v>
      </c>
    </row>
    <row r="138" spans="2:12">
      <c r="B138" s="180" t="s">
        <v>1217</v>
      </c>
      <c r="C138" s="180" t="s">
        <v>1218</v>
      </c>
      <c r="D138" s="180" t="s">
        <v>974</v>
      </c>
      <c r="E138" s="180" t="s">
        <v>975</v>
      </c>
      <c r="F138" s="672">
        <v>192232.84</v>
      </c>
      <c r="G138" s="672">
        <v>447.74</v>
      </c>
      <c r="H138" s="672">
        <v>0</v>
      </c>
      <c r="I138" s="672">
        <v>0</v>
      </c>
      <c r="J138" s="672">
        <v>0</v>
      </c>
      <c r="K138" s="672">
        <v>-7707.57</v>
      </c>
      <c r="L138" s="672">
        <v>199492.67</v>
      </c>
    </row>
    <row r="139" spans="2:12">
      <c r="B139" s="180" t="s">
        <v>1219</v>
      </c>
      <c r="C139" s="180" t="s">
        <v>1220</v>
      </c>
      <c r="D139" s="180" t="s">
        <v>974</v>
      </c>
      <c r="E139" s="180" t="s">
        <v>975</v>
      </c>
      <c r="F139" s="672">
        <v>554237.72</v>
      </c>
      <c r="G139" s="672">
        <v>0</v>
      </c>
      <c r="H139" s="672">
        <v>0</v>
      </c>
      <c r="I139" s="672">
        <v>0</v>
      </c>
      <c r="J139" s="672">
        <v>0</v>
      </c>
      <c r="K139" s="672">
        <v>476943.78</v>
      </c>
      <c r="L139" s="672">
        <v>77293.94</v>
      </c>
    </row>
    <row r="140" spans="2:12">
      <c r="B140" s="180" t="s">
        <v>1221</v>
      </c>
      <c r="C140" s="180" t="s">
        <v>1222</v>
      </c>
      <c r="D140" s="180" t="s">
        <v>974</v>
      </c>
      <c r="E140" s="180" t="s">
        <v>990</v>
      </c>
      <c r="F140" s="672">
        <v>0</v>
      </c>
      <c r="G140" s="672">
        <v>0</v>
      </c>
      <c r="H140" s="672">
        <v>0</v>
      </c>
      <c r="I140" s="672">
        <v>0</v>
      </c>
      <c r="J140" s="672">
        <v>0</v>
      </c>
      <c r="K140" s="672">
        <v>0</v>
      </c>
      <c r="L140" s="672">
        <v>0</v>
      </c>
    </row>
    <row r="141" spans="2:12">
      <c r="B141" s="180" t="s">
        <v>1223</v>
      </c>
      <c r="C141" s="180" t="s">
        <v>1224</v>
      </c>
      <c r="D141" s="180" t="s">
        <v>974</v>
      </c>
      <c r="E141" s="180" t="s">
        <v>990</v>
      </c>
      <c r="F141" s="672">
        <v>0</v>
      </c>
      <c r="G141" s="672">
        <v>0</v>
      </c>
      <c r="H141" s="672">
        <v>0</v>
      </c>
      <c r="I141" s="672">
        <v>0</v>
      </c>
      <c r="J141" s="672">
        <v>0</v>
      </c>
      <c r="K141" s="672">
        <v>0</v>
      </c>
      <c r="L141" s="672">
        <v>0</v>
      </c>
    </row>
    <row r="142" spans="2:12">
      <c r="B142" s="180" t="s">
        <v>1225</v>
      </c>
      <c r="C142" s="180" t="s">
        <v>1032</v>
      </c>
      <c r="D142" s="180" t="s">
        <v>974</v>
      </c>
      <c r="E142" s="180" t="s">
        <v>980</v>
      </c>
      <c r="F142" s="672">
        <v>554415.38</v>
      </c>
      <c r="G142" s="672">
        <v>58106.2</v>
      </c>
      <c r="H142" s="672">
        <v>52061.22</v>
      </c>
      <c r="I142" s="672">
        <v>52059.76</v>
      </c>
      <c r="J142" s="672">
        <v>58248.24</v>
      </c>
      <c r="K142" s="672">
        <v>319110.48</v>
      </c>
      <c r="L142" s="672">
        <v>14829.48</v>
      </c>
    </row>
    <row r="143" spans="2:12">
      <c r="B143" s="180" t="s">
        <v>1226</v>
      </c>
      <c r="C143" s="180" t="s">
        <v>1227</v>
      </c>
      <c r="D143" s="180" t="s">
        <v>974</v>
      </c>
      <c r="E143" s="180" t="s">
        <v>980</v>
      </c>
      <c r="F143" s="672">
        <v>-111708.79</v>
      </c>
      <c r="G143" s="672">
        <v>4946.3900000000003</v>
      </c>
      <c r="H143" s="672">
        <v>5550.07</v>
      </c>
      <c r="I143" s="672">
        <v>22696.3</v>
      </c>
      <c r="J143" s="672">
        <v>211551.78</v>
      </c>
      <c r="K143" s="672">
        <v>-331636.33</v>
      </c>
      <c r="L143" s="672">
        <v>-24817</v>
      </c>
    </row>
    <row r="144" spans="2:12">
      <c r="B144" s="180" t="s">
        <v>1228</v>
      </c>
      <c r="C144" s="180" t="s">
        <v>989</v>
      </c>
      <c r="D144" s="180" t="s">
        <v>974</v>
      </c>
      <c r="E144" s="180" t="s">
        <v>975</v>
      </c>
      <c r="F144" s="672">
        <v>385026.14</v>
      </c>
      <c r="G144" s="672">
        <v>12906.39</v>
      </c>
      <c r="H144" s="672">
        <v>12901.9</v>
      </c>
      <c r="I144" s="672">
        <v>12845.01</v>
      </c>
      <c r="J144" s="672">
        <v>12074.51</v>
      </c>
      <c r="K144" s="672">
        <v>31011.48</v>
      </c>
      <c r="L144" s="672">
        <v>303286.84999999998</v>
      </c>
    </row>
    <row r="145" spans="2:12">
      <c r="B145" s="180" t="s">
        <v>1229</v>
      </c>
      <c r="C145" s="180" t="s">
        <v>1230</v>
      </c>
      <c r="D145" s="180" t="s">
        <v>974</v>
      </c>
      <c r="E145" s="180" t="s">
        <v>990</v>
      </c>
      <c r="F145" s="672">
        <v>0</v>
      </c>
      <c r="G145" s="672">
        <v>0</v>
      </c>
      <c r="H145" s="672">
        <v>0</v>
      </c>
      <c r="I145" s="672">
        <v>0</v>
      </c>
      <c r="J145" s="672">
        <v>0</v>
      </c>
      <c r="K145" s="672">
        <v>0</v>
      </c>
      <c r="L145" s="672">
        <v>0</v>
      </c>
    </row>
    <row r="146" spans="2:12">
      <c r="B146" s="180" t="s">
        <v>1231</v>
      </c>
      <c r="C146" s="180" t="s">
        <v>1232</v>
      </c>
      <c r="D146" s="180" t="s">
        <v>974</v>
      </c>
      <c r="E146" s="180" t="s">
        <v>990</v>
      </c>
      <c r="F146" s="672">
        <v>0</v>
      </c>
      <c r="G146" s="672">
        <v>0</v>
      </c>
      <c r="H146" s="672">
        <v>0</v>
      </c>
      <c r="I146" s="672">
        <v>0</v>
      </c>
      <c r="J146" s="672">
        <v>0</v>
      </c>
      <c r="K146" s="672">
        <v>0</v>
      </c>
      <c r="L146" s="672">
        <v>0</v>
      </c>
    </row>
    <row r="147" spans="2:12">
      <c r="B147" s="180" t="s">
        <v>1233</v>
      </c>
      <c r="C147" s="180" t="s">
        <v>1234</v>
      </c>
      <c r="D147" s="180" t="s">
        <v>974</v>
      </c>
      <c r="E147" s="180" t="s">
        <v>990</v>
      </c>
      <c r="F147" s="672">
        <v>0</v>
      </c>
      <c r="G147" s="672">
        <v>0</v>
      </c>
      <c r="H147" s="672">
        <v>0</v>
      </c>
      <c r="I147" s="672">
        <v>0</v>
      </c>
      <c r="J147" s="672">
        <v>0</v>
      </c>
      <c r="K147" s="672">
        <v>0</v>
      </c>
      <c r="L147" s="672">
        <v>0</v>
      </c>
    </row>
    <row r="148" spans="2:12">
      <c r="B148" s="180" t="s">
        <v>1235</v>
      </c>
      <c r="C148" s="180" t="s">
        <v>1167</v>
      </c>
      <c r="D148" s="180" t="s">
        <v>993</v>
      </c>
      <c r="E148" s="180" t="s">
        <v>990</v>
      </c>
      <c r="F148" s="672">
        <v>-38.54</v>
      </c>
      <c r="G148" s="672">
        <v>0</v>
      </c>
      <c r="H148" s="672">
        <v>0</v>
      </c>
      <c r="I148" s="672">
        <v>0</v>
      </c>
      <c r="J148" s="672">
        <v>0</v>
      </c>
      <c r="K148" s="672">
        <v>0</v>
      </c>
      <c r="L148" s="672">
        <v>-38.54</v>
      </c>
    </row>
    <row r="149" spans="2:12">
      <c r="B149" s="180" t="s">
        <v>1236</v>
      </c>
      <c r="C149" s="180" t="s">
        <v>1237</v>
      </c>
      <c r="D149" s="180" t="s">
        <v>993</v>
      </c>
      <c r="E149" s="180" t="s">
        <v>975</v>
      </c>
      <c r="F149" s="672">
        <v>-3764254.48</v>
      </c>
      <c r="G149" s="672">
        <v>0</v>
      </c>
      <c r="H149" s="672">
        <v>0</v>
      </c>
      <c r="I149" s="672">
        <v>0</v>
      </c>
      <c r="J149" s="672">
        <v>0</v>
      </c>
      <c r="K149" s="672">
        <v>-88.06</v>
      </c>
      <c r="L149" s="672">
        <v>-3764166.42</v>
      </c>
    </row>
    <row r="150" spans="2:12">
      <c r="B150" s="180" t="s">
        <v>1095</v>
      </c>
      <c r="C150" s="180" t="s">
        <v>1096</v>
      </c>
      <c r="D150" s="180" t="s">
        <v>974</v>
      </c>
      <c r="E150" s="180" t="s">
        <v>975</v>
      </c>
      <c r="F150" s="672">
        <v>-775.37</v>
      </c>
      <c r="G150" s="672">
        <v>0</v>
      </c>
      <c r="H150" s="672">
        <v>0</v>
      </c>
      <c r="I150" s="672">
        <v>0</v>
      </c>
      <c r="J150" s="672">
        <v>0</v>
      </c>
      <c r="K150" s="672">
        <v>0</v>
      </c>
      <c r="L150" s="672">
        <v>-775.37</v>
      </c>
    </row>
    <row r="151" spans="2:12">
      <c r="B151" s="180" t="s">
        <v>1238</v>
      </c>
      <c r="C151" s="180" t="s">
        <v>1239</v>
      </c>
      <c r="D151" s="180" t="s">
        <v>974</v>
      </c>
      <c r="E151" s="180" t="s">
        <v>980</v>
      </c>
      <c r="F151" s="672">
        <v>-6683.82</v>
      </c>
      <c r="G151" s="672">
        <v>-3559.32</v>
      </c>
      <c r="H151" s="672">
        <v>870.21</v>
      </c>
      <c r="I151" s="672">
        <v>977.52</v>
      </c>
      <c r="J151" s="672">
        <v>-114804.61</v>
      </c>
      <c r="K151" s="672">
        <v>98265.58</v>
      </c>
      <c r="L151" s="672">
        <v>11566.8</v>
      </c>
    </row>
    <row r="152" spans="2:12">
      <c r="B152" s="180" t="s">
        <v>1240</v>
      </c>
      <c r="C152" s="180" t="s">
        <v>1241</v>
      </c>
      <c r="D152" s="180" t="s">
        <v>974</v>
      </c>
      <c r="E152" s="180" t="s">
        <v>980</v>
      </c>
      <c r="F152" s="672">
        <v>-14851.57</v>
      </c>
      <c r="G152" s="672">
        <v>261.99</v>
      </c>
      <c r="H152" s="672">
        <v>266.47000000000003</v>
      </c>
      <c r="I152" s="672">
        <v>251.71</v>
      </c>
      <c r="J152" s="672">
        <v>261.99</v>
      </c>
      <c r="K152" s="672">
        <v>-15280.71</v>
      </c>
      <c r="L152" s="672">
        <v>-613.02</v>
      </c>
    </row>
    <row r="153" spans="2:12">
      <c r="B153" s="180" t="s">
        <v>1242</v>
      </c>
      <c r="C153" s="180" t="s">
        <v>1237</v>
      </c>
      <c r="D153" s="180" t="s">
        <v>993</v>
      </c>
      <c r="E153" s="180" t="s">
        <v>975</v>
      </c>
      <c r="F153" s="672">
        <v>-95211.48</v>
      </c>
      <c r="G153" s="672">
        <v>0</v>
      </c>
      <c r="H153" s="672">
        <v>0</v>
      </c>
      <c r="I153" s="672">
        <v>0</v>
      </c>
      <c r="J153" s="672">
        <v>0</v>
      </c>
      <c r="K153" s="672">
        <v>0</v>
      </c>
      <c r="L153" s="672">
        <v>-95211.48</v>
      </c>
    </row>
    <row r="154" spans="2:12">
      <c r="B154" s="180" t="s">
        <v>1243</v>
      </c>
      <c r="C154" s="180" t="s">
        <v>1244</v>
      </c>
      <c r="D154" s="180" t="s">
        <v>974</v>
      </c>
      <c r="E154" s="180" t="s">
        <v>975</v>
      </c>
      <c r="F154" s="672">
        <v>98276.11</v>
      </c>
      <c r="G154" s="672">
        <v>0</v>
      </c>
      <c r="H154" s="672">
        <v>0</v>
      </c>
      <c r="I154" s="672">
        <v>0</v>
      </c>
      <c r="J154" s="672">
        <v>0</v>
      </c>
      <c r="K154" s="672">
        <v>0</v>
      </c>
      <c r="L154" s="672">
        <v>98276.11</v>
      </c>
    </row>
    <row r="155" spans="2:12">
      <c r="B155" s="180" t="s">
        <v>1064</v>
      </c>
      <c r="C155" s="180" t="s">
        <v>1065</v>
      </c>
      <c r="D155" s="180" t="s">
        <v>993</v>
      </c>
      <c r="E155" s="180" t="s">
        <v>975</v>
      </c>
      <c r="F155" s="672">
        <v>-9167.73</v>
      </c>
      <c r="G155" s="672">
        <v>0</v>
      </c>
      <c r="H155" s="672">
        <v>0</v>
      </c>
      <c r="I155" s="672">
        <v>0</v>
      </c>
      <c r="J155" s="672">
        <v>0</v>
      </c>
      <c r="K155" s="672">
        <v>0</v>
      </c>
      <c r="L155" s="672">
        <v>-9167.73</v>
      </c>
    </row>
    <row r="156" spans="2:12">
      <c r="B156" s="180" t="s">
        <v>1245</v>
      </c>
      <c r="C156" s="180" t="s">
        <v>1246</v>
      </c>
      <c r="D156" s="180" t="s">
        <v>974</v>
      </c>
      <c r="E156" s="180" t="s">
        <v>980</v>
      </c>
      <c r="F156" s="672">
        <v>-596.70000000000005</v>
      </c>
      <c r="G156" s="672">
        <v>-1447.22</v>
      </c>
      <c r="H156" s="672">
        <v>-2326.59</v>
      </c>
      <c r="I156" s="672">
        <v>2273.46</v>
      </c>
      <c r="J156" s="672">
        <v>-1675.51</v>
      </c>
      <c r="K156" s="672">
        <v>-32256.34</v>
      </c>
      <c r="L156" s="672">
        <v>34835.5</v>
      </c>
    </row>
    <row r="157" spans="2:12">
      <c r="B157" s="180" t="s">
        <v>1247</v>
      </c>
      <c r="C157" s="180" t="s">
        <v>1248</v>
      </c>
      <c r="D157" s="180" t="s">
        <v>974</v>
      </c>
      <c r="E157" s="180" t="s">
        <v>990</v>
      </c>
      <c r="F157" s="672">
        <v>0</v>
      </c>
      <c r="G157" s="672">
        <v>0</v>
      </c>
      <c r="H157" s="672">
        <v>0</v>
      </c>
      <c r="I157" s="672">
        <v>0</v>
      </c>
      <c r="J157" s="672">
        <v>0</v>
      </c>
      <c r="K157" s="672">
        <v>0</v>
      </c>
      <c r="L157" s="672">
        <v>0</v>
      </c>
    </row>
    <row r="158" spans="2:12">
      <c r="B158" s="180" t="s">
        <v>1249</v>
      </c>
      <c r="C158" s="180" t="s">
        <v>1250</v>
      </c>
      <c r="D158" s="180" t="s">
        <v>974</v>
      </c>
      <c r="E158" s="180" t="s">
        <v>975</v>
      </c>
      <c r="F158" s="672">
        <v>-30808.95</v>
      </c>
      <c r="G158" s="672">
        <v>0</v>
      </c>
      <c r="H158" s="672">
        <v>0</v>
      </c>
      <c r="I158" s="672">
        <v>0</v>
      </c>
      <c r="J158" s="672">
        <v>0</v>
      </c>
      <c r="K158" s="672">
        <v>0</v>
      </c>
      <c r="L158" s="672">
        <v>-30808.95</v>
      </c>
    </row>
    <row r="159" spans="2:12">
      <c r="B159" s="180" t="s">
        <v>1251</v>
      </c>
      <c r="C159" s="180" t="s">
        <v>1252</v>
      </c>
      <c r="D159" s="180" t="s">
        <v>974</v>
      </c>
      <c r="E159" s="180" t="s">
        <v>990</v>
      </c>
      <c r="F159" s="672">
        <v>0</v>
      </c>
      <c r="G159" s="672">
        <v>0</v>
      </c>
      <c r="H159" s="672">
        <v>0</v>
      </c>
      <c r="I159" s="672">
        <v>0</v>
      </c>
      <c r="J159" s="672">
        <v>0</v>
      </c>
      <c r="K159" s="672">
        <v>0</v>
      </c>
      <c r="L159" s="672">
        <v>0</v>
      </c>
    </row>
    <row r="160" spans="2:12">
      <c r="B160" s="180" t="s">
        <v>1253</v>
      </c>
      <c r="C160" s="180" t="s">
        <v>1048</v>
      </c>
      <c r="D160" s="180" t="s">
        <v>993</v>
      </c>
      <c r="E160" s="180" t="s">
        <v>990</v>
      </c>
      <c r="F160" s="672">
        <v>0</v>
      </c>
      <c r="G160" s="672">
        <v>0</v>
      </c>
      <c r="H160" s="672">
        <v>0</v>
      </c>
      <c r="I160" s="672">
        <v>0</v>
      </c>
      <c r="J160" s="672">
        <v>0</v>
      </c>
      <c r="K160" s="672">
        <v>0</v>
      </c>
      <c r="L160" s="672">
        <v>0</v>
      </c>
    </row>
    <row r="161" spans="2:12">
      <c r="B161" s="180" t="s">
        <v>1254</v>
      </c>
      <c r="C161" s="180" t="s">
        <v>1255</v>
      </c>
      <c r="D161" s="180" t="s">
        <v>993</v>
      </c>
      <c r="E161" s="180" t="s">
        <v>990</v>
      </c>
      <c r="F161" s="672">
        <v>0</v>
      </c>
      <c r="G161" s="672">
        <v>0</v>
      </c>
      <c r="H161" s="672">
        <v>0</v>
      </c>
      <c r="I161" s="672">
        <v>0</v>
      </c>
      <c r="J161" s="672">
        <v>0</v>
      </c>
      <c r="K161" s="672">
        <v>0</v>
      </c>
      <c r="L161" s="672">
        <v>0</v>
      </c>
    </row>
    <row r="162" spans="2:12">
      <c r="B162" s="180" t="s">
        <v>1256</v>
      </c>
      <c r="C162" s="180" t="s">
        <v>1030</v>
      </c>
      <c r="D162" s="180" t="s">
        <v>993</v>
      </c>
      <c r="E162" s="180" t="s">
        <v>980</v>
      </c>
      <c r="F162" s="672">
        <v>140408.29</v>
      </c>
      <c r="G162" s="672">
        <v>2510.58</v>
      </c>
      <c r="H162" s="672">
        <v>2979.95</v>
      </c>
      <c r="I162" s="672">
        <v>3038.02</v>
      </c>
      <c r="J162" s="672">
        <v>2687.14</v>
      </c>
      <c r="K162" s="672">
        <v>34367.160000000003</v>
      </c>
      <c r="L162" s="672">
        <v>94825.44</v>
      </c>
    </row>
    <row r="163" spans="2:12">
      <c r="B163" s="180" t="s">
        <v>1257</v>
      </c>
      <c r="C163" s="180" t="s">
        <v>1258</v>
      </c>
      <c r="D163" s="180" t="s">
        <v>993</v>
      </c>
      <c r="E163" s="180" t="s">
        <v>980</v>
      </c>
      <c r="F163" s="672">
        <v>1918094.7</v>
      </c>
      <c r="G163" s="672">
        <v>46764.800000000003</v>
      </c>
      <c r="H163" s="672">
        <v>57311.43</v>
      </c>
      <c r="I163" s="672">
        <v>60854.57</v>
      </c>
      <c r="J163" s="672">
        <v>55768.91</v>
      </c>
      <c r="K163" s="672">
        <v>372668.38</v>
      </c>
      <c r="L163" s="672">
        <v>1324726.6100000001</v>
      </c>
    </row>
    <row r="164" spans="2:12">
      <c r="B164" s="180" t="s">
        <v>1259</v>
      </c>
      <c r="C164" s="180" t="s">
        <v>1260</v>
      </c>
      <c r="D164" s="180" t="s">
        <v>974</v>
      </c>
      <c r="E164" s="180" t="s">
        <v>1111</v>
      </c>
      <c r="F164" s="672">
        <v>-579.79</v>
      </c>
      <c r="G164" s="672">
        <v>0</v>
      </c>
      <c r="H164" s="672">
        <v>0</v>
      </c>
      <c r="I164" s="672">
        <v>0</v>
      </c>
      <c r="J164" s="672">
        <v>0</v>
      </c>
      <c r="K164" s="672">
        <v>0</v>
      </c>
      <c r="L164" s="672">
        <v>-579.79</v>
      </c>
    </row>
    <row r="165" spans="2:12">
      <c r="B165" s="180" t="s">
        <v>1261</v>
      </c>
      <c r="C165" s="180" t="s">
        <v>1262</v>
      </c>
      <c r="D165" s="180" t="s">
        <v>974</v>
      </c>
      <c r="E165" s="180" t="s">
        <v>975</v>
      </c>
      <c r="F165" s="672">
        <v>32435.86</v>
      </c>
      <c r="G165" s="672">
        <v>0</v>
      </c>
      <c r="H165" s="672">
        <v>0</v>
      </c>
      <c r="I165" s="672">
        <v>0</v>
      </c>
      <c r="J165" s="672">
        <v>0</v>
      </c>
      <c r="K165" s="672">
        <v>0</v>
      </c>
      <c r="L165" s="672">
        <v>32435.86</v>
      </c>
    </row>
    <row r="166" spans="2:12">
      <c r="B166" s="180" t="s">
        <v>1238</v>
      </c>
      <c r="C166" s="180" t="s">
        <v>1239</v>
      </c>
      <c r="D166" s="180" t="s">
        <v>974</v>
      </c>
      <c r="E166" s="180" t="s">
        <v>990</v>
      </c>
      <c r="F166" s="672">
        <v>0</v>
      </c>
      <c r="G166" s="672">
        <v>0</v>
      </c>
      <c r="H166" s="672">
        <v>0</v>
      </c>
      <c r="I166" s="672">
        <v>0</v>
      </c>
      <c r="J166" s="672">
        <v>0</v>
      </c>
      <c r="K166" s="672">
        <v>0</v>
      </c>
      <c r="L166" s="672">
        <v>0</v>
      </c>
    </row>
    <row r="167" spans="2:12">
      <c r="B167" s="180" t="s">
        <v>1225</v>
      </c>
      <c r="C167" s="180" t="s">
        <v>1032</v>
      </c>
      <c r="D167" s="180" t="s">
        <v>974</v>
      </c>
      <c r="E167" s="180" t="s">
        <v>990</v>
      </c>
      <c r="F167" s="672">
        <v>0</v>
      </c>
      <c r="G167" s="672">
        <v>0</v>
      </c>
      <c r="H167" s="672">
        <v>0</v>
      </c>
      <c r="I167" s="672">
        <v>0</v>
      </c>
      <c r="J167" s="672">
        <v>0</v>
      </c>
      <c r="K167" s="672">
        <v>0</v>
      </c>
      <c r="L167" s="672">
        <v>0</v>
      </c>
    </row>
    <row r="168" spans="2:12">
      <c r="B168" s="180" t="s">
        <v>1263</v>
      </c>
      <c r="C168" s="180" t="s">
        <v>1032</v>
      </c>
      <c r="D168" s="180" t="s">
        <v>974</v>
      </c>
      <c r="E168" s="180" t="s">
        <v>980</v>
      </c>
      <c r="F168" s="672">
        <v>646763.22</v>
      </c>
      <c r="G168" s="672">
        <v>258212.57</v>
      </c>
      <c r="H168" s="672">
        <v>-306013.58</v>
      </c>
      <c r="I168" s="672">
        <v>44757.13</v>
      </c>
      <c r="J168" s="672">
        <v>127911.98</v>
      </c>
      <c r="K168" s="672">
        <v>487979.45</v>
      </c>
      <c r="L168" s="672">
        <v>33915.67</v>
      </c>
    </row>
    <row r="169" spans="2:12">
      <c r="B169" s="180" t="s">
        <v>1264</v>
      </c>
      <c r="C169" s="180" t="s">
        <v>1265</v>
      </c>
      <c r="D169" s="180" t="s">
        <v>974</v>
      </c>
      <c r="E169" s="180" t="s">
        <v>1075</v>
      </c>
      <c r="F169" s="672">
        <v>0</v>
      </c>
      <c r="G169" s="672">
        <v>0</v>
      </c>
      <c r="H169" s="672">
        <v>0</v>
      </c>
      <c r="I169" s="672">
        <v>0</v>
      </c>
      <c r="J169" s="672">
        <v>0</v>
      </c>
      <c r="K169" s="672">
        <v>0</v>
      </c>
      <c r="L169" s="672">
        <v>0</v>
      </c>
    </row>
    <row r="170" spans="2:12">
      <c r="B170" s="180" t="s">
        <v>1266</v>
      </c>
      <c r="C170" s="180" t="s">
        <v>1267</v>
      </c>
      <c r="D170" s="180" t="s">
        <v>993</v>
      </c>
      <c r="E170" s="180" t="s">
        <v>1078</v>
      </c>
      <c r="F170" s="672">
        <v>2124</v>
      </c>
      <c r="G170" s="672">
        <v>0</v>
      </c>
      <c r="H170" s="672">
        <v>0</v>
      </c>
      <c r="I170" s="672">
        <v>0</v>
      </c>
      <c r="J170" s="672">
        <v>0</v>
      </c>
      <c r="K170" s="672">
        <v>0</v>
      </c>
      <c r="L170" s="672">
        <v>2124</v>
      </c>
    </row>
    <row r="171" spans="2:12">
      <c r="B171" s="180" t="s">
        <v>1268</v>
      </c>
      <c r="C171" s="180" t="s">
        <v>1269</v>
      </c>
      <c r="D171" s="180" t="s">
        <v>974</v>
      </c>
      <c r="E171" s="180" t="s">
        <v>975</v>
      </c>
      <c r="F171" s="672">
        <v>1160774.1599999999</v>
      </c>
      <c r="G171" s="672">
        <v>0</v>
      </c>
      <c r="H171" s="672">
        <v>0</v>
      </c>
      <c r="I171" s="672">
        <v>0</v>
      </c>
      <c r="J171" s="672">
        <v>0</v>
      </c>
      <c r="K171" s="672">
        <v>0</v>
      </c>
      <c r="L171" s="672">
        <v>1160774.1599999999</v>
      </c>
    </row>
    <row r="172" spans="2:12">
      <c r="B172" s="180" t="s">
        <v>1270</v>
      </c>
      <c r="C172" s="180" t="s">
        <v>1271</v>
      </c>
      <c r="D172" s="180" t="s">
        <v>974</v>
      </c>
      <c r="E172" s="180" t="s">
        <v>980</v>
      </c>
      <c r="F172" s="672">
        <v>0</v>
      </c>
      <c r="G172" s="672">
        <v>0</v>
      </c>
      <c r="H172" s="672">
        <v>0</v>
      </c>
      <c r="I172" s="672">
        <v>0</v>
      </c>
      <c r="J172" s="672">
        <v>0</v>
      </c>
      <c r="K172" s="672">
        <v>0</v>
      </c>
      <c r="L172" s="672">
        <v>0</v>
      </c>
    </row>
    <row r="173" spans="2:12">
      <c r="B173" s="180" t="s">
        <v>981</v>
      </c>
      <c r="C173" s="180" t="s">
        <v>982</v>
      </c>
      <c r="D173" s="180" t="s">
        <v>974</v>
      </c>
      <c r="E173" s="180" t="s">
        <v>990</v>
      </c>
      <c r="F173" s="672">
        <v>238</v>
      </c>
      <c r="G173" s="672">
        <v>0</v>
      </c>
      <c r="H173" s="672">
        <v>0</v>
      </c>
      <c r="I173" s="672">
        <v>0</v>
      </c>
      <c r="J173" s="672">
        <v>0</v>
      </c>
      <c r="K173" s="672">
        <v>0</v>
      </c>
      <c r="L173" s="672">
        <v>238</v>
      </c>
    </row>
    <row r="174" spans="2:12">
      <c r="B174" s="180" t="s">
        <v>1272</v>
      </c>
      <c r="C174" s="180" t="s">
        <v>1273</v>
      </c>
      <c r="D174" s="180" t="s">
        <v>993</v>
      </c>
      <c r="E174" s="180" t="s">
        <v>990</v>
      </c>
      <c r="F174" s="672">
        <v>0</v>
      </c>
      <c r="G174" s="672">
        <v>0</v>
      </c>
      <c r="H174" s="672">
        <v>0</v>
      </c>
      <c r="I174" s="672">
        <v>0</v>
      </c>
      <c r="J174" s="672">
        <v>0</v>
      </c>
      <c r="K174" s="672">
        <v>0</v>
      </c>
      <c r="L174" s="672">
        <v>0</v>
      </c>
    </row>
    <row r="175" spans="2:12">
      <c r="B175" s="180" t="s">
        <v>1274</v>
      </c>
      <c r="C175" s="180" t="s">
        <v>1275</v>
      </c>
      <c r="D175" s="180" t="s">
        <v>974</v>
      </c>
      <c r="E175" s="180" t="s">
        <v>990</v>
      </c>
      <c r="F175" s="672">
        <v>0</v>
      </c>
      <c r="G175" s="672">
        <v>0</v>
      </c>
      <c r="H175" s="672">
        <v>0</v>
      </c>
      <c r="I175" s="672">
        <v>0</v>
      </c>
      <c r="J175" s="672">
        <v>0</v>
      </c>
      <c r="K175" s="672">
        <v>0</v>
      </c>
      <c r="L175" s="672">
        <v>0</v>
      </c>
    </row>
    <row r="176" spans="2:12">
      <c r="B176" s="180" t="s">
        <v>1276</v>
      </c>
      <c r="C176" s="180" t="s">
        <v>1277</v>
      </c>
      <c r="D176" s="180" t="s">
        <v>993</v>
      </c>
      <c r="E176" s="180" t="s">
        <v>980</v>
      </c>
      <c r="F176" s="672">
        <v>1304784.1599999999</v>
      </c>
      <c r="G176" s="672">
        <v>28184.09</v>
      </c>
      <c r="H176" s="672">
        <v>49067.89</v>
      </c>
      <c r="I176" s="672">
        <v>31267.16</v>
      </c>
      <c r="J176" s="672">
        <v>33800.230000000003</v>
      </c>
      <c r="K176" s="672">
        <v>219869.62</v>
      </c>
      <c r="L176" s="672">
        <v>942595.17</v>
      </c>
    </row>
    <row r="177" spans="2:12">
      <c r="B177" s="180" t="s">
        <v>1278</v>
      </c>
      <c r="C177" s="180" t="s">
        <v>1279</v>
      </c>
      <c r="D177" s="180" t="s">
        <v>974</v>
      </c>
      <c r="E177" s="180" t="s">
        <v>980</v>
      </c>
      <c r="F177" s="672">
        <v>1379066.92</v>
      </c>
      <c r="G177" s="672">
        <v>32586.75</v>
      </c>
      <c r="H177" s="672">
        <v>32749.29</v>
      </c>
      <c r="I177" s="672">
        <v>32824.19</v>
      </c>
      <c r="J177" s="672">
        <v>32759.200000000001</v>
      </c>
      <c r="K177" s="672">
        <v>253437.63</v>
      </c>
      <c r="L177" s="672">
        <v>994709.86</v>
      </c>
    </row>
    <row r="178" spans="2:12">
      <c r="B178" s="180" t="s">
        <v>1105</v>
      </c>
      <c r="C178" s="180" t="s">
        <v>1106</v>
      </c>
      <c r="D178" s="180" t="s">
        <v>993</v>
      </c>
      <c r="E178" s="180" t="s">
        <v>990</v>
      </c>
      <c r="F178" s="672">
        <v>0</v>
      </c>
      <c r="G178" s="672">
        <v>0</v>
      </c>
      <c r="H178" s="672">
        <v>0</v>
      </c>
      <c r="I178" s="672">
        <v>0</v>
      </c>
      <c r="J178" s="672">
        <v>0</v>
      </c>
      <c r="K178" s="672">
        <v>0</v>
      </c>
      <c r="L178" s="672">
        <v>0</v>
      </c>
    </row>
    <row r="179" spans="2:12">
      <c r="B179" s="180" t="s">
        <v>1280</v>
      </c>
      <c r="C179" s="180" t="s">
        <v>1281</v>
      </c>
      <c r="D179" s="180" t="s">
        <v>993</v>
      </c>
      <c r="E179" s="180" t="s">
        <v>975</v>
      </c>
      <c r="F179" s="672">
        <v>-488712.86</v>
      </c>
      <c r="G179" s="672">
        <v>0</v>
      </c>
      <c r="H179" s="672">
        <v>0</v>
      </c>
      <c r="I179" s="672">
        <v>0</v>
      </c>
      <c r="J179" s="672">
        <v>0</v>
      </c>
      <c r="K179" s="672">
        <v>0</v>
      </c>
      <c r="L179" s="672">
        <v>-488712.86</v>
      </c>
    </row>
    <row r="180" spans="2:12">
      <c r="B180" s="180" t="s">
        <v>1282</v>
      </c>
      <c r="C180" s="180" t="s">
        <v>1062</v>
      </c>
      <c r="D180" s="180" t="s">
        <v>993</v>
      </c>
      <c r="E180" s="180" t="s">
        <v>980</v>
      </c>
      <c r="F180" s="672">
        <v>938671.6</v>
      </c>
      <c r="G180" s="672">
        <v>17047.18</v>
      </c>
      <c r="H180" s="672">
        <v>17675.64</v>
      </c>
      <c r="I180" s="672">
        <v>23944.74</v>
      </c>
      <c r="J180" s="672">
        <v>20764.63</v>
      </c>
      <c r="K180" s="672">
        <v>162728.76999999999</v>
      </c>
      <c r="L180" s="672">
        <v>696510.64</v>
      </c>
    </row>
    <row r="181" spans="2:12">
      <c r="B181" s="180" t="s">
        <v>1270</v>
      </c>
      <c r="C181" s="180" t="s">
        <v>1271</v>
      </c>
      <c r="D181" s="180" t="s">
        <v>974</v>
      </c>
      <c r="E181" s="180" t="s">
        <v>975</v>
      </c>
      <c r="F181" s="672">
        <v>14090.65</v>
      </c>
      <c r="G181" s="672">
        <v>0</v>
      </c>
      <c r="H181" s="672">
        <v>0</v>
      </c>
      <c r="I181" s="672">
        <v>0</v>
      </c>
      <c r="J181" s="672">
        <v>0</v>
      </c>
      <c r="K181" s="672">
        <v>0</v>
      </c>
      <c r="L181" s="672">
        <v>14090.65</v>
      </c>
    </row>
    <row r="182" spans="2:12">
      <c r="B182" s="180" t="s">
        <v>1283</v>
      </c>
      <c r="C182" s="180" t="s">
        <v>1131</v>
      </c>
      <c r="D182" s="180" t="s">
        <v>974</v>
      </c>
      <c r="E182" s="180" t="s">
        <v>975</v>
      </c>
      <c r="F182" s="672">
        <v>10025.58</v>
      </c>
      <c r="G182" s="672">
        <v>0</v>
      </c>
      <c r="H182" s="672">
        <v>0.67</v>
      </c>
      <c r="I182" s="672">
        <v>0</v>
      </c>
      <c r="J182" s="672">
        <v>0</v>
      </c>
      <c r="K182" s="672">
        <v>0</v>
      </c>
      <c r="L182" s="672">
        <v>10024.91</v>
      </c>
    </row>
    <row r="183" spans="2:12">
      <c r="B183" s="180" t="s">
        <v>981</v>
      </c>
      <c r="C183" s="180" t="s">
        <v>982</v>
      </c>
      <c r="D183" s="180" t="s">
        <v>974</v>
      </c>
      <c r="E183" s="180" t="s">
        <v>975</v>
      </c>
      <c r="F183" s="672">
        <v>458665.54</v>
      </c>
      <c r="G183" s="672">
        <v>0</v>
      </c>
      <c r="H183" s="672">
        <v>0</v>
      </c>
      <c r="I183" s="672">
        <v>0</v>
      </c>
      <c r="J183" s="672">
        <v>0</v>
      </c>
      <c r="K183" s="672">
        <v>299020.65999999997</v>
      </c>
      <c r="L183" s="672">
        <v>159644.88</v>
      </c>
    </row>
    <row r="184" spans="2:12">
      <c r="B184" s="180" t="s">
        <v>1202</v>
      </c>
      <c r="C184" s="180" t="s">
        <v>1137</v>
      </c>
      <c r="D184" s="180" t="s">
        <v>974</v>
      </c>
      <c r="E184" s="180" t="s">
        <v>990</v>
      </c>
      <c r="F184" s="672">
        <v>0</v>
      </c>
      <c r="G184" s="672">
        <v>0</v>
      </c>
      <c r="H184" s="672">
        <v>0</v>
      </c>
      <c r="I184" s="672">
        <v>0</v>
      </c>
      <c r="J184" s="672">
        <v>0</v>
      </c>
      <c r="K184" s="672">
        <v>0</v>
      </c>
      <c r="L184" s="672">
        <v>0</v>
      </c>
    </row>
    <row r="185" spans="2:12">
      <c r="B185" s="180" t="s">
        <v>1284</v>
      </c>
      <c r="C185" s="180" t="s">
        <v>1285</v>
      </c>
      <c r="D185" s="180" t="s">
        <v>974</v>
      </c>
      <c r="E185" s="180" t="s">
        <v>990</v>
      </c>
      <c r="F185" s="672">
        <v>0</v>
      </c>
      <c r="G185" s="672">
        <v>0</v>
      </c>
      <c r="H185" s="672">
        <v>0</v>
      </c>
      <c r="I185" s="672">
        <v>0</v>
      </c>
      <c r="J185" s="672">
        <v>0</v>
      </c>
      <c r="K185" s="672">
        <v>0</v>
      </c>
      <c r="L185" s="672">
        <v>0</v>
      </c>
    </row>
    <row r="186" spans="2:12">
      <c r="B186" s="180" t="s">
        <v>1286</v>
      </c>
      <c r="C186" s="180" t="s">
        <v>1287</v>
      </c>
      <c r="D186" s="180" t="s">
        <v>974</v>
      </c>
      <c r="E186" s="180" t="s">
        <v>975</v>
      </c>
      <c r="F186" s="672">
        <v>-6974.35</v>
      </c>
      <c r="G186" s="672">
        <v>30367.11</v>
      </c>
      <c r="H186" s="672">
        <v>30367.11</v>
      </c>
      <c r="I186" s="672">
        <v>0</v>
      </c>
      <c r="J186" s="672">
        <v>0</v>
      </c>
      <c r="K186" s="672">
        <v>56736.12</v>
      </c>
      <c r="L186" s="672">
        <v>-124444.69</v>
      </c>
    </row>
    <row r="187" spans="2:12">
      <c r="B187" s="180" t="s">
        <v>1288</v>
      </c>
      <c r="C187" s="180" t="s">
        <v>1289</v>
      </c>
      <c r="D187" s="180" t="s">
        <v>974</v>
      </c>
      <c r="E187" s="180" t="s">
        <v>980</v>
      </c>
      <c r="F187" s="672">
        <v>82817.570000000007</v>
      </c>
      <c r="G187" s="672">
        <v>5818.35</v>
      </c>
      <c r="H187" s="672">
        <v>6549.82</v>
      </c>
      <c r="I187" s="672">
        <v>1981.56</v>
      </c>
      <c r="J187" s="672">
        <v>1957.18</v>
      </c>
      <c r="K187" s="672">
        <v>-3621.77</v>
      </c>
      <c r="L187" s="672">
        <v>70132.429999999993</v>
      </c>
    </row>
    <row r="188" spans="2:12">
      <c r="B188" s="180" t="s">
        <v>1290</v>
      </c>
      <c r="C188" s="180" t="s">
        <v>1291</v>
      </c>
      <c r="D188" s="180" t="s">
        <v>974</v>
      </c>
      <c r="E188" s="180" t="s">
        <v>990</v>
      </c>
      <c r="F188" s="672">
        <v>0</v>
      </c>
      <c r="G188" s="672">
        <v>0</v>
      </c>
      <c r="H188" s="672">
        <v>0</v>
      </c>
      <c r="I188" s="672">
        <v>0</v>
      </c>
      <c r="J188" s="672">
        <v>0</v>
      </c>
      <c r="K188" s="672">
        <v>0</v>
      </c>
      <c r="L188" s="672">
        <v>0</v>
      </c>
    </row>
    <row r="189" spans="2:12">
      <c r="B189" s="180" t="s">
        <v>1292</v>
      </c>
      <c r="C189" s="180" t="s">
        <v>1293</v>
      </c>
      <c r="D189" s="180" t="s">
        <v>974</v>
      </c>
      <c r="E189" s="180" t="s">
        <v>990</v>
      </c>
      <c r="F189" s="672">
        <v>0</v>
      </c>
      <c r="G189" s="672">
        <v>0</v>
      </c>
      <c r="H189" s="672">
        <v>0</v>
      </c>
      <c r="I189" s="672">
        <v>0</v>
      </c>
      <c r="J189" s="672">
        <v>0</v>
      </c>
      <c r="K189" s="672">
        <v>0</v>
      </c>
      <c r="L189" s="672">
        <v>0</v>
      </c>
    </row>
    <row r="190" spans="2:12">
      <c r="B190" s="180" t="s">
        <v>1294</v>
      </c>
      <c r="C190" s="180" t="s">
        <v>1295</v>
      </c>
      <c r="D190" s="180" t="s">
        <v>974</v>
      </c>
      <c r="E190" s="180" t="s">
        <v>990</v>
      </c>
      <c r="F190" s="672">
        <v>0</v>
      </c>
      <c r="G190" s="672">
        <v>0</v>
      </c>
      <c r="H190" s="672">
        <v>0</v>
      </c>
      <c r="I190" s="672">
        <v>0</v>
      </c>
      <c r="J190" s="672">
        <v>0</v>
      </c>
      <c r="K190" s="672">
        <v>0</v>
      </c>
      <c r="L190" s="672">
        <v>0</v>
      </c>
    </row>
    <row r="191" spans="2:12">
      <c r="B191" s="180" t="s">
        <v>1296</v>
      </c>
      <c r="C191" s="180" t="s">
        <v>1021</v>
      </c>
      <c r="D191" s="180" t="s">
        <v>993</v>
      </c>
      <c r="E191" s="180" t="s">
        <v>975</v>
      </c>
      <c r="F191" s="672">
        <v>-21457.33</v>
      </c>
      <c r="G191" s="672">
        <v>0</v>
      </c>
      <c r="H191" s="672">
        <v>0</v>
      </c>
      <c r="I191" s="672">
        <v>0</v>
      </c>
      <c r="J191" s="672">
        <v>0</v>
      </c>
      <c r="K191" s="672">
        <v>0</v>
      </c>
      <c r="L191" s="672">
        <v>-21457.33</v>
      </c>
    </row>
    <row r="192" spans="2:12">
      <c r="B192" s="180" t="s">
        <v>1297</v>
      </c>
      <c r="C192" s="180" t="s">
        <v>1298</v>
      </c>
      <c r="D192" s="180" t="s">
        <v>974</v>
      </c>
      <c r="E192" s="180" t="s">
        <v>980</v>
      </c>
      <c r="F192" s="672">
        <v>-291142.7</v>
      </c>
      <c r="G192" s="672">
        <v>-873816.25</v>
      </c>
      <c r="H192" s="672">
        <v>805296.43</v>
      </c>
      <c r="I192" s="672">
        <v>720266.87</v>
      </c>
      <c r="J192" s="672">
        <v>-764615.68000000005</v>
      </c>
      <c r="K192" s="672">
        <v>62767.29</v>
      </c>
      <c r="L192" s="672">
        <v>-241041.36</v>
      </c>
    </row>
    <row r="193" spans="2:12">
      <c r="B193" s="180" t="s">
        <v>1299</v>
      </c>
      <c r="C193" s="180" t="s">
        <v>1300</v>
      </c>
      <c r="D193" s="180" t="s">
        <v>993</v>
      </c>
      <c r="E193" s="180" t="s">
        <v>980</v>
      </c>
      <c r="F193" s="672">
        <v>79103.83</v>
      </c>
      <c r="G193" s="672">
        <v>1562</v>
      </c>
      <c r="H193" s="672">
        <v>1789.56</v>
      </c>
      <c r="I193" s="672">
        <v>2128.17</v>
      </c>
      <c r="J193" s="672">
        <v>1934.22</v>
      </c>
      <c r="K193" s="672">
        <v>11477.2</v>
      </c>
      <c r="L193" s="672">
        <v>60212.68</v>
      </c>
    </row>
    <row r="194" spans="2:12">
      <c r="B194" s="180" t="s">
        <v>1301</v>
      </c>
      <c r="C194" s="180" t="s">
        <v>1302</v>
      </c>
      <c r="D194" s="180" t="s">
        <v>993</v>
      </c>
      <c r="E194" s="180" t="s">
        <v>990</v>
      </c>
      <c r="F194" s="672">
        <v>0</v>
      </c>
      <c r="G194" s="672">
        <v>0</v>
      </c>
      <c r="H194" s="672">
        <v>0</v>
      </c>
      <c r="I194" s="672">
        <v>0</v>
      </c>
      <c r="J194" s="672">
        <v>0</v>
      </c>
      <c r="K194" s="672">
        <v>0</v>
      </c>
      <c r="L194" s="672">
        <v>0</v>
      </c>
    </row>
    <row r="195" spans="2:12">
      <c r="B195" s="180" t="s">
        <v>1303</v>
      </c>
      <c r="C195" s="180" t="s">
        <v>1176</v>
      </c>
      <c r="D195" s="180" t="s">
        <v>993</v>
      </c>
      <c r="E195" s="180" t="s">
        <v>975</v>
      </c>
      <c r="F195" s="672">
        <v>-4.2699999999999996</v>
      </c>
      <c r="G195" s="672">
        <v>0</v>
      </c>
      <c r="H195" s="672">
        <v>0</v>
      </c>
      <c r="I195" s="672">
        <v>0</v>
      </c>
      <c r="J195" s="672">
        <v>0</v>
      </c>
      <c r="K195" s="672">
        <v>0</v>
      </c>
      <c r="L195" s="672">
        <v>-4.2699999999999996</v>
      </c>
    </row>
    <row r="196" spans="2:12">
      <c r="B196" s="180" t="s">
        <v>1304</v>
      </c>
      <c r="C196" s="180" t="s">
        <v>1305</v>
      </c>
      <c r="D196" s="180" t="s">
        <v>974</v>
      </c>
      <c r="E196" s="180" t="s">
        <v>975</v>
      </c>
      <c r="F196" s="672">
        <v>8555.8799999999992</v>
      </c>
      <c r="G196" s="672">
        <v>0</v>
      </c>
      <c r="H196" s="672">
        <v>0</v>
      </c>
      <c r="I196" s="672">
        <v>0</v>
      </c>
      <c r="J196" s="672">
        <v>0</v>
      </c>
      <c r="K196" s="672">
        <v>0</v>
      </c>
      <c r="L196" s="672">
        <v>8555.8799999999992</v>
      </c>
    </row>
    <row r="197" spans="2:12">
      <c r="B197" s="180" t="s">
        <v>1306</v>
      </c>
      <c r="C197" s="180" t="s">
        <v>1307</v>
      </c>
      <c r="D197" s="180" t="s">
        <v>993</v>
      </c>
      <c r="E197" s="180" t="s">
        <v>990</v>
      </c>
      <c r="F197" s="672">
        <v>0</v>
      </c>
      <c r="G197" s="672">
        <v>0</v>
      </c>
      <c r="H197" s="672">
        <v>0</v>
      </c>
      <c r="I197" s="672">
        <v>0</v>
      </c>
      <c r="J197" s="672">
        <v>0</v>
      </c>
      <c r="K197" s="672">
        <v>0</v>
      </c>
      <c r="L197" s="672">
        <v>0</v>
      </c>
    </row>
    <row r="198" spans="2:12">
      <c r="B198" s="180" t="s">
        <v>1308</v>
      </c>
      <c r="C198" s="180" t="s">
        <v>1309</v>
      </c>
      <c r="D198" s="180" t="s">
        <v>993</v>
      </c>
      <c r="E198" s="180" t="s">
        <v>990</v>
      </c>
      <c r="F198" s="672">
        <v>0</v>
      </c>
      <c r="G198" s="672">
        <v>0</v>
      </c>
      <c r="H198" s="672">
        <v>0</v>
      </c>
      <c r="I198" s="672">
        <v>0</v>
      </c>
      <c r="J198" s="672">
        <v>0</v>
      </c>
      <c r="K198" s="672">
        <v>0</v>
      </c>
      <c r="L198" s="672">
        <v>0</v>
      </c>
    </row>
    <row r="199" spans="2:12">
      <c r="B199" s="180" t="s">
        <v>1188</v>
      </c>
      <c r="C199" s="180" t="s">
        <v>1189</v>
      </c>
      <c r="D199" s="180" t="s">
        <v>993</v>
      </c>
      <c r="E199" s="180" t="s">
        <v>980</v>
      </c>
      <c r="F199" s="672">
        <v>164891.69</v>
      </c>
      <c r="G199" s="672">
        <v>-1708.1</v>
      </c>
      <c r="H199" s="672">
        <v>4880.34</v>
      </c>
      <c r="I199" s="672">
        <v>6642.25</v>
      </c>
      <c r="J199" s="672">
        <v>4665.42</v>
      </c>
      <c r="K199" s="672">
        <v>30501.96</v>
      </c>
      <c r="L199" s="672">
        <v>119909.82</v>
      </c>
    </row>
    <row r="200" spans="2:12">
      <c r="B200" s="180" t="s">
        <v>1310</v>
      </c>
      <c r="C200" s="180" t="s">
        <v>1311</v>
      </c>
      <c r="D200" s="180" t="s">
        <v>974</v>
      </c>
      <c r="E200" s="180" t="s">
        <v>990</v>
      </c>
      <c r="F200" s="672">
        <v>0</v>
      </c>
      <c r="G200" s="672">
        <v>0</v>
      </c>
      <c r="H200" s="672">
        <v>0</v>
      </c>
      <c r="I200" s="672">
        <v>0</v>
      </c>
      <c r="J200" s="672">
        <v>0</v>
      </c>
      <c r="K200" s="672">
        <v>0</v>
      </c>
      <c r="L200" s="672">
        <v>0</v>
      </c>
    </row>
    <row r="201" spans="2:12">
      <c r="B201" s="180" t="s">
        <v>1312</v>
      </c>
      <c r="C201" s="180" t="s">
        <v>1123</v>
      </c>
      <c r="D201" s="180" t="s">
        <v>993</v>
      </c>
      <c r="E201" s="180" t="s">
        <v>990</v>
      </c>
      <c r="F201" s="672">
        <v>0</v>
      </c>
      <c r="G201" s="672">
        <v>0</v>
      </c>
      <c r="H201" s="672">
        <v>0</v>
      </c>
      <c r="I201" s="672">
        <v>0</v>
      </c>
      <c r="J201" s="672">
        <v>0</v>
      </c>
      <c r="K201" s="672">
        <v>0</v>
      </c>
      <c r="L201" s="672">
        <v>0</v>
      </c>
    </row>
    <row r="202" spans="2:12">
      <c r="B202" s="180" t="s">
        <v>1313</v>
      </c>
      <c r="C202" s="180" t="s">
        <v>1314</v>
      </c>
      <c r="D202" s="180" t="s">
        <v>974</v>
      </c>
      <c r="E202" s="180" t="s">
        <v>980</v>
      </c>
      <c r="F202" s="672">
        <v>-94550.58</v>
      </c>
      <c r="G202" s="672">
        <v>-34066.81</v>
      </c>
      <c r="H202" s="672">
        <v>34066.81</v>
      </c>
      <c r="I202" s="672">
        <v>0</v>
      </c>
      <c r="J202" s="672">
        <v>0</v>
      </c>
      <c r="K202" s="672">
        <v>-96175.17</v>
      </c>
      <c r="L202" s="672">
        <v>1624.59</v>
      </c>
    </row>
    <row r="203" spans="2:12">
      <c r="B203" s="180" t="s">
        <v>1172</v>
      </c>
      <c r="C203" s="180" t="s">
        <v>1115</v>
      </c>
      <c r="D203" s="180" t="s">
        <v>974</v>
      </c>
      <c r="E203" s="180" t="s">
        <v>975</v>
      </c>
      <c r="F203" s="672">
        <v>604555.17000000004</v>
      </c>
      <c r="G203" s="672">
        <v>0</v>
      </c>
      <c r="H203" s="672">
        <v>18292.75</v>
      </c>
      <c r="I203" s="672">
        <v>36687.379999999997</v>
      </c>
      <c r="J203" s="672">
        <v>24537.7</v>
      </c>
      <c r="K203" s="672">
        <v>188235.46</v>
      </c>
      <c r="L203" s="672">
        <v>336801.88</v>
      </c>
    </row>
    <row r="204" spans="2:12">
      <c r="B204" s="180" t="s">
        <v>1315</v>
      </c>
      <c r="C204" s="180" t="s">
        <v>1316</v>
      </c>
      <c r="D204" s="180" t="s">
        <v>974</v>
      </c>
      <c r="E204" s="180" t="s">
        <v>975</v>
      </c>
      <c r="F204" s="672">
        <v>129.77000000000001</v>
      </c>
      <c r="G204" s="672">
        <v>0</v>
      </c>
      <c r="H204" s="672">
        <v>0</v>
      </c>
      <c r="I204" s="672">
        <v>0</v>
      </c>
      <c r="J204" s="672">
        <v>0</v>
      </c>
      <c r="K204" s="672">
        <v>0</v>
      </c>
      <c r="L204" s="672">
        <v>129.77000000000001</v>
      </c>
    </row>
    <row r="205" spans="2:12">
      <c r="B205" s="180" t="s">
        <v>1317</v>
      </c>
      <c r="C205" s="180" t="s">
        <v>1084</v>
      </c>
      <c r="D205" s="180" t="s">
        <v>993</v>
      </c>
      <c r="E205" s="180" t="s">
        <v>990</v>
      </c>
      <c r="F205" s="672">
        <v>0</v>
      </c>
      <c r="G205" s="672">
        <v>0</v>
      </c>
      <c r="H205" s="672">
        <v>0</v>
      </c>
      <c r="I205" s="672">
        <v>0</v>
      </c>
      <c r="J205" s="672">
        <v>0</v>
      </c>
      <c r="K205" s="672">
        <v>0</v>
      </c>
      <c r="L205" s="672">
        <v>0</v>
      </c>
    </row>
    <row r="206" spans="2:12">
      <c r="B206" s="180" t="s">
        <v>1318</v>
      </c>
      <c r="C206" s="180" t="s">
        <v>1174</v>
      </c>
      <c r="D206" s="180" t="s">
        <v>993</v>
      </c>
      <c r="E206" s="180" t="s">
        <v>990</v>
      </c>
      <c r="F206" s="672">
        <v>0</v>
      </c>
      <c r="G206" s="672">
        <v>0</v>
      </c>
      <c r="H206" s="672">
        <v>0</v>
      </c>
      <c r="I206" s="672">
        <v>0</v>
      </c>
      <c r="J206" s="672">
        <v>0</v>
      </c>
      <c r="K206" s="672">
        <v>0</v>
      </c>
      <c r="L206" s="672">
        <v>0</v>
      </c>
    </row>
    <row r="207" spans="2:12">
      <c r="B207" s="180" t="s">
        <v>1319</v>
      </c>
      <c r="C207" s="180" t="s">
        <v>1320</v>
      </c>
      <c r="D207" s="180" t="s">
        <v>974</v>
      </c>
      <c r="E207" s="180" t="s">
        <v>975</v>
      </c>
      <c r="F207" s="672">
        <v>7.52</v>
      </c>
      <c r="G207" s="672">
        <v>7.52</v>
      </c>
      <c r="H207" s="672">
        <v>0</v>
      </c>
      <c r="I207" s="672">
        <v>0</v>
      </c>
      <c r="J207" s="672">
        <v>0</v>
      </c>
      <c r="K207" s="672">
        <v>0</v>
      </c>
      <c r="L207" s="672">
        <v>0</v>
      </c>
    </row>
    <row r="208" spans="2:12">
      <c r="B208" s="180" t="s">
        <v>1079</v>
      </c>
      <c r="C208" s="180" t="s">
        <v>1080</v>
      </c>
      <c r="D208" s="180" t="s">
        <v>974</v>
      </c>
      <c r="E208" s="180" t="s">
        <v>1321</v>
      </c>
      <c r="F208" s="672">
        <v>0</v>
      </c>
      <c r="G208" s="672">
        <v>0</v>
      </c>
      <c r="H208" s="672">
        <v>0</v>
      </c>
      <c r="I208" s="672">
        <v>0</v>
      </c>
      <c r="J208" s="672">
        <v>0</v>
      </c>
      <c r="K208" s="672">
        <v>0</v>
      </c>
      <c r="L208" s="672">
        <v>0</v>
      </c>
    </row>
    <row r="209" spans="2:12">
      <c r="B209" s="180" t="s">
        <v>1322</v>
      </c>
      <c r="C209" s="180" t="s">
        <v>1323</v>
      </c>
      <c r="D209" s="180" t="s">
        <v>974</v>
      </c>
      <c r="E209" s="180" t="s">
        <v>990</v>
      </c>
      <c r="F209" s="672">
        <v>0</v>
      </c>
      <c r="G209" s="672">
        <v>0</v>
      </c>
      <c r="H209" s="672">
        <v>0</v>
      </c>
      <c r="I209" s="672">
        <v>0</v>
      </c>
      <c r="J209" s="672">
        <v>0</v>
      </c>
      <c r="K209" s="672">
        <v>0</v>
      </c>
      <c r="L209" s="672">
        <v>0</v>
      </c>
    </row>
    <row r="210" spans="2:12">
      <c r="B210" s="180" t="s">
        <v>1324</v>
      </c>
      <c r="C210" s="180" t="s">
        <v>1325</v>
      </c>
      <c r="D210" s="180" t="s">
        <v>993</v>
      </c>
      <c r="E210" s="180" t="s">
        <v>975</v>
      </c>
      <c r="F210" s="672">
        <v>-1241784.57</v>
      </c>
      <c r="G210" s="672">
        <v>0</v>
      </c>
      <c r="H210" s="672">
        <v>0</v>
      </c>
      <c r="I210" s="672">
        <v>0</v>
      </c>
      <c r="J210" s="672">
        <v>0</v>
      </c>
      <c r="K210" s="672">
        <v>0</v>
      </c>
      <c r="L210" s="672">
        <v>-1241784.57</v>
      </c>
    </row>
    <row r="211" spans="2:12">
      <c r="B211" s="180" t="s">
        <v>1162</v>
      </c>
      <c r="C211" s="180" t="s">
        <v>1163</v>
      </c>
      <c r="D211" s="180" t="s">
        <v>974</v>
      </c>
      <c r="E211" s="180" t="s">
        <v>975</v>
      </c>
      <c r="F211" s="672">
        <v>-3823.73</v>
      </c>
      <c r="G211" s="672">
        <v>0</v>
      </c>
      <c r="H211" s="672">
        <v>0</v>
      </c>
      <c r="I211" s="672">
        <v>0</v>
      </c>
      <c r="J211" s="672">
        <v>0</v>
      </c>
      <c r="K211" s="672">
        <v>0</v>
      </c>
      <c r="L211" s="672">
        <v>-3823.73</v>
      </c>
    </row>
    <row r="212" spans="2:12">
      <c r="B212" s="180" t="s">
        <v>1035</v>
      </c>
      <c r="C212" s="180" t="s">
        <v>1036</v>
      </c>
      <c r="D212" s="180" t="s">
        <v>993</v>
      </c>
      <c r="E212" s="180" t="s">
        <v>975</v>
      </c>
      <c r="F212" s="672">
        <v>-365.97</v>
      </c>
      <c r="G212" s="672">
        <v>0</v>
      </c>
      <c r="H212" s="672">
        <v>0</v>
      </c>
      <c r="I212" s="672">
        <v>0</v>
      </c>
      <c r="J212" s="672">
        <v>0</v>
      </c>
      <c r="K212" s="672">
        <v>0</v>
      </c>
      <c r="L212" s="672">
        <v>-365.97</v>
      </c>
    </row>
    <row r="213" spans="2:12">
      <c r="B213" s="180" t="s">
        <v>1326</v>
      </c>
      <c r="C213" s="180" t="s">
        <v>1159</v>
      </c>
      <c r="D213" s="180" t="s">
        <v>993</v>
      </c>
      <c r="E213" s="180" t="s">
        <v>990</v>
      </c>
      <c r="F213" s="672">
        <v>0</v>
      </c>
      <c r="G213" s="672">
        <v>0</v>
      </c>
      <c r="H213" s="672">
        <v>0</v>
      </c>
      <c r="I213" s="672">
        <v>0</v>
      </c>
      <c r="J213" s="672">
        <v>0</v>
      </c>
      <c r="K213" s="672">
        <v>0</v>
      </c>
      <c r="L213" s="672">
        <v>0</v>
      </c>
    </row>
    <row r="214" spans="2:12">
      <c r="B214" s="180" t="s">
        <v>1327</v>
      </c>
      <c r="C214" s="180" t="s">
        <v>1269</v>
      </c>
      <c r="D214" s="180" t="s">
        <v>974</v>
      </c>
      <c r="E214" s="180" t="s">
        <v>990</v>
      </c>
      <c r="F214" s="672">
        <v>0</v>
      </c>
      <c r="G214" s="672">
        <v>0</v>
      </c>
      <c r="H214" s="672">
        <v>0</v>
      </c>
      <c r="I214" s="672">
        <v>0</v>
      </c>
      <c r="J214" s="672">
        <v>0</v>
      </c>
      <c r="K214" s="672">
        <v>0</v>
      </c>
      <c r="L214" s="672">
        <v>0</v>
      </c>
    </row>
    <row r="215" spans="2:12">
      <c r="B215" s="180" t="s">
        <v>1328</v>
      </c>
      <c r="C215" s="180" t="s">
        <v>1104</v>
      </c>
      <c r="D215" s="180" t="s">
        <v>993</v>
      </c>
      <c r="E215" s="180" t="s">
        <v>980</v>
      </c>
      <c r="F215" s="672">
        <v>725433.09</v>
      </c>
      <c r="G215" s="672">
        <v>12861.12</v>
      </c>
      <c r="H215" s="672">
        <v>16020</v>
      </c>
      <c r="I215" s="672">
        <v>14707.11</v>
      </c>
      <c r="J215" s="672">
        <v>13920.33</v>
      </c>
      <c r="K215" s="672">
        <v>103982.33</v>
      </c>
      <c r="L215" s="672">
        <v>563942.19999999995</v>
      </c>
    </row>
    <row r="216" spans="2:12">
      <c r="B216" s="180" t="s">
        <v>1143</v>
      </c>
      <c r="C216" s="180" t="s">
        <v>1144</v>
      </c>
      <c r="D216" s="180" t="s">
        <v>974</v>
      </c>
      <c r="E216" s="180" t="s">
        <v>980</v>
      </c>
      <c r="F216" s="672">
        <v>-427705.99</v>
      </c>
      <c r="G216" s="672">
        <v>0</v>
      </c>
      <c r="H216" s="672">
        <v>0</v>
      </c>
      <c r="I216" s="672">
        <v>0</v>
      </c>
      <c r="J216" s="672">
        <v>0</v>
      </c>
      <c r="K216" s="672">
        <v>0</v>
      </c>
      <c r="L216" s="672">
        <v>-427705.99</v>
      </c>
    </row>
    <row r="217" spans="2:12">
      <c r="B217" s="180" t="s">
        <v>1329</v>
      </c>
      <c r="C217" s="180" t="s">
        <v>1330</v>
      </c>
      <c r="D217" s="180" t="s">
        <v>993</v>
      </c>
      <c r="E217" s="180" t="s">
        <v>1075</v>
      </c>
      <c r="F217" s="672">
        <v>0</v>
      </c>
      <c r="G217" s="672">
        <v>0</v>
      </c>
      <c r="H217" s="672">
        <v>0</v>
      </c>
      <c r="I217" s="672">
        <v>0</v>
      </c>
      <c r="J217" s="672">
        <v>0</v>
      </c>
      <c r="K217" s="672">
        <v>0</v>
      </c>
      <c r="L217" s="672">
        <v>0</v>
      </c>
    </row>
    <row r="218" spans="2:12">
      <c r="B218" s="180" t="s">
        <v>984</v>
      </c>
      <c r="C218" s="180" t="s">
        <v>985</v>
      </c>
      <c r="D218" s="180" t="s">
        <v>974</v>
      </c>
      <c r="E218" s="180" t="s">
        <v>975</v>
      </c>
      <c r="F218" s="672">
        <v>4837.92</v>
      </c>
      <c r="G218" s="672">
        <v>0</v>
      </c>
      <c r="H218" s="672">
        <v>0</v>
      </c>
      <c r="I218" s="672">
        <v>0</v>
      </c>
      <c r="J218" s="672">
        <v>0</v>
      </c>
      <c r="K218" s="672">
        <v>0</v>
      </c>
      <c r="L218" s="672">
        <v>4837.92</v>
      </c>
    </row>
    <row r="219" spans="2:12">
      <c r="B219" s="180" t="s">
        <v>1331</v>
      </c>
      <c r="C219" s="180" t="s">
        <v>1009</v>
      </c>
      <c r="D219" s="180" t="s">
        <v>974</v>
      </c>
      <c r="E219" s="180" t="s">
        <v>980</v>
      </c>
      <c r="F219" s="672">
        <v>41378.15</v>
      </c>
      <c r="G219" s="672">
        <v>-6843.3</v>
      </c>
      <c r="H219" s="672">
        <v>26639.65</v>
      </c>
      <c r="I219" s="672">
        <v>0</v>
      </c>
      <c r="J219" s="672">
        <v>0</v>
      </c>
      <c r="K219" s="672">
        <v>24784.53</v>
      </c>
      <c r="L219" s="672">
        <v>-3202.73</v>
      </c>
    </row>
    <row r="220" spans="2:12">
      <c r="B220" s="180" t="s">
        <v>1332</v>
      </c>
      <c r="C220" s="180" t="s">
        <v>1333</v>
      </c>
      <c r="D220" s="180" t="s">
        <v>993</v>
      </c>
      <c r="E220" s="180" t="s">
        <v>990</v>
      </c>
      <c r="F220" s="672">
        <v>0</v>
      </c>
      <c r="G220" s="672">
        <v>0</v>
      </c>
      <c r="H220" s="672">
        <v>0</v>
      </c>
      <c r="I220" s="672">
        <v>0</v>
      </c>
      <c r="J220" s="672">
        <v>0</v>
      </c>
      <c r="K220" s="672">
        <v>0</v>
      </c>
      <c r="L220" s="672">
        <v>0</v>
      </c>
    </row>
    <row r="221" spans="2:12">
      <c r="B221" s="180" t="s">
        <v>1334</v>
      </c>
      <c r="C221" s="180" t="s">
        <v>1335</v>
      </c>
      <c r="D221" s="180" t="s">
        <v>974</v>
      </c>
      <c r="E221" s="180" t="s">
        <v>1111</v>
      </c>
      <c r="F221" s="672">
        <v>-83049.78</v>
      </c>
      <c r="G221" s="672">
        <v>0</v>
      </c>
      <c r="H221" s="672">
        <v>0</v>
      </c>
      <c r="I221" s="672">
        <v>0</v>
      </c>
      <c r="J221" s="672">
        <v>0</v>
      </c>
      <c r="K221" s="672">
        <v>-83049.78</v>
      </c>
      <c r="L221" s="672">
        <v>0</v>
      </c>
    </row>
    <row r="222" spans="2:12">
      <c r="B222" s="180" t="s">
        <v>1336</v>
      </c>
      <c r="C222" s="180" t="s">
        <v>1036</v>
      </c>
      <c r="D222" s="180" t="s">
        <v>993</v>
      </c>
      <c r="E222" s="180" t="s">
        <v>983</v>
      </c>
      <c r="F222" s="672">
        <v>1070.8499999999999</v>
      </c>
      <c r="G222" s="672">
        <v>0</v>
      </c>
      <c r="H222" s="672">
        <v>0</v>
      </c>
      <c r="I222" s="672">
        <v>0</v>
      </c>
      <c r="J222" s="672">
        <v>0</v>
      </c>
      <c r="K222" s="672">
        <v>1070.8499999999999</v>
      </c>
      <c r="L222" s="672">
        <v>0</v>
      </c>
    </row>
    <row r="223" spans="2:12">
      <c r="B223" s="180" t="s">
        <v>1337</v>
      </c>
      <c r="C223" s="180" t="s">
        <v>1176</v>
      </c>
      <c r="D223" s="180" t="s">
        <v>993</v>
      </c>
      <c r="E223" s="180" t="s">
        <v>975</v>
      </c>
      <c r="F223" s="672">
        <v>-31291.05</v>
      </c>
      <c r="G223" s="672">
        <v>0</v>
      </c>
      <c r="H223" s="672">
        <v>0</v>
      </c>
      <c r="I223" s="672">
        <v>0</v>
      </c>
      <c r="J223" s="672">
        <v>0</v>
      </c>
      <c r="K223" s="672">
        <v>0</v>
      </c>
      <c r="L223" s="672">
        <v>-31291.05</v>
      </c>
    </row>
    <row r="224" spans="2:12">
      <c r="B224" s="180" t="s">
        <v>1338</v>
      </c>
      <c r="C224" s="180" t="s">
        <v>1339</v>
      </c>
      <c r="D224" s="180" t="s">
        <v>974</v>
      </c>
      <c r="E224" s="180" t="s">
        <v>990</v>
      </c>
      <c r="F224" s="672">
        <v>0</v>
      </c>
      <c r="G224" s="672">
        <v>0</v>
      </c>
      <c r="H224" s="672">
        <v>0</v>
      </c>
      <c r="I224" s="672">
        <v>0</v>
      </c>
      <c r="J224" s="672">
        <v>0</v>
      </c>
      <c r="K224" s="672">
        <v>0</v>
      </c>
      <c r="L224" s="672">
        <v>0</v>
      </c>
    </row>
    <row r="225" spans="2:12">
      <c r="B225" s="180" t="s">
        <v>1192</v>
      </c>
      <c r="C225" s="180" t="s">
        <v>1193</v>
      </c>
      <c r="D225" s="180" t="s">
        <v>974</v>
      </c>
      <c r="E225" s="180" t="s">
        <v>1075</v>
      </c>
      <c r="F225" s="672">
        <v>0</v>
      </c>
      <c r="G225" s="672">
        <v>0</v>
      </c>
      <c r="H225" s="672">
        <v>0</v>
      </c>
      <c r="I225" s="672">
        <v>0</v>
      </c>
      <c r="J225" s="672">
        <v>0</v>
      </c>
      <c r="K225" s="672">
        <v>0</v>
      </c>
      <c r="L225" s="672">
        <v>0</v>
      </c>
    </row>
    <row r="226" spans="2:12">
      <c r="B226" s="180" t="s">
        <v>1340</v>
      </c>
      <c r="C226" s="180" t="s">
        <v>1341</v>
      </c>
      <c r="D226" s="180" t="s">
        <v>974</v>
      </c>
      <c r="E226" s="180" t="s">
        <v>980</v>
      </c>
      <c r="F226" s="672">
        <v>-928388.08</v>
      </c>
      <c r="G226" s="672">
        <v>-3653.93</v>
      </c>
      <c r="H226" s="672">
        <v>-16257.33</v>
      </c>
      <c r="I226" s="672">
        <v>1892.33</v>
      </c>
      <c r="J226" s="672">
        <v>2587.77</v>
      </c>
      <c r="K226" s="672">
        <v>-8955.98</v>
      </c>
      <c r="L226" s="672">
        <v>-904000.94</v>
      </c>
    </row>
    <row r="227" spans="2:12">
      <c r="B227" s="180" t="s">
        <v>1128</v>
      </c>
      <c r="C227" s="180" t="s">
        <v>1129</v>
      </c>
      <c r="D227" s="180" t="s">
        <v>974</v>
      </c>
      <c r="E227" s="180" t="s">
        <v>980</v>
      </c>
      <c r="F227" s="672">
        <v>-34811.370000000003</v>
      </c>
      <c r="G227" s="672">
        <v>-10800.34</v>
      </c>
      <c r="H227" s="672">
        <v>5476.26</v>
      </c>
      <c r="I227" s="672">
        <v>5378.35</v>
      </c>
      <c r="J227" s="672">
        <v>-790.58</v>
      </c>
      <c r="K227" s="672">
        <v>-29248.16</v>
      </c>
      <c r="L227" s="672">
        <v>-4826.8999999999996</v>
      </c>
    </row>
    <row r="228" spans="2:12">
      <c r="B228" s="180" t="s">
        <v>1166</v>
      </c>
      <c r="C228" s="180" t="s">
        <v>1167</v>
      </c>
      <c r="D228" s="180" t="s">
        <v>993</v>
      </c>
      <c r="E228" s="180" t="s">
        <v>990</v>
      </c>
      <c r="F228" s="672">
        <v>154.84</v>
      </c>
      <c r="G228" s="672">
        <v>0</v>
      </c>
      <c r="H228" s="672">
        <v>0</v>
      </c>
      <c r="I228" s="672">
        <v>0</v>
      </c>
      <c r="J228" s="672">
        <v>0</v>
      </c>
      <c r="K228" s="672">
        <v>-921.39</v>
      </c>
      <c r="L228" s="672">
        <v>1076.23</v>
      </c>
    </row>
    <row r="229" spans="2:12">
      <c r="B229" s="180" t="s">
        <v>1342</v>
      </c>
      <c r="C229" s="180" t="s">
        <v>1343</v>
      </c>
      <c r="D229" s="180" t="s">
        <v>974</v>
      </c>
      <c r="E229" s="180" t="s">
        <v>990</v>
      </c>
      <c r="F229" s="672">
        <v>0</v>
      </c>
      <c r="G229" s="672">
        <v>0</v>
      </c>
      <c r="H229" s="672">
        <v>0</v>
      </c>
      <c r="I229" s="672">
        <v>0</v>
      </c>
      <c r="J229" s="672">
        <v>0</v>
      </c>
      <c r="K229" s="672">
        <v>0</v>
      </c>
      <c r="L229" s="672">
        <v>0</v>
      </c>
    </row>
    <row r="230" spans="2:12">
      <c r="B230" s="180" t="s">
        <v>1344</v>
      </c>
      <c r="C230" s="180" t="s">
        <v>1345</v>
      </c>
      <c r="D230" s="180" t="s">
        <v>974</v>
      </c>
      <c r="E230" s="180" t="s">
        <v>990</v>
      </c>
      <c r="F230" s="672">
        <v>0</v>
      </c>
      <c r="G230" s="672">
        <v>0</v>
      </c>
      <c r="H230" s="672">
        <v>0</v>
      </c>
      <c r="I230" s="672">
        <v>0</v>
      </c>
      <c r="J230" s="672">
        <v>0</v>
      </c>
      <c r="K230" s="672">
        <v>0</v>
      </c>
      <c r="L230" s="672">
        <v>0</v>
      </c>
    </row>
    <row r="231" spans="2:12">
      <c r="B231" s="180" t="s">
        <v>1346</v>
      </c>
      <c r="C231" s="180" t="s">
        <v>1347</v>
      </c>
      <c r="D231" s="180" t="s">
        <v>974</v>
      </c>
      <c r="E231" s="180" t="s">
        <v>980</v>
      </c>
      <c r="F231" s="672">
        <v>3515.47</v>
      </c>
      <c r="G231" s="672">
        <v>135.41999999999999</v>
      </c>
      <c r="H231" s="672">
        <v>310.82</v>
      </c>
      <c r="I231" s="672">
        <v>-339.19</v>
      </c>
      <c r="J231" s="672">
        <v>-372.26</v>
      </c>
      <c r="K231" s="672">
        <v>1446.98</v>
      </c>
      <c r="L231" s="672">
        <v>2333.6999999999998</v>
      </c>
    </row>
    <row r="232" spans="2:12">
      <c r="B232" s="180" t="s">
        <v>1348</v>
      </c>
      <c r="C232" s="180" t="s">
        <v>1349</v>
      </c>
      <c r="D232" s="180" t="s">
        <v>974</v>
      </c>
      <c r="E232" s="180" t="s">
        <v>980</v>
      </c>
      <c r="F232" s="672">
        <v>857653.87</v>
      </c>
      <c r="G232" s="672">
        <v>25089.42</v>
      </c>
      <c r="H232" s="672">
        <v>21642.880000000001</v>
      </c>
      <c r="I232" s="672">
        <v>15837.27</v>
      </c>
      <c r="J232" s="672">
        <v>22731.83</v>
      </c>
      <c r="K232" s="672">
        <v>196532.33</v>
      </c>
      <c r="L232" s="672">
        <v>575820.14</v>
      </c>
    </row>
    <row r="233" spans="2:12">
      <c r="B233" s="180" t="s">
        <v>1350</v>
      </c>
      <c r="C233" s="180" t="s">
        <v>1351</v>
      </c>
      <c r="D233" s="180" t="s">
        <v>974</v>
      </c>
      <c r="E233" s="180" t="s">
        <v>975</v>
      </c>
      <c r="F233" s="672">
        <v>8239.85</v>
      </c>
      <c r="G233" s="672">
        <v>0</v>
      </c>
      <c r="H233" s="672">
        <v>0</v>
      </c>
      <c r="I233" s="672">
        <v>0</v>
      </c>
      <c r="J233" s="672">
        <v>0</v>
      </c>
      <c r="K233" s="672">
        <v>0</v>
      </c>
      <c r="L233" s="672">
        <v>8239.85</v>
      </c>
    </row>
    <row r="234" spans="2:12">
      <c r="B234" s="180" t="s">
        <v>1352</v>
      </c>
      <c r="C234" s="180" t="s">
        <v>1220</v>
      </c>
      <c r="D234" s="180" t="s">
        <v>974</v>
      </c>
      <c r="E234" s="180" t="s">
        <v>990</v>
      </c>
      <c r="F234" s="672">
        <v>0</v>
      </c>
      <c r="G234" s="672">
        <v>0</v>
      </c>
      <c r="H234" s="672">
        <v>0</v>
      </c>
      <c r="I234" s="672">
        <v>0</v>
      </c>
      <c r="J234" s="672">
        <v>0</v>
      </c>
      <c r="K234" s="672">
        <v>0</v>
      </c>
      <c r="L234" s="672">
        <v>0</v>
      </c>
    </row>
    <row r="235" spans="2:12">
      <c r="B235" s="180" t="s">
        <v>1326</v>
      </c>
      <c r="C235" s="180" t="s">
        <v>1159</v>
      </c>
      <c r="D235" s="180" t="s">
        <v>993</v>
      </c>
      <c r="E235" s="180" t="s">
        <v>980</v>
      </c>
      <c r="F235" s="672">
        <v>5361.35</v>
      </c>
      <c r="G235" s="672">
        <v>423.6</v>
      </c>
      <c r="H235" s="672">
        <v>439.49</v>
      </c>
      <c r="I235" s="672">
        <v>452.25</v>
      </c>
      <c r="J235" s="672">
        <v>452.75</v>
      </c>
      <c r="K235" s="672">
        <v>3293.41</v>
      </c>
      <c r="L235" s="672">
        <v>299.85000000000002</v>
      </c>
    </row>
    <row r="236" spans="2:12">
      <c r="B236" s="180" t="s">
        <v>1353</v>
      </c>
      <c r="C236" s="180" t="s">
        <v>1354</v>
      </c>
      <c r="D236" s="180" t="s">
        <v>974</v>
      </c>
      <c r="E236" s="180" t="s">
        <v>980</v>
      </c>
      <c r="F236" s="672">
        <v>-154255.57</v>
      </c>
      <c r="G236" s="672">
        <v>34590.07</v>
      </c>
      <c r="H236" s="672">
        <v>27762.94</v>
      </c>
      <c r="I236" s="672">
        <v>-71745.259999999995</v>
      </c>
      <c r="J236" s="672">
        <v>75350.11</v>
      </c>
      <c r="K236" s="672">
        <v>-56352.22</v>
      </c>
      <c r="L236" s="672">
        <v>-163861.21</v>
      </c>
    </row>
    <row r="237" spans="2:12">
      <c r="B237" s="180" t="s">
        <v>1004</v>
      </c>
      <c r="C237" s="180" t="s">
        <v>1005</v>
      </c>
      <c r="D237" s="180" t="s">
        <v>993</v>
      </c>
      <c r="E237" s="180" t="s">
        <v>990</v>
      </c>
      <c r="F237" s="672">
        <v>0</v>
      </c>
      <c r="G237" s="672">
        <v>0</v>
      </c>
      <c r="H237" s="672">
        <v>0</v>
      </c>
      <c r="I237" s="672">
        <v>0</v>
      </c>
      <c r="J237" s="672">
        <v>0</v>
      </c>
      <c r="K237" s="672">
        <v>0</v>
      </c>
      <c r="L237" s="672">
        <v>0</v>
      </c>
    </row>
    <row r="238" spans="2:12">
      <c r="B238" s="180" t="s">
        <v>1025</v>
      </c>
      <c r="C238" s="180" t="s">
        <v>1026</v>
      </c>
      <c r="D238" s="180" t="s">
        <v>993</v>
      </c>
      <c r="E238" s="180" t="s">
        <v>1075</v>
      </c>
      <c r="F238" s="672">
        <v>0</v>
      </c>
      <c r="G238" s="672">
        <v>0</v>
      </c>
      <c r="H238" s="672">
        <v>0</v>
      </c>
      <c r="I238" s="672">
        <v>0</v>
      </c>
      <c r="J238" s="672">
        <v>0</v>
      </c>
      <c r="K238" s="672">
        <v>0</v>
      </c>
      <c r="L238" s="672">
        <v>0</v>
      </c>
    </row>
    <row r="239" spans="2:12">
      <c r="B239" s="180" t="s">
        <v>1355</v>
      </c>
      <c r="C239" s="180" t="s">
        <v>1356</v>
      </c>
      <c r="D239" s="180" t="s">
        <v>974</v>
      </c>
      <c r="E239" s="180" t="s">
        <v>990</v>
      </c>
      <c r="F239" s="672">
        <v>0</v>
      </c>
      <c r="G239" s="672">
        <v>0</v>
      </c>
      <c r="H239" s="672">
        <v>0</v>
      </c>
      <c r="I239" s="672">
        <v>0</v>
      </c>
      <c r="J239" s="672">
        <v>0</v>
      </c>
      <c r="K239" s="672">
        <v>0</v>
      </c>
      <c r="L239" s="672">
        <v>0</v>
      </c>
    </row>
    <row r="240" spans="2:12">
      <c r="B240" s="180" t="s">
        <v>1357</v>
      </c>
      <c r="C240" s="180" t="s">
        <v>1358</v>
      </c>
      <c r="D240" s="180" t="s">
        <v>974</v>
      </c>
      <c r="E240" s="180" t="s">
        <v>990</v>
      </c>
      <c r="F240" s="672">
        <v>0</v>
      </c>
      <c r="G240" s="672">
        <v>0</v>
      </c>
      <c r="H240" s="672">
        <v>0</v>
      </c>
      <c r="I240" s="672">
        <v>0</v>
      </c>
      <c r="J240" s="672">
        <v>0</v>
      </c>
      <c r="K240" s="672">
        <v>0</v>
      </c>
      <c r="L240" s="672">
        <v>0</v>
      </c>
    </row>
    <row r="241" spans="2:12">
      <c r="B241" s="180" t="s">
        <v>1359</v>
      </c>
      <c r="C241" s="180" t="s">
        <v>1021</v>
      </c>
      <c r="D241" s="180" t="s">
        <v>993</v>
      </c>
      <c r="E241" s="180" t="s">
        <v>1078</v>
      </c>
      <c r="F241" s="672">
        <v>2809</v>
      </c>
      <c r="G241" s="672">
        <v>0</v>
      </c>
      <c r="H241" s="672">
        <v>0</v>
      </c>
      <c r="I241" s="672">
        <v>0</v>
      </c>
      <c r="J241" s="672">
        <v>0</v>
      </c>
      <c r="K241" s="672">
        <v>0</v>
      </c>
      <c r="L241" s="672">
        <v>2809</v>
      </c>
    </row>
    <row r="242" spans="2:12">
      <c r="B242" s="180" t="s">
        <v>1076</v>
      </c>
      <c r="C242" s="180" t="s">
        <v>1077</v>
      </c>
      <c r="D242" s="180" t="s">
        <v>974</v>
      </c>
      <c r="E242" s="180" t="s">
        <v>975</v>
      </c>
      <c r="F242" s="672">
        <v>50745.279999999999</v>
      </c>
      <c r="G242" s="672">
        <v>0</v>
      </c>
      <c r="H242" s="672">
        <v>2683.19</v>
      </c>
      <c r="I242" s="672">
        <v>12206.03</v>
      </c>
      <c r="J242" s="672">
        <v>14058.43</v>
      </c>
      <c r="K242" s="672">
        <v>6.96</v>
      </c>
      <c r="L242" s="672">
        <v>21790.67</v>
      </c>
    </row>
    <row r="243" spans="2:12">
      <c r="B243" s="180" t="s">
        <v>998</v>
      </c>
      <c r="C243" s="180" t="s">
        <v>999</v>
      </c>
      <c r="D243" s="180" t="s">
        <v>974</v>
      </c>
      <c r="E243" s="180" t="s">
        <v>975</v>
      </c>
      <c r="F243" s="672">
        <v>-1241019.23</v>
      </c>
      <c r="G243" s="672">
        <v>0</v>
      </c>
      <c r="H243" s="672">
        <v>0</v>
      </c>
      <c r="I243" s="672">
        <v>0</v>
      </c>
      <c r="J243" s="672">
        <v>0</v>
      </c>
      <c r="K243" s="672">
        <v>0</v>
      </c>
      <c r="L243" s="672">
        <v>-1241019.23</v>
      </c>
    </row>
    <row r="244" spans="2:12">
      <c r="B244" s="180" t="s">
        <v>1045</v>
      </c>
      <c r="C244" s="180" t="s">
        <v>1046</v>
      </c>
      <c r="D244" s="180" t="s">
        <v>974</v>
      </c>
      <c r="E244" s="180" t="s">
        <v>975</v>
      </c>
      <c r="F244" s="672">
        <v>1916.02</v>
      </c>
      <c r="G244" s="672">
        <v>0</v>
      </c>
      <c r="H244" s="672">
        <v>0</v>
      </c>
      <c r="I244" s="672">
        <v>0</v>
      </c>
      <c r="J244" s="672">
        <v>0</v>
      </c>
      <c r="K244" s="672">
        <v>1733.59</v>
      </c>
      <c r="L244" s="672">
        <v>182.43</v>
      </c>
    </row>
    <row r="245" spans="2:12">
      <c r="B245" s="180" t="s">
        <v>1360</v>
      </c>
      <c r="C245" s="180" t="s">
        <v>1026</v>
      </c>
      <c r="D245" s="180" t="s">
        <v>993</v>
      </c>
      <c r="E245" s="180" t="s">
        <v>990</v>
      </c>
      <c r="F245" s="672">
        <v>0</v>
      </c>
      <c r="G245" s="672">
        <v>0</v>
      </c>
      <c r="H245" s="672">
        <v>0</v>
      </c>
      <c r="I245" s="672">
        <v>0</v>
      </c>
      <c r="J245" s="672">
        <v>0</v>
      </c>
      <c r="K245" s="672">
        <v>0</v>
      </c>
      <c r="L245" s="672">
        <v>0</v>
      </c>
    </row>
    <row r="246" spans="2:12">
      <c r="B246" s="180" t="s">
        <v>1361</v>
      </c>
      <c r="C246" s="180" t="s">
        <v>1362</v>
      </c>
      <c r="D246" s="180" t="s">
        <v>974</v>
      </c>
      <c r="E246" s="180" t="s">
        <v>990</v>
      </c>
      <c r="F246" s="672">
        <v>0</v>
      </c>
      <c r="G246" s="672">
        <v>0</v>
      </c>
      <c r="H246" s="672">
        <v>0</v>
      </c>
      <c r="I246" s="672">
        <v>0</v>
      </c>
      <c r="J246" s="672">
        <v>0</v>
      </c>
      <c r="K246" s="672">
        <v>0</v>
      </c>
      <c r="L246" s="672">
        <v>0</v>
      </c>
    </row>
    <row r="247" spans="2:12">
      <c r="B247" s="180" t="s">
        <v>1238</v>
      </c>
      <c r="C247" s="180" t="s">
        <v>1239</v>
      </c>
      <c r="D247" s="180" t="s">
        <v>974</v>
      </c>
      <c r="E247" s="180" t="s">
        <v>1363</v>
      </c>
      <c r="F247" s="672">
        <v>63594.61</v>
      </c>
      <c r="G247" s="672">
        <v>-10501.65</v>
      </c>
      <c r="H247" s="672">
        <v>0</v>
      </c>
      <c r="I247" s="672">
        <v>74096.259999999995</v>
      </c>
      <c r="J247" s="672">
        <v>0</v>
      </c>
      <c r="K247" s="672">
        <v>0</v>
      </c>
      <c r="L247" s="672">
        <v>0</v>
      </c>
    </row>
    <row r="248" spans="2:12">
      <c r="B248" s="180" t="s">
        <v>1112</v>
      </c>
      <c r="C248" s="180" t="s">
        <v>1113</v>
      </c>
      <c r="D248" s="180" t="s">
        <v>974</v>
      </c>
      <c r="E248" s="180" t="s">
        <v>975</v>
      </c>
      <c r="F248" s="672">
        <v>796719.23</v>
      </c>
      <c r="G248" s="672">
        <v>0</v>
      </c>
      <c r="H248" s="672">
        <v>0</v>
      </c>
      <c r="I248" s="672">
        <v>0</v>
      </c>
      <c r="J248" s="672">
        <v>0</v>
      </c>
      <c r="K248" s="672">
        <v>0</v>
      </c>
      <c r="L248" s="672">
        <v>796719.23</v>
      </c>
    </row>
    <row r="249" spans="2:12">
      <c r="B249" s="180" t="s">
        <v>1364</v>
      </c>
      <c r="C249" s="180" t="s">
        <v>1365</v>
      </c>
      <c r="D249" s="180" t="s">
        <v>993</v>
      </c>
      <c r="E249" s="180" t="s">
        <v>975</v>
      </c>
      <c r="F249" s="672">
        <v>-109.55</v>
      </c>
      <c r="G249" s="672">
        <v>0</v>
      </c>
      <c r="H249" s="672">
        <v>0</v>
      </c>
      <c r="I249" s="672">
        <v>0</v>
      </c>
      <c r="J249" s="672">
        <v>0</v>
      </c>
      <c r="K249" s="672">
        <v>0</v>
      </c>
      <c r="L249" s="672">
        <v>-109.55</v>
      </c>
    </row>
    <row r="250" spans="2:12">
      <c r="B250" s="180" t="s">
        <v>1366</v>
      </c>
      <c r="C250" s="180" t="s">
        <v>1367</v>
      </c>
      <c r="D250" s="180" t="s">
        <v>993</v>
      </c>
      <c r="E250" s="180" t="s">
        <v>975</v>
      </c>
      <c r="F250" s="672">
        <v>5922.17</v>
      </c>
      <c r="G250" s="672">
        <v>0</v>
      </c>
      <c r="H250" s="672">
        <v>0</v>
      </c>
      <c r="I250" s="672">
        <v>0</v>
      </c>
      <c r="J250" s="672">
        <v>0</v>
      </c>
      <c r="K250" s="672">
        <v>0</v>
      </c>
      <c r="L250" s="672">
        <v>5922.17</v>
      </c>
    </row>
    <row r="251" spans="2:12">
      <c r="B251" s="180" t="s">
        <v>1368</v>
      </c>
      <c r="C251" s="180" t="s">
        <v>1369</v>
      </c>
      <c r="D251" s="180" t="s">
        <v>993</v>
      </c>
      <c r="E251" s="180" t="s">
        <v>990</v>
      </c>
      <c r="F251" s="672">
        <v>0</v>
      </c>
      <c r="G251" s="672">
        <v>0</v>
      </c>
      <c r="H251" s="672">
        <v>0</v>
      </c>
      <c r="I251" s="672">
        <v>0</v>
      </c>
      <c r="J251" s="672">
        <v>0</v>
      </c>
      <c r="K251" s="672">
        <v>0</v>
      </c>
      <c r="L251" s="672">
        <v>0</v>
      </c>
    </row>
    <row r="252" spans="2:12">
      <c r="B252" s="180" t="s">
        <v>1370</v>
      </c>
      <c r="C252" s="180" t="s">
        <v>1371</v>
      </c>
      <c r="D252" s="180" t="s">
        <v>974</v>
      </c>
      <c r="E252" s="180" t="s">
        <v>975</v>
      </c>
      <c r="F252" s="672">
        <v>1961019.08</v>
      </c>
      <c r="G252" s="672">
        <v>0</v>
      </c>
      <c r="H252" s="672">
        <v>0</v>
      </c>
      <c r="I252" s="672">
        <v>0</v>
      </c>
      <c r="J252" s="672">
        <v>0</v>
      </c>
      <c r="K252" s="672">
        <v>147924.6</v>
      </c>
      <c r="L252" s="672">
        <v>1813094.48</v>
      </c>
    </row>
    <row r="253" spans="2:12">
      <c r="B253" s="180" t="s">
        <v>1372</v>
      </c>
      <c r="C253" s="180" t="s">
        <v>1300</v>
      </c>
      <c r="D253" s="180" t="s">
        <v>993</v>
      </c>
      <c r="E253" s="180" t="s">
        <v>980</v>
      </c>
      <c r="F253" s="672">
        <v>391502.72</v>
      </c>
      <c r="G253" s="672">
        <v>10150.459999999999</v>
      </c>
      <c r="H253" s="672">
        <v>8467.65</v>
      </c>
      <c r="I253" s="672">
        <v>9206.7099999999991</v>
      </c>
      <c r="J253" s="672">
        <v>12682.5</v>
      </c>
      <c r="K253" s="672">
        <v>80677.539999999994</v>
      </c>
      <c r="L253" s="672">
        <v>270317.86</v>
      </c>
    </row>
    <row r="254" spans="2:12">
      <c r="B254" s="180" t="s">
        <v>1373</v>
      </c>
      <c r="C254" s="180" t="s">
        <v>1374</v>
      </c>
      <c r="D254" s="180" t="s">
        <v>974</v>
      </c>
      <c r="E254" s="180" t="s">
        <v>1075</v>
      </c>
      <c r="F254" s="672">
        <v>0</v>
      </c>
      <c r="G254" s="672">
        <v>0</v>
      </c>
      <c r="H254" s="672">
        <v>0</v>
      </c>
      <c r="I254" s="672">
        <v>0</v>
      </c>
      <c r="J254" s="672">
        <v>0</v>
      </c>
      <c r="K254" s="672">
        <v>0</v>
      </c>
      <c r="L254" s="672">
        <v>0</v>
      </c>
    </row>
    <row r="255" spans="2:12">
      <c r="B255" s="180" t="s">
        <v>1375</v>
      </c>
      <c r="C255" s="180" t="s">
        <v>1376</v>
      </c>
      <c r="D255" s="180" t="s">
        <v>974</v>
      </c>
      <c r="E255" s="180" t="s">
        <v>980</v>
      </c>
      <c r="F255" s="672">
        <v>-147981.24</v>
      </c>
      <c r="G255" s="672">
        <v>1182.42</v>
      </c>
      <c r="H255" s="672">
        <v>1122.9100000000001</v>
      </c>
      <c r="I255" s="672">
        <v>1257.56</v>
      </c>
      <c r="J255" s="672">
        <v>1343.36</v>
      </c>
      <c r="K255" s="672">
        <v>37745.699999999997</v>
      </c>
      <c r="L255" s="672">
        <v>-190633.19</v>
      </c>
    </row>
    <row r="256" spans="2:12">
      <c r="B256" s="180" t="s">
        <v>1338</v>
      </c>
      <c r="C256" s="180" t="s">
        <v>1339</v>
      </c>
      <c r="D256" s="180" t="s">
        <v>974</v>
      </c>
      <c r="E256" s="180" t="s">
        <v>983</v>
      </c>
      <c r="F256" s="672">
        <v>7751.81</v>
      </c>
      <c r="G256" s="672">
        <v>78.34</v>
      </c>
      <c r="H256" s="672">
        <v>49.43</v>
      </c>
      <c r="I256" s="672">
        <v>52.27</v>
      </c>
      <c r="J256" s="672">
        <v>51.74</v>
      </c>
      <c r="K256" s="672">
        <v>448.46</v>
      </c>
      <c r="L256" s="672">
        <v>7071.57</v>
      </c>
    </row>
    <row r="257" spans="2:12">
      <c r="B257" s="180" t="s">
        <v>1364</v>
      </c>
      <c r="C257" s="180" t="s">
        <v>1365</v>
      </c>
      <c r="D257" s="180" t="s">
        <v>993</v>
      </c>
      <c r="E257" s="180" t="s">
        <v>990</v>
      </c>
      <c r="F257" s="672">
        <v>0</v>
      </c>
      <c r="G257" s="672">
        <v>0</v>
      </c>
      <c r="H257" s="672">
        <v>0</v>
      </c>
      <c r="I257" s="672">
        <v>0</v>
      </c>
      <c r="J257" s="672">
        <v>0</v>
      </c>
      <c r="K257" s="672">
        <v>0</v>
      </c>
      <c r="L257" s="672">
        <v>0</v>
      </c>
    </row>
    <row r="258" spans="2:12">
      <c r="B258" s="180" t="s">
        <v>1071</v>
      </c>
      <c r="C258" s="180" t="s">
        <v>1072</v>
      </c>
      <c r="D258" s="180" t="s">
        <v>993</v>
      </c>
      <c r="E258" s="180" t="s">
        <v>975</v>
      </c>
      <c r="F258" s="672">
        <v>-672.05</v>
      </c>
      <c r="G258" s="672">
        <v>0</v>
      </c>
      <c r="H258" s="672">
        <v>0</v>
      </c>
      <c r="I258" s="672">
        <v>0</v>
      </c>
      <c r="J258" s="672">
        <v>0</v>
      </c>
      <c r="K258" s="672">
        <v>-222.74</v>
      </c>
      <c r="L258" s="672">
        <v>-449.31</v>
      </c>
    </row>
    <row r="259" spans="2:12">
      <c r="B259" s="180" t="s">
        <v>1153</v>
      </c>
      <c r="C259" s="180" t="s">
        <v>989</v>
      </c>
      <c r="D259" s="180" t="s">
        <v>974</v>
      </c>
      <c r="E259" s="180" t="s">
        <v>975</v>
      </c>
      <c r="F259" s="672">
        <v>294527.48</v>
      </c>
      <c r="G259" s="672">
        <v>0</v>
      </c>
      <c r="H259" s="672">
        <v>0</v>
      </c>
      <c r="I259" s="672">
        <v>0</v>
      </c>
      <c r="J259" s="672">
        <v>0</v>
      </c>
      <c r="K259" s="672">
        <v>8506.99</v>
      </c>
      <c r="L259" s="672">
        <v>286020.49</v>
      </c>
    </row>
    <row r="260" spans="2:12">
      <c r="B260" s="180" t="s">
        <v>1377</v>
      </c>
      <c r="C260" s="180" t="s">
        <v>1378</v>
      </c>
      <c r="D260" s="180" t="s">
        <v>974</v>
      </c>
      <c r="E260" s="180" t="s">
        <v>975</v>
      </c>
      <c r="F260" s="672">
        <v>1766544.05</v>
      </c>
      <c r="G260" s="672">
        <v>0</v>
      </c>
      <c r="H260" s="672">
        <v>0</v>
      </c>
      <c r="I260" s="672">
        <v>0</v>
      </c>
      <c r="J260" s="672">
        <v>0</v>
      </c>
      <c r="K260" s="672">
        <v>-3046.67</v>
      </c>
      <c r="L260" s="672">
        <v>1769590.72</v>
      </c>
    </row>
    <row r="261" spans="2:12">
      <c r="B261" s="180" t="s">
        <v>1379</v>
      </c>
      <c r="C261" s="180" t="s">
        <v>995</v>
      </c>
      <c r="D261" s="180" t="s">
        <v>993</v>
      </c>
      <c r="E261" s="180" t="s">
        <v>990</v>
      </c>
      <c r="F261" s="672">
        <v>15.92</v>
      </c>
      <c r="G261" s="672">
        <v>0</v>
      </c>
      <c r="H261" s="672">
        <v>0</v>
      </c>
      <c r="I261" s="672">
        <v>0</v>
      </c>
      <c r="J261" s="672">
        <v>0</v>
      </c>
      <c r="K261" s="672">
        <v>0</v>
      </c>
      <c r="L261" s="672">
        <v>15.92</v>
      </c>
    </row>
    <row r="262" spans="2:12">
      <c r="B262" s="180" t="s">
        <v>1380</v>
      </c>
      <c r="C262" s="180" t="s">
        <v>1381</v>
      </c>
      <c r="D262" s="180" t="s">
        <v>974</v>
      </c>
      <c r="E262" s="180" t="s">
        <v>990</v>
      </c>
      <c r="F262" s="672">
        <v>0</v>
      </c>
      <c r="G262" s="672">
        <v>0</v>
      </c>
      <c r="H262" s="672">
        <v>0</v>
      </c>
      <c r="I262" s="672">
        <v>0</v>
      </c>
      <c r="J262" s="672">
        <v>0</v>
      </c>
      <c r="K262" s="672">
        <v>0</v>
      </c>
      <c r="L262" s="672">
        <v>0</v>
      </c>
    </row>
    <row r="263" spans="2:12">
      <c r="B263" s="180" t="s">
        <v>1315</v>
      </c>
      <c r="C263" s="180" t="s">
        <v>1316</v>
      </c>
      <c r="D263" s="180" t="s">
        <v>974</v>
      </c>
      <c r="E263" s="180" t="s">
        <v>990</v>
      </c>
      <c r="F263" s="672">
        <v>0</v>
      </c>
      <c r="G263" s="672">
        <v>0</v>
      </c>
      <c r="H263" s="672">
        <v>0</v>
      </c>
      <c r="I263" s="672">
        <v>0</v>
      </c>
      <c r="J263" s="672">
        <v>0</v>
      </c>
      <c r="K263" s="672">
        <v>0</v>
      </c>
      <c r="L263" s="672">
        <v>0</v>
      </c>
    </row>
    <row r="264" spans="2:12">
      <c r="B264" s="180" t="s">
        <v>1027</v>
      </c>
      <c r="C264" s="180" t="s">
        <v>1028</v>
      </c>
      <c r="D264" s="180" t="s">
        <v>974</v>
      </c>
      <c r="E264" s="180" t="s">
        <v>1075</v>
      </c>
      <c r="F264" s="672">
        <v>0</v>
      </c>
      <c r="G264" s="672">
        <v>0</v>
      </c>
      <c r="H264" s="672">
        <v>0</v>
      </c>
      <c r="I264" s="672">
        <v>0</v>
      </c>
      <c r="J264" s="672">
        <v>0</v>
      </c>
      <c r="K264" s="672">
        <v>0</v>
      </c>
      <c r="L264" s="672">
        <v>0</v>
      </c>
    </row>
    <row r="265" spans="2:12">
      <c r="B265" s="180" t="s">
        <v>1382</v>
      </c>
      <c r="C265" s="180" t="s">
        <v>1383</v>
      </c>
      <c r="D265" s="180" t="s">
        <v>974</v>
      </c>
      <c r="E265" s="180" t="s">
        <v>975</v>
      </c>
      <c r="F265" s="672">
        <v>48537.36</v>
      </c>
      <c r="G265" s="672">
        <v>0</v>
      </c>
      <c r="H265" s="672">
        <v>0</v>
      </c>
      <c r="I265" s="672">
        <v>0</v>
      </c>
      <c r="J265" s="672">
        <v>0</v>
      </c>
      <c r="K265" s="672">
        <v>0</v>
      </c>
      <c r="L265" s="672">
        <v>48537.36</v>
      </c>
    </row>
    <row r="266" spans="2:12">
      <c r="B266" s="180" t="s">
        <v>1353</v>
      </c>
      <c r="C266" s="180" t="s">
        <v>1354</v>
      </c>
      <c r="D266" s="180" t="s">
        <v>974</v>
      </c>
      <c r="E266" s="180" t="s">
        <v>1363</v>
      </c>
      <c r="F266" s="672">
        <v>338493.11</v>
      </c>
      <c r="G266" s="672">
        <v>-45615</v>
      </c>
      <c r="H266" s="672">
        <v>-3732.09</v>
      </c>
      <c r="I266" s="672">
        <v>-19268.41</v>
      </c>
      <c r="J266" s="672">
        <v>-46001</v>
      </c>
      <c r="K266" s="672">
        <v>-184004</v>
      </c>
      <c r="L266" s="672">
        <v>637113.61</v>
      </c>
    </row>
    <row r="267" spans="2:12">
      <c r="B267" s="180" t="s">
        <v>1384</v>
      </c>
      <c r="C267" s="180" t="s">
        <v>1385</v>
      </c>
      <c r="D267" s="180" t="s">
        <v>974</v>
      </c>
      <c r="E267" s="180" t="s">
        <v>980</v>
      </c>
      <c r="F267" s="672">
        <v>0</v>
      </c>
      <c r="G267" s="672">
        <v>-1.02</v>
      </c>
      <c r="H267" s="672">
        <v>1.02</v>
      </c>
      <c r="I267" s="672">
        <v>0</v>
      </c>
      <c r="J267" s="672">
        <v>0</v>
      </c>
      <c r="K267" s="672">
        <v>-219.62</v>
      </c>
      <c r="L267" s="672">
        <v>219.62</v>
      </c>
    </row>
    <row r="268" spans="2:12">
      <c r="B268" s="180" t="s">
        <v>1386</v>
      </c>
      <c r="C268" s="180" t="s">
        <v>1387</v>
      </c>
      <c r="D268" s="180" t="s">
        <v>974</v>
      </c>
      <c r="E268" s="180" t="s">
        <v>975</v>
      </c>
      <c r="F268" s="672">
        <v>841.55</v>
      </c>
      <c r="G268" s="672">
        <v>0</v>
      </c>
      <c r="H268" s="672">
        <v>0</v>
      </c>
      <c r="I268" s="672">
        <v>0</v>
      </c>
      <c r="J268" s="672">
        <v>0</v>
      </c>
      <c r="K268" s="672">
        <v>0</v>
      </c>
      <c r="L268" s="672">
        <v>841.55</v>
      </c>
    </row>
    <row r="269" spans="2:12">
      <c r="B269" s="180" t="s">
        <v>1388</v>
      </c>
      <c r="C269" s="180" t="s">
        <v>1389</v>
      </c>
      <c r="D269" s="180" t="s">
        <v>993</v>
      </c>
      <c r="E269" s="180" t="s">
        <v>980</v>
      </c>
      <c r="F269" s="672">
        <v>18136.2</v>
      </c>
      <c r="G269" s="672">
        <v>467.28</v>
      </c>
      <c r="H269" s="672">
        <v>454.56</v>
      </c>
      <c r="I269" s="672">
        <v>376.27</v>
      </c>
      <c r="J269" s="672">
        <v>394.42</v>
      </c>
      <c r="K269" s="672">
        <v>2799.4</v>
      </c>
      <c r="L269" s="672">
        <v>13644.27</v>
      </c>
    </row>
    <row r="270" spans="2:12">
      <c r="B270" s="180" t="s">
        <v>1053</v>
      </c>
      <c r="C270" s="180" t="s">
        <v>1054</v>
      </c>
      <c r="D270" s="180" t="s">
        <v>974</v>
      </c>
      <c r="E270" s="180" t="s">
        <v>990</v>
      </c>
      <c r="F270" s="672">
        <v>0</v>
      </c>
      <c r="G270" s="672">
        <v>0</v>
      </c>
      <c r="H270" s="672">
        <v>0</v>
      </c>
      <c r="I270" s="672">
        <v>0</v>
      </c>
      <c r="J270" s="672">
        <v>0</v>
      </c>
      <c r="K270" s="672">
        <v>0</v>
      </c>
      <c r="L270" s="672">
        <v>0</v>
      </c>
    </row>
    <row r="271" spans="2:12">
      <c r="B271" s="180" t="s">
        <v>1223</v>
      </c>
      <c r="C271" s="180" t="s">
        <v>1224</v>
      </c>
      <c r="D271" s="180" t="s">
        <v>974</v>
      </c>
      <c r="E271" s="180" t="s">
        <v>980</v>
      </c>
      <c r="F271" s="672">
        <v>2812503.22</v>
      </c>
      <c r="G271" s="672">
        <v>65493.88</v>
      </c>
      <c r="H271" s="672">
        <v>65459.27</v>
      </c>
      <c r="I271" s="672">
        <v>65430.76</v>
      </c>
      <c r="J271" s="672">
        <v>65385.03</v>
      </c>
      <c r="K271" s="672">
        <v>514982.61</v>
      </c>
      <c r="L271" s="672">
        <v>2035751.67</v>
      </c>
    </row>
    <row r="272" spans="2:12">
      <c r="B272" s="180" t="s">
        <v>1390</v>
      </c>
      <c r="C272" s="180" t="s">
        <v>1220</v>
      </c>
      <c r="D272" s="180" t="s">
        <v>974</v>
      </c>
      <c r="E272" s="180" t="s">
        <v>980</v>
      </c>
      <c r="F272" s="672">
        <v>1159534.07</v>
      </c>
      <c r="G272" s="672">
        <v>503206.58</v>
      </c>
      <c r="H272" s="672">
        <v>-678683.15</v>
      </c>
      <c r="I272" s="672">
        <v>428606.36</v>
      </c>
      <c r="J272" s="672">
        <v>474034.38</v>
      </c>
      <c r="K272" s="672">
        <v>363115.38</v>
      </c>
      <c r="L272" s="672">
        <v>69254.52</v>
      </c>
    </row>
    <row r="273" spans="2:12">
      <c r="B273" s="180" t="s">
        <v>1177</v>
      </c>
      <c r="C273" s="180" t="s">
        <v>1178</v>
      </c>
      <c r="D273" s="180" t="s">
        <v>974</v>
      </c>
      <c r="E273" s="180" t="s">
        <v>990</v>
      </c>
      <c r="F273" s="672">
        <v>0</v>
      </c>
      <c r="G273" s="672">
        <v>0</v>
      </c>
      <c r="H273" s="672">
        <v>0</v>
      </c>
      <c r="I273" s="672">
        <v>0</v>
      </c>
      <c r="J273" s="672">
        <v>0</v>
      </c>
      <c r="K273" s="672">
        <v>0</v>
      </c>
      <c r="L273" s="672">
        <v>0</v>
      </c>
    </row>
    <row r="274" spans="2:12">
      <c r="B274" s="180" t="s">
        <v>1391</v>
      </c>
      <c r="C274" s="180" t="s">
        <v>1106</v>
      </c>
      <c r="D274" s="180" t="s">
        <v>993</v>
      </c>
      <c r="E274" s="180" t="s">
        <v>990</v>
      </c>
      <c r="F274" s="672">
        <v>0</v>
      </c>
      <c r="G274" s="672">
        <v>0</v>
      </c>
      <c r="H274" s="672">
        <v>0</v>
      </c>
      <c r="I274" s="672">
        <v>0</v>
      </c>
      <c r="J274" s="672">
        <v>0</v>
      </c>
      <c r="K274" s="672">
        <v>0</v>
      </c>
      <c r="L274" s="672">
        <v>0</v>
      </c>
    </row>
    <row r="275" spans="2:12">
      <c r="B275" s="180" t="s">
        <v>1392</v>
      </c>
      <c r="C275" s="180" t="s">
        <v>1307</v>
      </c>
      <c r="D275" s="180" t="s">
        <v>993</v>
      </c>
      <c r="E275" s="180" t="s">
        <v>980</v>
      </c>
      <c r="F275" s="672">
        <v>318107.42</v>
      </c>
      <c r="G275" s="672">
        <v>7980.25</v>
      </c>
      <c r="H275" s="672">
        <v>7375.94</v>
      </c>
      <c r="I275" s="672">
        <v>7840.07</v>
      </c>
      <c r="J275" s="672">
        <v>7928.88</v>
      </c>
      <c r="K275" s="672">
        <v>54509.97</v>
      </c>
      <c r="L275" s="672">
        <v>232472.31</v>
      </c>
    </row>
    <row r="276" spans="2:12">
      <c r="B276" s="180" t="s">
        <v>1393</v>
      </c>
      <c r="C276" s="180" t="s">
        <v>1394</v>
      </c>
      <c r="D276" s="180" t="s">
        <v>974</v>
      </c>
      <c r="E276" s="180" t="s">
        <v>975</v>
      </c>
      <c r="F276" s="672">
        <v>2684.57</v>
      </c>
      <c r="G276" s="672">
        <v>0</v>
      </c>
      <c r="H276" s="672">
        <v>0</v>
      </c>
      <c r="I276" s="672">
        <v>0</v>
      </c>
      <c r="J276" s="672">
        <v>0</v>
      </c>
      <c r="K276" s="672">
        <v>0</v>
      </c>
      <c r="L276" s="672">
        <v>2684.57</v>
      </c>
    </row>
    <row r="277" spans="2:12">
      <c r="B277" s="180" t="s">
        <v>1395</v>
      </c>
      <c r="C277" s="180" t="s">
        <v>979</v>
      </c>
      <c r="D277" s="180" t="s">
        <v>974</v>
      </c>
      <c r="E277" s="180" t="s">
        <v>975</v>
      </c>
      <c r="F277" s="672">
        <v>60353.22</v>
      </c>
      <c r="G277" s="672">
        <v>0</v>
      </c>
      <c r="H277" s="672">
        <v>0</v>
      </c>
      <c r="I277" s="672">
        <v>0</v>
      </c>
      <c r="J277" s="672">
        <v>0</v>
      </c>
      <c r="K277" s="672">
        <v>60353.22</v>
      </c>
      <c r="L277" s="672">
        <v>0</v>
      </c>
    </row>
    <row r="278" spans="2:12">
      <c r="B278" s="180" t="s">
        <v>1396</v>
      </c>
      <c r="C278" s="180" t="s">
        <v>1397</v>
      </c>
      <c r="D278" s="180" t="s">
        <v>993</v>
      </c>
      <c r="E278" s="180" t="s">
        <v>980</v>
      </c>
      <c r="F278" s="672">
        <v>244806.19</v>
      </c>
      <c r="G278" s="672">
        <v>13411.85</v>
      </c>
      <c r="H278" s="672">
        <v>13960.9</v>
      </c>
      <c r="I278" s="672">
        <v>13846.11</v>
      </c>
      <c r="J278" s="672">
        <v>14994.5</v>
      </c>
      <c r="K278" s="672">
        <v>122635.59</v>
      </c>
      <c r="L278" s="672">
        <v>65957.240000000005</v>
      </c>
    </row>
    <row r="279" spans="2:12">
      <c r="B279" s="180" t="s">
        <v>1398</v>
      </c>
      <c r="C279" s="180" t="s">
        <v>1399</v>
      </c>
      <c r="D279" s="180" t="s">
        <v>993</v>
      </c>
      <c r="E279" s="180" t="s">
        <v>990</v>
      </c>
      <c r="F279" s="672">
        <v>0</v>
      </c>
      <c r="G279" s="672">
        <v>0</v>
      </c>
      <c r="H279" s="672">
        <v>0</v>
      </c>
      <c r="I279" s="672">
        <v>0</v>
      </c>
      <c r="J279" s="672">
        <v>0</v>
      </c>
      <c r="K279" s="672">
        <v>0</v>
      </c>
      <c r="L279" s="672">
        <v>0</v>
      </c>
    </row>
    <row r="280" spans="2:12">
      <c r="B280" s="180" t="s">
        <v>1400</v>
      </c>
      <c r="C280" s="180" t="s">
        <v>1401</v>
      </c>
      <c r="D280" s="180" t="s">
        <v>974</v>
      </c>
      <c r="E280" s="180" t="s">
        <v>990</v>
      </c>
      <c r="F280" s="672">
        <v>-74.42</v>
      </c>
      <c r="G280" s="672">
        <v>0</v>
      </c>
      <c r="H280" s="672">
        <v>0</v>
      </c>
      <c r="I280" s="672">
        <v>0</v>
      </c>
      <c r="J280" s="672">
        <v>0</v>
      </c>
      <c r="K280" s="672">
        <v>8.25</v>
      </c>
      <c r="L280" s="672">
        <v>-82.67</v>
      </c>
    </row>
    <row r="281" spans="2:12">
      <c r="B281" s="180" t="s">
        <v>1288</v>
      </c>
      <c r="C281" s="180" t="s">
        <v>1289</v>
      </c>
      <c r="D281" s="180" t="s">
        <v>974</v>
      </c>
      <c r="E281" s="180" t="s">
        <v>975</v>
      </c>
      <c r="F281" s="672">
        <v>-35124.080000000002</v>
      </c>
      <c r="G281" s="672">
        <v>0</v>
      </c>
      <c r="H281" s="672">
        <v>0</v>
      </c>
      <c r="I281" s="672">
        <v>0</v>
      </c>
      <c r="J281" s="672">
        <v>0</v>
      </c>
      <c r="K281" s="672">
        <v>0</v>
      </c>
      <c r="L281" s="672">
        <v>-35124.080000000002</v>
      </c>
    </row>
    <row r="282" spans="2:12">
      <c r="B282" s="180" t="s">
        <v>1402</v>
      </c>
      <c r="C282" s="180" t="s">
        <v>1121</v>
      </c>
      <c r="D282" s="180" t="s">
        <v>993</v>
      </c>
      <c r="E282" s="180" t="s">
        <v>990</v>
      </c>
      <c r="F282" s="672">
        <v>0</v>
      </c>
      <c r="G282" s="672">
        <v>0</v>
      </c>
      <c r="H282" s="672">
        <v>0</v>
      </c>
      <c r="I282" s="672">
        <v>0</v>
      </c>
      <c r="J282" s="672">
        <v>0</v>
      </c>
      <c r="K282" s="672">
        <v>0</v>
      </c>
      <c r="L282" s="672">
        <v>0</v>
      </c>
    </row>
    <row r="283" spans="2:12">
      <c r="B283" s="180" t="s">
        <v>1403</v>
      </c>
      <c r="C283" s="180" t="s">
        <v>1139</v>
      </c>
      <c r="D283" s="180" t="s">
        <v>974</v>
      </c>
      <c r="E283" s="180" t="s">
        <v>1075</v>
      </c>
      <c r="F283" s="672">
        <v>0</v>
      </c>
      <c r="G283" s="672">
        <v>0</v>
      </c>
      <c r="H283" s="672">
        <v>0</v>
      </c>
      <c r="I283" s="672">
        <v>0</v>
      </c>
      <c r="J283" s="672">
        <v>0</v>
      </c>
      <c r="K283" s="672">
        <v>0</v>
      </c>
      <c r="L283" s="672">
        <v>0</v>
      </c>
    </row>
    <row r="284" spans="2:12">
      <c r="B284" s="180" t="s">
        <v>1404</v>
      </c>
      <c r="C284" s="180" t="s">
        <v>1405</v>
      </c>
      <c r="D284" s="180" t="s">
        <v>974</v>
      </c>
      <c r="E284" s="180" t="s">
        <v>980</v>
      </c>
      <c r="F284" s="672">
        <v>-6273.91</v>
      </c>
      <c r="G284" s="672">
        <v>124.47</v>
      </c>
      <c r="H284" s="672">
        <v>99.05</v>
      </c>
      <c r="I284" s="672">
        <v>75.209999999999994</v>
      </c>
      <c r="J284" s="672">
        <v>52.15</v>
      </c>
      <c r="K284" s="672">
        <v>-9190.4699999999993</v>
      </c>
      <c r="L284" s="672">
        <v>2565.6799999999998</v>
      </c>
    </row>
    <row r="285" spans="2:12">
      <c r="B285" s="180" t="s">
        <v>1225</v>
      </c>
      <c r="C285" s="180" t="s">
        <v>1032</v>
      </c>
      <c r="D285" s="180" t="s">
        <v>974</v>
      </c>
      <c r="E285" s="180" t="s">
        <v>975</v>
      </c>
      <c r="F285" s="672">
        <v>-2200</v>
      </c>
      <c r="G285" s="672">
        <v>0</v>
      </c>
      <c r="H285" s="672">
        <v>0</v>
      </c>
      <c r="I285" s="672">
        <v>0</v>
      </c>
      <c r="J285" s="672">
        <v>0</v>
      </c>
      <c r="K285" s="672">
        <v>-2200</v>
      </c>
      <c r="L285" s="672">
        <v>0</v>
      </c>
    </row>
    <row r="286" spans="2:12">
      <c r="B286" s="180" t="s">
        <v>1406</v>
      </c>
      <c r="C286" s="180" t="s">
        <v>1187</v>
      </c>
      <c r="D286" s="180" t="s">
        <v>993</v>
      </c>
      <c r="E286" s="180" t="s">
        <v>1022</v>
      </c>
      <c r="F286" s="672">
        <v>0</v>
      </c>
      <c r="G286" s="672">
        <v>0</v>
      </c>
      <c r="H286" s="672">
        <v>0</v>
      </c>
      <c r="I286" s="672">
        <v>0</v>
      </c>
      <c r="J286" s="672">
        <v>0</v>
      </c>
      <c r="K286" s="672">
        <v>0</v>
      </c>
      <c r="L286" s="672">
        <v>0</v>
      </c>
    </row>
    <row r="287" spans="2:12">
      <c r="B287" s="180" t="s">
        <v>1407</v>
      </c>
      <c r="C287" s="180" t="s">
        <v>1056</v>
      </c>
      <c r="D287" s="180" t="s">
        <v>993</v>
      </c>
      <c r="E287" s="180" t="s">
        <v>980</v>
      </c>
      <c r="F287" s="672">
        <v>332200.07</v>
      </c>
      <c r="G287" s="672">
        <v>6662.33</v>
      </c>
      <c r="H287" s="672">
        <v>8684.27</v>
      </c>
      <c r="I287" s="672">
        <v>8092.3</v>
      </c>
      <c r="J287" s="672">
        <v>7873.76</v>
      </c>
      <c r="K287" s="672">
        <v>90109</v>
      </c>
      <c r="L287" s="672">
        <v>210778.41</v>
      </c>
    </row>
    <row r="288" spans="2:12">
      <c r="B288" s="180" t="s">
        <v>1408</v>
      </c>
      <c r="C288" s="180" t="s">
        <v>1056</v>
      </c>
      <c r="D288" s="180" t="s">
        <v>993</v>
      </c>
      <c r="E288" s="180" t="s">
        <v>990</v>
      </c>
      <c r="F288" s="672">
        <v>0</v>
      </c>
      <c r="G288" s="672">
        <v>0</v>
      </c>
      <c r="H288" s="672">
        <v>0</v>
      </c>
      <c r="I288" s="672">
        <v>0</v>
      </c>
      <c r="J288" s="672">
        <v>0</v>
      </c>
      <c r="K288" s="672">
        <v>0</v>
      </c>
      <c r="L288" s="672">
        <v>0</v>
      </c>
    </row>
    <row r="289" spans="2:12">
      <c r="B289" s="180" t="s">
        <v>1409</v>
      </c>
      <c r="C289" s="180" t="s">
        <v>1410</v>
      </c>
      <c r="D289" s="180" t="s">
        <v>974</v>
      </c>
      <c r="E289" s="180" t="s">
        <v>990</v>
      </c>
      <c r="F289" s="672">
        <v>0</v>
      </c>
      <c r="G289" s="672">
        <v>0</v>
      </c>
      <c r="H289" s="672">
        <v>0</v>
      </c>
      <c r="I289" s="672">
        <v>0</v>
      </c>
      <c r="J289" s="672">
        <v>0</v>
      </c>
      <c r="K289" s="672">
        <v>0</v>
      </c>
      <c r="L289" s="672">
        <v>0</v>
      </c>
    </row>
    <row r="290" spans="2:12">
      <c r="B290" s="180" t="s">
        <v>1411</v>
      </c>
      <c r="C290" s="180" t="s">
        <v>1412</v>
      </c>
      <c r="D290" s="180" t="s">
        <v>993</v>
      </c>
      <c r="E290" s="180" t="s">
        <v>980</v>
      </c>
      <c r="F290" s="672">
        <v>92023.58</v>
      </c>
      <c r="G290" s="672">
        <v>681.9</v>
      </c>
      <c r="H290" s="672">
        <v>993.47</v>
      </c>
      <c r="I290" s="672">
        <v>1140.51</v>
      </c>
      <c r="J290" s="672">
        <v>1360.4</v>
      </c>
      <c r="K290" s="672">
        <v>14047.19</v>
      </c>
      <c r="L290" s="672">
        <v>73800.11</v>
      </c>
    </row>
    <row r="291" spans="2:12">
      <c r="B291" s="180" t="s">
        <v>1413</v>
      </c>
      <c r="C291" s="180" t="s">
        <v>1414</v>
      </c>
      <c r="D291" s="180" t="s">
        <v>974</v>
      </c>
      <c r="E291" s="180" t="s">
        <v>990</v>
      </c>
      <c r="F291" s="672">
        <v>0</v>
      </c>
      <c r="G291" s="672">
        <v>0</v>
      </c>
      <c r="H291" s="672">
        <v>0</v>
      </c>
      <c r="I291" s="672">
        <v>0</v>
      </c>
      <c r="J291" s="672">
        <v>0</v>
      </c>
      <c r="K291" s="672">
        <v>0</v>
      </c>
      <c r="L291" s="672">
        <v>0</v>
      </c>
    </row>
    <row r="292" spans="2:12">
      <c r="B292" s="180" t="s">
        <v>1415</v>
      </c>
      <c r="C292" s="180" t="s">
        <v>1416</v>
      </c>
      <c r="D292" s="180" t="s">
        <v>974</v>
      </c>
      <c r="E292" s="180" t="s">
        <v>1075</v>
      </c>
      <c r="F292" s="672">
        <v>0</v>
      </c>
      <c r="G292" s="672">
        <v>0</v>
      </c>
      <c r="H292" s="672">
        <v>0</v>
      </c>
      <c r="I292" s="672">
        <v>0</v>
      </c>
      <c r="J292" s="672">
        <v>0</v>
      </c>
      <c r="K292" s="672">
        <v>0</v>
      </c>
      <c r="L292" s="672">
        <v>0</v>
      </c>
    </row>
    <row r="293" spans="2:12">
      <c r="B293" s="180" t="s">
        <v>1318</v>
      </c>
      <c r="C293" s="180" t="s">
        <v>1174</v>
      </c>
      <c r="D293" s="180" t="s">
        <v>993</v>
      </c>
      <c r="E293" s="180" t="s">
        <v>980</v>
      </c>
      <c r="F293" s="672">
        <v>1105712.99</v>
      </c>
      <c r="G293" s="672">
        <v>21321.040000000001</v>
      </c>
      <c r="H293" s="672">
        <v>34852.699999999997</v>
      </c>
      <c r="I293" s="672">
        <v>35730.86</v>
      </c>
      <c r="J293" s="672">
        <v>34766.06</v>
      </c>
      <c r="K293" s="672">
        <v>209907.82</v>
      </c>
      <c r="L293" s="672">
        <v>769134.51</v>
      </c>
    </row>
    <row r="294" spans="2:12">
      <c r="B294" s="180" t="s">
        <v>1154</v>
      </c>
      <c r="C294" s="180" t="s">
        <v>1065</v>
      </c>
      <c r="D294" s="180" t="s">
        <v>993</v>
      </c>
      <c r="E294" s="180" t="s">
        <v>980</v>
      </c>
      <c r="F294" s="672">
        <v>2317447.77</v>
      </c>
      <c r="G294" s="672">
        <v>44766.32</v>
      </c>
      <c r="H294" s="672">
        <v>189535.41</v>
      </c>
      <c r="I294" s="672">
        <v>42641.63</v>
      </c>
      <c r="J294" s="672">
        <v>41560.129999999997</v>
      </c>
      <c r="K294" s="672">
        <v>357191</v>
      </c>
      <c r="L294" s="672">
        <v>1641753.28</v>
      </c>
    </row>
    <row r="295" spans="2:12">
      <c r="B295" s="180" t="s">
        <v>1402</v>
      </c>
      <c r="C295" s="180" t="s">
        <v>1121</v>
      </c>
      <c r="D295" s="180" t="s">
        <v>993</v>
      </c>
      <c r="E295" s="180" t="s">
        <v>980</v>
      </c>
      <c r="F295" s="672">
        <v>716767.31</v>
      </c>
      <c r="G295" s="672">
        <v>15990.19</v>
      </c>
      <c r="H295" s="672">
        <v>18225.8</v>
      </c>
      <c r="I295" s="672">
        <v>21358.46</v>
      </c>
      <c r="J295" s="672">
        <v>18089.47</v>
      </c>
      <c r="K295" s="672">
        <v>146776.57</v>
      </c>
      <c r="L295" s="672">
        <v>496326.82</v>
      </c>
    </row>
    <row r="296" spans="2:12">
      <c r="B296" s="180" t="s">
        <v>1079</v>
      </c>
      <c r="C296" s="180" t="s">
        <v>1080</v>
      </c>
      <c r="D296" s="180" t="s">
        <v>974</v>
      </c>
      <c r="E296" s="180" t="s">
        <v>975</v>
      </c>
      <c r="F296" s="672">
        <v>-105607.7</v>
      </c>
      <c r="G296" s="672">
        <v>0</v>
      </c>
      <c r="H296" s="672">
        <v>0</v>
      </c>
      <c r="I296" s="672">
        <v>0</v>
      </c>
      <c r="J296" s="672">
        <v>0</v>
      </c>
      <c r="K296" s="672">
        <v>-399</v>
      </c>
      <c r="L296" s="672">
        <v>-105208.7</v>
      </c>
    </row>
    <row r="297" spans="2:12">
      <c r="B297" s="180" t="s">
        <v>1417</v>
      </c>
      <c r="C297" s="180" t="s">
        <v>1418</v>
      </c>
      <c r="D297" s="180" t="s">
        <v>974</v>
      </c>
      <c r="E297" s="180" t="s">
        <v>980</v>
      </c>
      <c r="F297" s="672">
        <v>102895.76</v>
      </c>
      <c r="G297" s="672">
        <v>-10821.85</v>
      </c>
      <c r="H297" s="672">
        <v>26820.240000000002</v>
      </c>
      <c r="I297" s="672">
        <v>27556.41</v>
      </c>
      <c r="J297" s="672">
        <v>-46735.23</v>
      </c>
      <c r="K297" s="672">
        <v>-102377.2</v>
      </c>
      <c r="L297" s="672">
        <v>208453.39</v>
      </c>
    </row>
    <row r="298" spans="2:12">
      <c r="B298" s="180" t="s">
        <v>1419</v>
      </c>
      <c r="C298" s="180" t="s">
        <v>1159</v>
      </c>
      <c r="D298" s="180" t="s">
        <v>993</v>
      </c>
      <c r="E298" s="180" t="s">
        <v>990</v>
      </c>
      <c r="F298" s="672">
        <v>0</v>
      </c>
      <c r="G298" s="672">
        <v>0</v>
      </c>
      <c r="H298" s="672">
        <v>0</v>
      </c>
      <c r="I298" s="672">
        <v>0</v>
      </c>
      <c r="J298" s="672">
        <v>0</v>
      </c>
      <c r="K298" s="672">
        <v>0</v>
      </c>
      <c r="L298" s="672">
        <v>0</v>
      </c>
    </row>
    <row r="299" spans="2:12">
      <c r="B299" s="180" t="s">
        <v>1149</v>
      </c>
      <c r="C299" s="180" t="s">
        <v>1150</v>
      </c>
      <c r="D299" s="180" t="s">
        <v>974</v>
      </c>
      <c r="E299" s="180" t="s">
        <v>980</v>
      </c>
      <c r="F299" s="672">
        <v>-33945.74</v>
      </c>
      <c r="G299" s="672">
        <v>-15081.26</v>
      </c>
      <c r="H299" s="672">
        <v>14197.36</v>
      </c>
      <c r="I299" s="672">
        <v>-18490.61</v>
      </c>
      <c r="J299" s="672">
        <v>15017.74</v>
      </c>
      <c r="K299" s="672">
        <v>13177.27</v>
      </c>
      <c r="L299" s="672">
        <v>-42766.239999999998</v>
      </c>
    </row>
    <row r="300" spans="2:12">
      <c r="B300" s="180" t="s">
        <v>1420</v>
      </c>
      <c r="C300" s="180" t="s">
        <v>1421</v>
      </c>
      <c r="D300" s="180" t="s">
        <v>993</v>
      </c>
      <c r="E300" s="180" t="s">
        <v>990</v>
      </c>
      <c r="F300" s="672">
        <v>0</v>
      </c>
      <c r="G300" s="672">
        <v>0</v>
      </c>
      <c r="H300" s="672">
        <v>0</v>
      </c>
      <c r="I300" s="672">
        <v>0</v>
      </c>
      <c r="J300" s="672">
        <v>0</v>
      </c>
      <c r="K300" s="672">
        <v>0</v>
      </c>
      <c r="L300" s="672">
        <v>0</v>
      </c>
    </row>
    <row r="301" spans="2:12">
      <c r="B301" s="180" t="s">
        <v>1422</v>
      </c>
      <c r="C301" s="180" t="s">
        <v>1423</v>
      </c>
      <c r="D301" s="180" t="s">
        <v>974</v>
      </c>
      <c r="E301" s="180" t="s">
        <v>980</v>
      </c>
      <c r="F301" s="672">
        <v>5232397.4000000004</v>
      </c>
      <c r="G301" s="672">
        <v>121958.42</v>
      </c>
      <c r="H301" s="672">
        <v>122002.9</v>
      </c>
      <c r="I301" s="672">
        <v>121797.93</v>
      </c>
      <c r="J301" s="672">
        <v>122018.92</v>
      </c>
      <c r="K301" s="672">
        <v>958748.31</v>
      </c>
      <c r="L301" s="672">
        <v>3785870.92</v>
      </c>
    </row>
    <row r="302" spans="2:12">
      <c r="B302" s="180" t="s">
        <v>1424</v>
      </c>
      <c r="C302" s="180" t="s">
        <v>1425</v>
      </c>
      <c r="D302" s="180" t="s">
        <v>974</v>
      </c>
      <c r="E302" s="180" t="s">
        <v>980</v>
      </c>
      <c r="F302" s="672">
        <v>-6673.15</v>
      </c>
      <c r="G302" s="672">
        <v>-48058.13</v>
      </c>
      <c r="H302" s="672">
        <v>47781.31</v>
      </c>
      <c r="I302" s="672">
        <v>-360.21</v>
      </c>
      <c r="J302" s="672">
        <v>27137.82</v>
      </c>
      <c r="K302" s="672">
        <v>24921.59</v>
      </c>
      <c r="L302" s="672">
        <v>-58095.53</v>
      </c>
    </row>
    <row r="303" spans="2:12">
      <c r="B303" s="180" t="s">
        <v>1426</v>
      </c>
      <c r="C303" s="180" t="s">
        <v>1427</v>
      </c>
      <c r="D303" s="180" t="s">
        <v>993</v>
      </c>
      <c r="E303" s="180" t="s">
        <v>975</v>
      </c>
      <c r="F303" s="672">
        <v>-1954.16</v>
      </c>
      <c r="G303" s="672">
        <v>0</v>
      </c>
      <c r="H303" s="672">
        <v>0</v>
      </c>
      <c r="I303" s="672">
        <v>0</v>
      </c>
      <c r="J303" s="672">
        <v>-1837.54</v>
      </c>
      <c r="K303" s="672">
        <v>0</v>
      </c>
      <c r="L303" s="672">
        <v>-116.62</v>
      </c>
    </row>
    <row r="304" spans="2:12">
      <c r="B304" s="180" t="s">
        <v>1428</v>
      </c>
      <c r="C304" s="180" t="s">
        <v>1429</v>
      </c>
      <c r="D304" s="180" t="s">
        <v>974</v>
      </c>
      <c r="E304" s="180" t="s">
        <v>990</v>
      </c>
      <c r="F304" s="672">
        <v>0</v>
      </c>
      <c r="G304" s="672">
        <v>0</v>
      </c>
      <c r="H304" s="672">
        <v>0</v>
      </c>
      <c r="I304" s="672">
        <v>0</v>
      </c>
      <c r="J304" s="672">
        <v>0</v>
      </c>
      <c r="K304" s="672">
        <v>0</v>
      </c>
      <c r="L304" s="672">
        <v>0</v>
      </c>
    </row>
    <row r="305" spans="2:12">
      <c r="B305" s="180" t="s">
        <v>1430</v>
      </c>
      <c r="C305" s="180" t="s">
        <v>1431</v>
      </c>
      <c r="D305" s="180" t="s">
        <v>974</v>
      </c>
      <c r="E305" s="180" t="s">
        <v>975</v>
      </c>
      <c r="F305" s="672">
        <v>64387.66</v>
      </c>
      <c r="G305" s="672">
        <v>0</v>
      </c>
      <c r="H305" s="672">
        <v>0</v>
      </c>
      <c r="I305" s="672">
        <v>0</v>
      </c>
      <c r="J305" s="672">
        <v>1069.3800000000001</v>
      </c>
      <c r="K305" s="672">
        <v>23204.34</v>
      </c>
      <c r="L305" s="672">
        <v>40113.94</v>
      </c>
    </row>
    <row r="306" spans="2:12">
      <c r="B306" s="180" t="s">
        <v>1432</v>
      </c>
      <c r="C306" s="180" t="s">
        <v>1433</v>
      </c>
      <c r="D306" s="180" t="s">
        <v>974</v>
      </c>
      <c r="E306" s="180" t="s">
        <v>980</v>
      </c>
      <c r="F306" s="672">
        <v>9202.19</v>
      </c>
      <c r="G306" s="672">
        <v>265.70999999999998</v>
      </c>
      <c r="H306" s="672">
        <v>-179.71</v>
      </c>
      <c r="I306" s="672">
        <v>-243.76</v>
      </c>
      <c r="J306" s="672">
        <v>-56.86</v>
      </c>
      <c r="K306" s="672">
        <v>69196.98</v>
      </c>
      <c r="L306" s="672">
        <v>-59780.17</v>
      </c>
    </row>
    <row r="307" spans="2:12">
      <c r="B307" s="180" t="s">
        <v>1221</v>
      </c>
      <c r="C307" s="180" t="s">
        <v>1222</v>
      </c>
      <c r="D307" s="180" t="s">
        <v>974</v>
      </c>
      <c r="E307" s="180" t="s">
        <v>980</v>
      </c>
      <c r="F307" s="672">
        <v>1394.36</v>
      </c>
      <c r="G307" s="672">
        <v>-1322.11</v>
      </c>
      <c r="H307" s="672">
        <v>1394.36</v>
      </c>
      <c r="I307" s="672">
        <v>-45.76</v>
      </c>
      <c r="J307" s="672">
        <v>0</v>
      </c>
      <c r="K307" s="672">
        <v>1367.87</v>
      </c>
      <c r="L307" s="672">
        <v>0</v>
      </c>
    </row>
    <row r="308" spans="2:12">
      <c r="B308" s="180" t="s">
        <v>1253</v>
      </c>
      <c r="C308" s="180" t="s">
        <v>1048</v>
      </c>
      <c r="D308" s="180" t="s">
        <v>993</v>
      </c>
      <c r="E308" s="180" t="s">
        <v>980</v>
      </c>
      <c r="F308" s="672">
        <v>151672.19</v>
      </c>
      <c r="G308" s="672">
        <v>2136.21</v>
      </c>
      <c r="H308" s="672">
        <v>2275.34</v>
      </c>
      <c r="I308" s="672">
        <v>2063.15</v>
      </c>
      <c r="J308" s="672">
        <v>2371.7800000000002</v>
      </c>
      <c r="K308" s="672">
        <v>16022.92</v>
      </c>
      <c r="L308" s="672">
        <v>126802.79</v>
      </c>
    </row>
    <row r="309" spans="2:12">
      <c r="B309" s="180" t="s">
        <v>1434</v>
      </c>
      <c r="C309" s="180" t="s">
        <v>1435</v>
      </c>
      <c r="D309" s="180" t="s">
        <v>974</v>
      </c>
      <c r="E309" s="180" t="s">
        <v>990</v>
      </c>
      <c r="F309" s="672">
        <v>0</v>
      </c>
      <c r="G309" s="672">
        <v>0</v>
      </c>
      <c r="H309" s="672">
        <v>0</v>
      </c>
      <c r="I309" s="672">
        <v>0</v>
      </c>
      <c r="J309" s="672">
        <v>0</v>
      </c>
      <c r="K309" s="672">
        <v>0</v>
      </c>
      <c r="L309" s="672">
        <v>0</v>
      </c>
    </row>
    <row r="310" spans="2:12">
      <c r="B310" s="180" t="s">
        <v>976</v>
      </c>
      <c r="C310" s="180" t="s">
        <v>977</v>
      </c>
      <c r="D310" s="180" t="s">
        <v>974</v>
      </c>
      <c r="E310" s="180" t="s">
        <v>990</v>
      </c>
      <c r="F310" s="672">
        <v>0</v>
      </c>
      <c r="G310" s="672">
        <v>0</v>
      </c>
      <c r="H310" s="672">
        <v>0</v>
      </c>
      <c r="I310" s="672">
        <v>0</v>
      </c>
      <c r="J310" s="672">
        <v>0</v>
      </c>
      <c r="K310" s="672">
        <v>0</v>
      </c>
      <c r="L310" s="672">
        <v>0</v>
      </c>
    </row>
    <row r="311" spans="2:12">
      <c r="B311" s="180" t="s">
        <v>1215</v>
      </c>
      <c r="C311" s="180" t="s">
        <v>1216</v>
      </c>
      <c r="D311" s="180" t="s">
        <v>974</v>
      </c>
      <c r="E311" s="180" t="s">
        <v>975</v>
      </c>
      <c r="F311" s="672">
        <v>-1378565.42</v>
      </c>
      <c r="G311" s="672">
        <v>0</v>
      </c>
      <c r="H311" s="672">
        <v>0</v>
      </c>
      <c r="I311" s="672">
        <v>0</v>
      </c>
      <c r="J311" s="672">
        <v>0</v>
      </c>
      <c r="K311" s="672">
        <v>1824.28</v>
      </c>
      <c r="L311" s="672">
        <v>-1380389.7</v>
      </c>
    </row>
    <row r="312" spans="2:12">
      <c r="B312" s="180" t="s">
        <v>1324</v>
      </c>
      <c r="C312" s="180" t="s">
        <v>1325</v>
      </c>
      <c r="D312" s="180" t="s">
        <v>993</v>
      </c>
      <c r="E312" s="180" t="s">
        <v>980</v>
      </c>
      <c r="F312" s="672">
        <v>2444903.2000000002</v>
      </c>
      <c r="G312" s="672">
        <v>17122.04</v>
      </c>
      <c r="H312" s="672">
        <v>42504.11</v>
      </c>
      <c r="I312" s="672">
        <v>36568.5</v>
      </c>
      <c r="J312" s="672">
        <v>43610.07</v>
      </c>
      <c r="K312" s="672">
        <v>218192.8</v>
      </c>
      <c r="L312" s="672">
        <v>2086905.68</v>
      </c>
    </row>
    <row r="313" spans="2:12">
      <c r="B313" s="180" t="s">
        <v>1436</v>
      </c>
      <c r="C313" s="180" t="s">
        <v>1437</v>
      </c>
      <c r="D313" s="180" t="s">
        <v>974</v>
      </c>
      <c r="E313" s="180" t="s">
        <v>975</v>
      </c>
      <c r="F313" s="672">
        <v>176.81</v>
      </c>
      <c r="G313" s="672">
        <v>0</v>
      </c>
      <c r="H313" s="672">
        <v>0</v>
      </c>
      <c r="I313" s="672">
        <v>0</v>
      </c>
      <c r="J313" s="672">
        <v>0</v>
      </c>
      <c r="K313" s="672">
        <v>0</v>
      </c>
      <c r="L313" s="672">
        <v>176.81</v>
      </c>
    </row>
    <row r="314" spans="2:12">
      <c r="B314" s="180" t="s">
        <v>1438</v>
      </c>
      <c r="C314" s="180" t="s">
        <v>1439</v>
      </c>
      <c r="D314" s="180" t="s">
        <v>993</v>
      </c>
      <c r="E314" s="180" t="s">
        <v>990</v>
      </c>
      <c r="F314" s="672">
        <v>0</v>
      </c>
      <c r="G314" s="672">
        <v>0</v>
      </c>
      <c r="H314" s="672">
        <v>0</v>
      </c>
      <c r="I314" s="672">
        <v>0</v>
      </c>
      <c r="J314" s="672">
        <v>0</v>
      </c>
      <c r="K314" s="672">
        <v>0</v>
      </c>
      <c r="L314" s="672">
        <v>0</v>
      </c>
    </row>
    <row r="315" spans="2:12">
      <c r="B315" s="180" t="s">
        <v>1404</v>
      </c>
      <c r="C315" s="180" t="s">
        <v>1405</v>
      </c>
      <c r="D315" s="180" t="s">
        <v>974</v>
      </c>
      <c r="E315" s="180" t="s">
        <v>975</v>
      </c>
      <c r="F315" s="672">
        <v>1897.83</v>
      </c>
      <c r="G315" s="672">
        <v>0</v>
      </c>
      <c r="H315" s="672">
        <v>0</v>
      </c>
      <c r="I315" s="672">
        <v>0</v>
      </c>
      <c r="J315" s="672">
        <v>0</v>
      </c>
      <c r="K315" s="672">
        <v>0</v>
      </c>
      <c r="L315" s="672">
        <v>1897.83</v>
      </c>
    </row>
    <row r="316" spans="2:12">
      <c r="B316" s="180" t="s">
        <v>1440</v>
      </c>
      <c r="C316" s="180" t="s">
        <v>1441</v>
      </c>
      <c r="D316" s="180" t="s">
        <v>974</v>
      </c>
      <c r="E316" s="180" t="s">
        <v>975</v>
      </c>
      <c r="F316" s="672">
        <v>-1601.7</v>
      </c>
      <c r="G316" s="672">
        <v>0</v>
      </c>
      <c r="H316" s="672">
        <v>0</v>
      </c>
      <c r="I316" s="672">
        <v>0</v>
      </c>
      <c r="J316" s="672">
        <v>0</v>
      </c>
      <c r="K316" s="672">
        <v>0</v>
      </c>
      <c r="L316" s="672">
        <v>-1601.7</v>
      </c>
    </row>
    <row r="317" spans="2:12">
      <c r="B317" s="180" t="s">
        <v>1442</v>
      </c>
      <c r="C317" s="180" t="s">
        <v>1443</v>
      </c>
      <c r="D317" s="180" t="s">
        <v>974</v>
      </c>
      <c r="E317" s="180" t="s">
        <v>980</v>
      </c>
      <c r="F317" s="672">
        <v>107199.62</v>
      </c>
      <c r="G317" s="672">
        <v>-9262.86</v>
      </c>
      <c r="H317" s="672">
        <v>2103.7800000000002</v>
      </c>
      <c r="I317" s="672">
        <v>-122273.23</v>
      </c>
      <c r="J317" s="672">
        <v>124219.18</v>
      </c>
      <c r="K317" s="672">
        <v>-127388.03</v>
      </c>
      <c r="L317" s="672">
        <v>239800.78</v>
      </c>
    </row>
    <row r="318" spans="2:12">
      <c r="B318" s="180" t="s">
        <v>1103</v>
      </c>
      <c r="C318" s="180" t="s">
        <v>1104</v>
      </c>
      <c r="D318" s="180" t="s">
        <v>993</v>
      </c>
      <c r="E318" s="180" t="s">
        <v>980</v>
      </c>
      <c r="F318" s="672">
        <v>1146858.69</v>
      </c>
      <c r="G318" s="672">
        <v>30764.85</v>
      </c>
      <c r="H318" s="672">
        <v>136540.41</v>
      </c>
      <c r="I318" s="672">
        <v>20113.169999999998</v>
      </c>
      <c r="J318" s="672">
        <v>18414.439999999999</v>
      </c>
      <c r="K318" s="672">
        <v>244250.19</v>
      </c>
      <c r="L318" s="672">
        <v>696775.63</v>
      </c>
    </row>
    <row r="319" spans="2:12">
      <c r="B319" s="180" t="s">
        <v>1444</v>
      </c>
      <c r="C319" s="180" t="s">
        <v>1255</v>
      </c>
      <c r="D319" s="180" t="s">
        <v>993</v>
      </c>
      <c r="E319" s="180" t="s">
        <v>990</v>
      </c>
      <c r="F319" s="672">
        <v>0</v>
      </c>
      <c r="G319" s="672">
        <v>0</v>
      </c>
      <c r="H319" s="672">
        <v>0</v>
      </c>
      <c r="I319" s="672">
        <v>0</v>
      </c>
      <c r="J319" s="672">
        <v>0</v>
      </c>
      <c r="K319" s="672">
        <v>0</v>
      </c>
      <c r="L319" s="672">
        <v>0</v>
      </c>
    </row>
    <row r="320" spans="2:12">
      <c r="B320" s="180" t="s">
        <v>1010</v>
      </c>
      <c r="C320" s="180" t="s">
        <v>1011</v>
      </c>
      <c r="D320" s="180" t="s">
        <v>993</v>
      </c>
      <c r="E320" s="180" t="s">
        <v>983</v>
      </c>
      <c r="F320" s="672">
        <v>8347.93</v>
      </c>
      <c r="G320" s="672">
        <v>1104.48</v>
      </c>
      <c r="H320" s="672">
        <v>1149.52</v>
      </c>
      <c r="I320" s="672">
        <v>1196.8800000000001</v>
      </c>
      <c r="J320" s="672">
        <v>1120.3800000000001</v>
      </c>
      <c r="K320" s="672">
        <v>3776.67</v>
      </c>
      <c r="L320" s="672">
        <v>0</v>
      </c>
    </row>
    <row r="321" spans="2:12">
      <c r="B321" s="180" t="s">
        <v>1154</v>
      </c>
      <c r="C321" s="180" t="s">
        <v>1065</v>
      </c>
      <c r="D321" s="180" t="s">
        <v>993</v>
      </c>
      <c r="E321" s="180" t="s">
        <v>1075</v>
      </c>
      <c r="F321" s="672">
        <v>0</v>
      </c>
      <c r="G321" s="672">
        <v>0</v>
      </c>
      <c r="H321" s="672">
        <v>0</v>
      </c>
      <c r="I321" s="672">
        <v>0</v>
      </c>
      <c r="J321" s="672">
        <v>0</v>
      </c>
      <c r="K321" s="672">
        <v>0</v>
      </c>
      <c r="L321" s="672">
        <v>0</v>
      </c>
    </row>
    <row r="322" spans="2:12">
      <c r="B322" s="180" t="s">
        <v>1445</v>
      </c>
      <c r="C322" s="180" t="s">
        <v>1026</v>
      </c>
      <c r="D322" s="180" t="s">
        <v>993</v>
      </c>
      <c r="E322" s="180" t="s">
        <v>975</v>
      </c>
      <c r="F322" s="672">
        <v>-8399.51</v>
      </c>
      <c r="G322" s="672">
        <v>0</v>
      </c>
      <c r="H322" s="672">
        <v>0</v>
      </c>
      <c r="I322" s="672">
        <v>0</v>
      </c>
      <c r="J322" s="672">
        <v>0</v>
      </c>
      <c r="K322" s="672">
        <v>0</v>
      </c>
      <c r="L322" s="672">
        <v>-8399.51</v>
      </c>
    </row>
    <row r="323" spans="2:12">
      <c r="B323" s="180" t="s">
        <v>1446</v>
      </c>
      <c r="C323" s="180" t="s">
        <v>1447</v>
      </c>
      <c r="D323" s="180" t="s">
        <v>974</v>
      </c>
      <c r="E323" s="180" t="s">
        <v>975</v>
      </c>
      <c r="F323" s="672">
        <v>412119.18</v>
      </c>
      <c r="G323" s="672">
        <v>0</v>
      </c>
      <c r="H323" s="672">
        <v>0</v>
      </c>
      <c r="I323" s="672">
        <v>0</v>
      </c>
      <c r="J323" s="672">
        <v>0</v>
      </c>
      <c r="K323" s="672">
        <v>0</v>
      </c>
      <c r="L323" s="672">
        <v>412119.18</v>
      </c>
    </row>
    <row r="324" spans="2:12">
      <c r="B324" s="180" t="s">
        <v>1448</v>
      </c>
      <c r="C324" s="180" t="s">
        <v>1333</v>
      </c>
      <c r="D324" s="180" t="s">
        <v>993</v>
      </c>
      <c r="E324" s="180" t="s">
        <v>975</v>
      </c>
      <c r="F324" s="672">
        <v>-53342.43</v>
      </c>
      <c r="G324" s="672">
        <v>0</v>
      </c>
      <c r="H324" s="672">
        <v>0</v>
      </c>
      <c r="I324" s="672">
        <v>0</v>
      </c>
      <c r="J324" s="672">
        <v>0</v>
      </c>
      <c r="K324" s="672">
        <v>-195.17</v>
      </c>
      <c r="L324" s="672">
        <v>-53147.26</v>
      </c>
    </row>
    <row r="325" spans="2:12">
      <c r="B325" s="180" t="s">
        <v>1055</v>
      </c>
      <c r="C325" s="180" t="s">
        <v>1056</v>
      </c>
      <c r="D325" s="180" t="s">
        <v>993</v>
      </c>
      <c r="E325" s="180" t="s">
        <v>975</v>
      </c>
      <c r="F325" s="672">
        <v>-520.25</v>
      </c>
      <c r="G325" s="672">
        <v>0</v>
      </c>
      <c r="H325" s="672">
        <v>0</v>
      </c>
      <c r="I325" s="672">
        <v>0</v>
      </c>
      <c r="J325" s="672">
        <v>0</v>
      </c>
      <c r="K325" s="672">
        <v>0</v>
      </c>
      <c r="L325" s="672">
        <v>-520.25</v>
      </c>
    </row>
    <row r="326" spans="2:12">
      <c r="B326" s="180" t="s">
        <v>1449</v>
      </c>
      <c r="C326" s="180" t="s">
        <v>1399</v>
      </c>
      <c r="D326" s="180" t="s">
        <v>993</v>
      </c>
      <c r="E326" s="180" t="s">
        <v>980</v>
      </c>
      <c r="F326" s="672">
        <v>2619191.7200000002</v>
      </c>
      <c r="G326" s="672">
        <v>49872.37</v>
      </c>
      <c r="H326" s="672">
        <v>89713.39</v>
      </c>
      <c r="I326" s="672">
        <v>65138.12</v>
      </c>
      <c r="J326" s="672">
        <v>56819.59</v>
      </c>
      <c r="K326" s="672">
        <v>441864.67</v>
      </c>
      <c r="L326" s="672">
        <v>1915783.58</v>
      </c>
    </row>
    <row r="327" spans="2:12">
      <c r="B327" s="180" t="s">
        <v>1450</v>
      </c>
      <c r="C327" s="180" t="s">
        <v>1451</v>
      </c>
      <c r="D327" s="180" t="s">
        <v>974</v>
      </c>
      <c r="E327" s="180" t="s">
        <v>980</v>
      </c>
      <c r="F327" s="672">
        <v>4324404.7300000004</v>
      </c>
      <c r="G327" s="672">
        <v>100354.51</v>
      </c>
      <c r="H327" s="672">
        <v>100344.12</v>
      </c>
      <c r="I327" s="672">
        <v>100352.92</v>
      </c>
      <c r="J327" s="672">
        <v>100327.86</v>
      </c>
      <c r="K327" s="672">
        <v>791360.25</v>
      </c>
      <c r="L327" s="672">
        <v>3131665.07</v>
      </c>
    </row>
    <row r="328" spans="2:12">
      <c r="B328" s="180" t="s">
        <v>1452</v>
      </c>
      <c r="C328" s="180" t="s">
        <v>1453</v>
      </c>
      <c r="D328" s="180" t="s">
        <v>974</v>
      </c>
      <c r="E328" s="180" t="s">
        <v>980</v>
      </c>
      <c r="F328" s="672">
        <v>2410367.75</v>
      </c>
      <c r="G328" s="672">
        <v>55290.09</v>
      </c>
      <c r="H328" s="672">
        <v>55136.43</v>
      </c>
      <c r="I328" s="672">
        <v>55219.03</v>
      </c>
      <c r="J328" s="672">
        <v>55252.800000000003</v>
      </c>
      <c r="K328" s="672">
        <v>434488.92</v>
      </c>
      <c r="L328" s="672">
        <v>1754980.48</v>
      </c>
    </row>
    <row r="329" spans="2:12">
      <c r="B329" s="180" t="s">
        <v>1454</v>
      </c>
      <c r="C329" s="180" t="s">
        <v>1455</v>
      </c>
      <c r="D329" s="180" t="s">
        <v>993</v>
      </c>
      <c r="E329" s="180" t="s">
        <v>990</v>
      </c>
      <c r="F329" s="672">
        <v>0</v>
      </c>
      <c r="G329" s="672">
        <v>0</v>
      </c>
      <c r="H329" s="672">
        <v>0</v>
      </c>
      <c r="I329" s="672">
        <v>0</v>
      </c>
      <c r="J329" s="672">
        <v>0</v>
      </c>
      <c r="K329" s="672">
        <v>0</v>
      </c>
      <c r="L329" s="672">
        <v>0</v>
      </c>
    </row>
    <row r="330" spans="2:12">
      <c r="B330" s="180" t="s">
        <v>1456</v>
      </c>
      <c r="C330" s="180" t="s">
        <v>1457</v>
      </c>
      <c r="D330" s="180" t="s">
        <v>974</v>
      </c>
      <c r="E330" s="180" t="s">
        <v>990</v>
      </c>
      <c r="F330" s="672">
        <v>0</v>
      </c>
      <c r="G330" s="672">
        <v>0</v>
      </c>
      <c r="H330" s="672">
        <v>0</v>
      </c>
      <c r="I330" s="672">
        <v>0</v>
      </c>
      <c r="J330" s="672">
        <v>0</v>
      </c>
      <c r="K330" s="672">
        <v>0</v>
      </c>
      <c r="L330" s="672">
        <v>0</v>
      </c>
    </row>
    <row r="331" spans="2:12">
      <c r="B331" s="180" t="s">
        <v>1458</v>
      </c>
      <c r="C331" s="180" t="s">
        <v>1459</v>
      </c>
      <c r="D331" s="180" t="s">
        <v>993</v>
      </c>
      <c r="E331" s="180" t="s">
        <v>975</v>
      </c>
      <c r="F331" s="672">
        <v>-2209</v>
      </c>
      <c r="G331" s="672">
        <v>0</v>
      </c>
      <c r="H331" s="672">
        <v>0</v>
      </c>
      <c r="I331" s="672">
        <v>0</v>
      </c>
      <c r="J331" s="672">
        <v>0</v>
      </c>
      <c r="K331" s="672">
        <v>0</v>
      </c>
      <c r="L331" s="672">
        <v>-2209</v>
      </c>
    </row>
    <row r="332" spans="2:12">
      <c r="B332" s="180" t="s">
        <v>1460</v>
      </c>
      <c r="C332" s="180" t="s">
        <v>1365</v>
      </c>
      <c r="D332" s="180" t="s">
        <v>993</v>
      </c>
      <c r="E332" s="180" t="s">
        <v>1034</v>
      </c>
      <c r="F332" s="672">
        <v>0</v>
      </c>
      <c r="G332" s="672">
        <v>0</v>
      </c>
      <c r="H332" s="672">
        <v>0</v>
      </c>
      <c r="I332" s="672">
        <v>0</v>
      </c>
      <c r="J332" s="672">
        <v>0</v>
      </c>
      <c r="K332" s="672">
        <v>0</v>
      </c>
      <c r="L332" s="672">
        <v>0</v>
      </c>
    </row>
    <row r="333" spans="2:12">
      <c r="B333" s="180" t="s">
        <v>1461</v>
      </c>
      <c r="C333" s="180" t="s">
        <v>1462</v>
      </c>
      <c r="D333" s="180" t="s">
        <v>974</v>
      </c>
      <c r="E333" s="180" t="s">
        <v>975</v>
      </c>
      <c r="F333" s="672">
        <v>214510.27</v>
      </c>
      <c r="G333" s="672">
        <v>0</v>
      </c>
      <c r="H333" s="672">
        <v>0</v>
      </c>
      <c r="I333" s="672">
        <v>0</v>
      </c>
      <c r="J333" s="672">
        <v>0</v>
      </c>
      <c r="K333" s="672">
        <v>0</v>
      </c>
      <c r="L333" s="672">
        <v>214510.27</v>
      </c>
    </row>
    <row r="334" spans="2:12">
      <c r="B334" s="180" t="s">
        <v>1463</v>
      </c>
      <c r="C334" s="180" t="s">
        <v>1464</v>
      </c>
      <c r="D334" s="180" t="s">
        <v>974</v>
      </c>
      <c r="E334" s="180" t="s">
        <v>990</v>
      </c>
      <c r="F334" s="672">
        <v>0</v>
      </c>
      <c r="G334" s="672">
        <v>0</v>
      </c>
      <c r="H334" s="672">
        <v>0</v>
      </c>
      <c r="I334" s="672">
        <v>0</v>
      </c>
      <c r="J334" s="672">
        <v>0</v>
      </c>
      <c r="K334" s="672">
        <v>0</v>
      </c>
      <c r="L334" s="672">
        <v>0</v>
      </c>
    </row>
    <row r="335" spans="2:12">
      <c r="B335" s="180" t="s">
        <v>1465</v>
      </c>
      <c r="C335" s="180" t="s">
        <v>1115</v>
      </c>
      <c r="D335" s="180" t="s">
        <v>974</v>
      </c>
      <c r="E335" s="180" t="s">
        <v>980</v>
      </c>
      <c r="F335" s="672">
        <v>-16456.03</v>
      </c>
      <c r="G335" s="672">
        <v>-3683.02</v>
      </c>
      <c r="H335" s="672">
        <v>-1912.57</v>
      </c>
      <c r="I335" s="672">
        <v>-3001.55</v>
      </c>
      <c r="J335" s="672">
        <v>6075.94</v>
      </c>
      <c r="K335" s="672">
        <v>-13934.83</v>
      </c>
      <c r="L335" s="672">
        <v>0</v>
      </c>
    </row>
    <row r="336" spans="2:12">
      <c r="B336" s="180" t="s">
        <v>1025</v>
      </c>
      <c r="C336" s="180" t="s">
        <v>1026</v>
      </c>
      <c r="D336" s="180" t="s">
        <v>993</v>
      </c>
      <c r="E336" s="180" t="s">
        <v>990</v>
      </c>
      <c r="F336" s="672">
        <v>14.45</v>
      </c>
      <c r="G336" s="672">
        <v>0</v>
      </c>
      <c r="H336" s="672">
        <v>0</v>
      </c>
      <c r="I336" s="672">
        <v>0</v>
      </c>
      <c r="J336" s="672">
        <v>0</v>
      </c>
      <c r="K336" s="672">
        <v>16.32</v>
      </c>
      <c r="L336" s="672">
        <v>-1.87</v>
      </c>
    </row>
    <row r="337" spans="2:12">
      <c r="B337" s="180" t="s">
        <v>1466</v>
      </c>
      <c r="C337" s="180" t="s">
        <v>1467</v>
      </c>
      <c r="D337" s="180" t="s">
        <v>974</v>
      </c>
      <c r="E337" s="180" t="s">
        <v>975</v>
      </c>
      <c r="F337" s="672">
        <v>-6697.35</v>
      </c>
      <c r="G337" s="672">
        <v>0</v>
      </c>
      <c r="H337" s="672">
        <v>0</v>
      </c>
      <c r="I337" s="672">
        <v>0</v>
      </c>
      <c r="J337" s="672">
        <v>0</v>
      </c>
      <c r="K337" s="672">
        <v>0</v>
      </c>
      <c r="L337" s="672">
        <v>-6697.35</v>
      </c>
    </row>
    <row r="338" spans="2:12">
      <c r="B338" s="180" t="s">
        <v>1468</v>
      </c>
      <c r="C338" s="180" t="s">
        <v>1469</v>
      </c>
      <c r="D338" s="180" t="s">
        <v>974</v>
      </c>
      <c r="E338" s="180" t="s">
        <v>990</v>
      </c>
      <c r="F338" s="672">
        <v>0</v>
      </c>
      <c r="G338" s="672">
        <v>0</v>
      </c>
      <c r="H338" s="672">
        <v>0</v>
      </c>
      <c r="I338" s="672">
        <v>0</v>
      </c>
      <c r="J338" s="672">
        <v>0</v>
      </c>
      <c r="K338" s="672">
        <v>0</v>
      </c>
      <c r="L338" s="672">
        <v>0</v>
      </c>
    </row>
    <row r="339" spans="2:12">
      <c r="B339" s="180" t="s">
        <v>1470</v>
      </c>
      <c r="C339" s="180" t="s">
        <v>1471</v>
      </c>
      <c r="D339" s="180" t="s">
        <v>974</v>
      </c>
      <c r="E339" s="180" t="s">
        <v>990</v>
      </c>
      <c r="F339" s="672">
        <v>0</v>
      </c>
      <c r="G339" s="672">
        <v>0</v>
      </c>
      <c r="H339" s="672">
        <v>0</v>
      </c>
      <c r="I339" s="672">
        <v>0</v>
      </c>
      <c r="J339" s="672">
        <v>0</v>
      </c>
      <c r="K339" s="672">
        <v>0</v>
      </c>
      <c r="L339" s="672">
        <v>0</v>
      </c>
    </row>
    <row r="340" spans="2:12">
      <c r="B340" s="180" t="s">
        <v>1472</v>
      </c>
      <c r="C340" s="180" t="s">
        <v>1060</v>
      </c>
      <c r="D340" s="180" t="s">
        <v>993</v>
      </c>
      <c r="E340" s="180" t="s">
        <v>983</v>
      </c>
      <c r="F340" s="672">
        <v>97207.86</v>
      </c>
      <c r="G340" s="672">
        <v>9171.09</v>
      </c>
      <c r="H340" s="672">
        <v>9803.4</v>
      </c>
      <c r="I340" s="672">
        <v>9790.07</v>
      </c>
      <c r="J340" s="672">
        <v>8965.7099999999991</v>
      </c>
      <c r="K340" s="672">
        <v>59477.59</v>
      </c>
      <c r="L340" s="672">
        <v>0</v>
      </c>
    </row>
    <row r="341" spans="2:12">
      <c r="B341" s="180" t="s">
        <v>1473</v>
      </c>
      <c r="C341" s="180" t="s">
        <v>1325</v>
      </c>
      <c r="D341" s="180" t="s">
        <v>993</v>
      </c>
      <c r="E341" s="180" t="s">
        <v>990</v>
      </c>
      <c r="F341" s="672">
        <v>0</v>
      </c>
      <c r="G341" s="672">
        <v>0</v>
      </c>
      <c r="H341" s="672">
        <v>0</v>
      </c>
      <c r="I341" s="672">
        <v>0</v>
      </c>
      <c r="J341" s="672">
        <v>0</v>
      </c>
      <c r="K341" s="672">
        <v>0</v>
      </c>
      <c r="L341" s="672">
        <v>0</v>
      </c>
    </row>
    <row r="342" spans="2:12">
      <c r="B342" s="180" t="s">
        <v>1474</v>
      </c>
      <c r="C342" s="180" t="s">
        <v>1475</v>
      </c>
      <c r="D342" s="180" t="s">
        <v>974</v>
      </c>
      <c r="E342" s="180" t="s">
        <v>990</v>
      </c>
      <c r="F342" s="672">
        <v>0</v>
      </c>
      <c r="G342" s="672">
        <v>0</v>
      </c>
      <c r="H342" s="672">
        <v>0</v>
      </c>
      <c r="I342" s="672">
        <v>0</v>
      </c>
      <c r="J342" s="672">
        <v>0</v>
      </c>
      <c r="K342" s="672">
        <v>0</v>
      </c>
      <c r="L342" s="672">
        <v>0</v>
      </c>
    </row>
    <row r="343" spans="2:12">
      <c r="B343" s="180" t="s">
        <v>1476</v>
      </c>
      <c r="C343" s="180" t="s">
        <v>1477</v>
      </c>
      <c r="D343" s="180" t="s">
        <v>974</v>
      </c>
      <c r="E343" s="180" t="s">
        <v>980</v>
      </c>
      <c r="F343" s="672">
        <v>-2165.63</v>
      </c>
      <c r="G343" s="672">
        <v>-200.72</v>
      </c>
      <c r="H343" s="672">
        <v>179.85</v>
      </c>
      <c r="I343" s="672">
        <v>-3205.89</v>
      </c>
      <c r="J343" s="672">
        <v>-4104.6899999999996</v>
      </c>
      <c r="K343" s="672">
        <v>-173.31</v>
      </c>
      <c r="L343" s="672">
        <v>5339.13</v>
      </c>
    </row>
    <row r="344" spans="2:12">
      <c r="B344" s="180" t="s">
        <v>1093</v>
      </c>
      <c r="C344" s="180" t="s">
        <v>1094</v>
      </c>
      <c r="D344" s="180" t="s">
        <v>974</v>
      </c>
      <c r="E344" s="180" t="s">
        <v>1478</v>
      </c>
      <c r="F344" s="672">
        <v>384449.65</v>
      </c>
      <c r="G344" s="672">
        <v>384449.65</v>
      </c>
      <c r="H344" s="672">
        <v>0</v>
      </c>
      <c r="I344" s="672">
        <v>0</v>
      </c>
      <c r="J344" s="672">
        <v>0</v>
      </c>
      <c r="K344" s="672">
        <v>0</v>
      </c>
      <c r="L344" s="672">
        <v>0</v>
      </c>
    </row>
    <row r="345" spans="2:12">
      <c r="B345" s="180" t="s">
        <v>1136</v>
      </c>
      <c r="C345" s="180" t="s">
        <v>1137</v>
      </c>
      <c r="D345" s="180" t="s">
        <v>974</v>
      </c>
      <c r="E345" s="180" t="s">
        <v>1075</v>
      </c>
      <c r="F345" s="672">
        <v>0</v>
      </c>
      <c r="G345" s="672">
        <v>0</v>
      </c>
      <c r="H345" s="672">
        <v>0</v>
      </c>
      <c r="I345" s="672">
        <v>0</v>
      </c>
      <c r="J345" s="672">
        <v>0</v>
      </c>
      <c r="K345" s="672">
        <v>0</v>
      </c>
      <c r="L345" s="672">
        <v>0</v>
      </c>
    </row>
    <row r="346" spans="2:12">
      <c r="B346" s="180" t="s">
        <v>1023</v>
      </c>
      <c r="C346" s="180" t="s">
        <v>1024</v>
      </c>
      <c r="D346" s="180" t="s">
        <v>974</v>
      </c>
      <c r="E346" s="180" t="s">
        <v>1363</v>
      </c>
      <c r="F346" s="672">
        <v>93607.74</v>
      </c>
      <c r="G346" s="672">
        <v>-7055.88</v>
      </c>
      <c r="H346" s="672">
        <v>-7055.88</v>
      </c>
      <c r="I346" s="672">
        <v>-11392.1</v>
      </c>
      <c r="J346" s="672">
        <v>0</v>
      </c>
      <c r="K346" s="672">
        <v>-77614.679999999993</v>
      </c>
      <c r="L346" s="672">
        <v>196726.28</v>
      </c>
    </row>
    <row r="347" spans="2:12">
      <c r="B347" s="180" t="s">
        <v>1140</v>
      </c>
      <c r="C347" s="180" t="s">
        <v>1069</v>
      </c>
      <c r="D347" s="180" t="s">
        <v>993</v>
      </c>
      <c r="E347" s="180" t="s">
        <v>975</v>
      </c>
      <c r="F347" s="672">
        <v>-16801.68</v>
      </c>
      <c r="G347" s="672">
        <v>0</v>
      </c>
      <c r="H347" s="672">
        <v>0</v>
      </c>
      <c r="I347" s="672">
        <v>0</v>
      </c>
      <c r="J347" s="672">
        <v>0</v>
      </c>
      <c r="K347" s="672">
        <v>0</v>
      </c>
      <c r="L347" s="672">
        <v>-16801.68</v>
      </c>
    </row>
    <row r="348" spans="2:12">
      <c r="B348" s="180" t="s">
        <v>1337</v>
      </c>
      <c r="C348" s="180" t="s">
        <v>1176</v>
      </c>
      <c r="D348" s="180" t="s">
        <v>993</v>
      </c>
      <c r="E348" s="180" t="s">
        <v>990</v>
      </c>
      <c r="F348" s="672">
        <v>-4.66</v>
      </c>
      <c r="G348" s="672">
        <v>0</v>
      </c>
      <c r="H348" s="672">
        <v>0</v>
      </c>
      <c r="I348" s="672">
        <v>0</v>
      </c>
      <c r="J348" s="672">
        <v>0</v>
      </c>
      <c r="K348" s="672">
        <v>0</v>
      </c>
      <c r="L348" s="672">
        <v>-4.66</v>
      </c>
    </row>
    <row r="349" spans="2:12">
      <c r="B349" s="180" t="s">
        <v>1479</v>
      </c>
      <c r="C349" s="180" t="s">
        <v>1480</v>
      </c>
      <c r="D349" s="180" t="s">
        <v>974</v>
      </c>
      <c r="E349" s="180" t="s">
        <v>975</v>
      </c>
      <c r="F349" s="672">
        <v>20897.73</v>
      </c>
      <c r="G349" s="672">
        <v>0</v>
      </c>
      <c r="H349" s="672">
        <v>0</v>
      </c>
      <c r="I349" s="672">
        <v>0</v>
      </c>
      <c r="J349" s="672">
        <v>0</v>
      </c>
      <c r="K349" s="672">
        <v>-4585.5200000000004</v>
      </c>
      <c r="L349" s="672">
        <v>25483.25</v>
      </c>
    </row>
    <row r="350" spans="2:12">
      <c r="B350" s="180" t="s">
        <v>1481</v>
      </c>
      <c r="C350" s="180" t="s">
        <v>992</v>
      </c>
      <c r="D350" s="180" t="s">
        <v>993</v>
      </c>
      <c r="E350" s="180" t="s">
        <v>980</v>
      </c>
      <c r="F350" s="672">
        <v>344210.53</v>
      </c>
      <c r="G350" s="672">
        <v>6480.39</v>
      </c>
      <c r="H350" s="672">
        <v>9354.94</v>
      </c>
      <c r="I350" s="672">
        <v>6866.25</v>
      </c>
      <c r="J350" s="672">
        <v>6630.32</v>
      </c>
      <c r="K350" s="672">
        <v>70401.42</v>
      </c>
      <c r="L350" s="672">
        <v>244477.21</v>
      </c>
    </row>
    <row r="351" spans="2:12">
      <c r="B351" s="180" t="s">
        <v>1482</v>
      </c>
      <c r="C351" s="180" t="s">
        <v>1455</v>
      </c>
      <c r="D351" s="180" t="s">
        <v>993</v>
      </c>
      <c r="E351" s="180" t="s">
        <v>980</v>
      </c>
      <c r="F351" s="672">
        <v>1787878.25</v>
      </c>
      <c r="G351" s="672">
        <v>41921.620000000003</v>
      </c>
      <c r="H351" s="672">
        <v>44420.2</v>
      </c>
      <c r="I351" s="672">
        <v>47518.6</v>
      </c>
      <c r="J351" s="672">
        <v>46035.53</v>
      </c>
      <c r="K351" s="672">
        <v>322725.43</v>
      </c>
      <c r="L351" s="672">
        <v>1285256.8700000001</v>
      </c>
    </row>
    <row r="352" spans="2:12">
      <c r="B352" s="180" t="s">
        <v>1483</v>
      </c>
      <c r="C352" s="180" t="s">
        <v>1094</v>
      </c>
      <c r="D352" s="180" t="s">
        <v>974</v>
      </c>
      <c r="E352" s="180" t="s">
        <v>980</v>
      </c>
      <c r="F352" s="672">
        <v>3608650.61</v>
      </c>
      <c r="G352" s="672">
        <v>-1274014</v>
      </c>
      <c r="H352" s="672">
        <v>2073596.63</v>
      </c>
      <c r="I352" s="672">
        <v>-190073.67</v>
      </c>
      <c r="J352" s="672">
        <v>-541716.22</v>
      </c>
      <c r="K352" s="672">
        <v>-809799.13</v>
      </c>
      <c r="L352" s="672">
        <v>4350657</v>
      </c>
    </row>
    <row r="353" spans="2:12">
      <c r="B353" s="180" t="s">
        <v>1484</v>
      </c>
      <c r="C353" s="180" t="s">
        <v>1421</v>
      </c>
      <c r="D353" s="180" t="s">
        <v>993</v>
      </c>
      <c r="E353" s="180" t="s">
        <v>980</v>
      </c>
      <c r="F353" s="672">
        <v>260236.88</v>
      </c>
      <c r="G353" s="672">
        <v>848.46</v>
      </c>
      <c r="H353" s="672">
        <v>910.97</v>
      </c>
      <c r="I353" s="672">
        <v>861.64</v>
      </c>
      <c r="J353" s="672">
        <v>906.48</v>
      </c>
      <c r="K353" s="672">
        <v>6808.23</v>
      </c>
      <c r="L353" s="672">
        <v>249901.1</v>
      </c>
    </row>
    <row r="354" spans="2:12">
      <c r="B354" s="180" t="s">
        <v>1485</v>
      </c>
      <c r="C354" s="180" t="s">
        <v>1486</v>
      </c>
      <c r="D354" s="180" t="s">
        <v>974</v>
      </c>
      <c r="E354" s="180" t="s">
        <v>990</v>
      </c>
      <c r="F354" s="672">
        <v>-55.83</v>
      </c>
      <c r="G354" s="672">
        <v>0</v>
      </c>
      <c r="H354" s="672">
        <v>0</v>
      </c>
      <c r="I354" s="672">
        <v>0</v>
      </c>
      <c r="J354" s="672">
        <v>0</v>
      </c>
      <c r="K354" s="672">
        <v>0</v>
      </c>
      <c r="L354" s="672">
        <v>-55.83</v>
      </c>
    </row>
    <row r="355" spans="2:12">
      <c r="B355" s="180" t="s">
        <v>1487</v>
      </c>
      <c r="C355" s="180" t="s">
        <v>1488</v>
      </c>
      <c r="D355" s="180" t="s">
        <v>974</v>
      </c>
      <c r="E355" s="180" t="s">
        <v>980</v>
      </c>
      <c r="F355" s="672">
        <v>-28690.12</v>
      </c>
      <c r="G355" s="672">
        <v>367.34</v>
      </c>
      <c r="H355" s="672">
        <v>-9007.77</v>
      </c>
      <c r="I355" s="672">
        <v>-22123.67</v>
      </c>
      <c r="J355" s="672">
        <v>2073.98</v>
      </c>
      <c r="K355" s="672">
        <v>0</v>
      </c>
      <c r="L355" s="672">
        <v>0</v>
      </c>
    </row>
    <row r="356" spans="2:12">
      <c r="B356" s="180" t="s">
        <v>1122</v>
      </c>
      <c r="C356" s="180" t="s">
        <v>1123</v>
      </c>
      <c r="D356" s="180" t="s">
        <v>993</v>
      </c>
      <c r="E356" s="180" t="s">
        <v>990</v>
      </c>
      <c r="F356" s="672">
        <v>0</v>
      </c>
      <c r="G356" s="672">
        <v>0</v>
      </c>
      <c r="H356" s="672">
        <v>0</v>
      </c>
      <c r="I356" s="672">
        <v>0</v>
      </c>
      <c r="J356" s="672">
        <v>0</v>
      </c>
      <c r="K356" s="672">
        <v>0</v>
      </c>
      <c r="L356" s="672">
        <v>0</v>
      </c>
    </row>
    <row r="357" spans="2:12">
      <c r="B357" s="180" t="s">
        <v>1489</v>
      </c>
      <c r="C357" s="180" t="s">
        <v>1277</v>
      </c>
      <c r="D357" s="180" t="s">
        <v>993</v>
      </c>
      <c r="E357" s="180" t="s">
        <v>990</v>
      </c>
      <c r="F357" s="672">
        <v>0</v>
      </c>
      <c r="G357" s="672">
        <v>0</v>
      </c>
      <c r="H357" s="672">
        <v>0</v>
      </c>
      <c r="I357" s="672">
        <v>0</v>
      </c>
      <c r="J357" s="672">
        <v>0</v>
      </c>
      <c r="K357" s="672">
        <v>0</v>
      </c>
      <c r="L357" s="672">
        <v>0</v>
      </c>
    </row>
    <row r="358" spans="2:12">
      <c r="B358" s="180" t="s">
        <v>1490</v>
      </c>
      <c r="C358" s="180" t="s">
        <v>1094</v>
      </c>
      <c r="D358" s="180" t="s">
        <v>974</v>
      </c>
      <c r="E358" s="180" t="s">
        <v>975</v>
      </c>
      <c r="F358" s="672">
        <v>10958163.23</v>
      </c>
      <c r="G358" s="672">
        <v>0</v>
      </c>
      <c r="H358" s="672">
        <v>0</v>
      </c>
      <c r="I358" s="672">
        <v>0</v>
      </c>
      <c r="J358" s="672">
        <v>0</v>
      </c>
      <c r="K358" s="672">
        <v>-692.16</v>
      </c>
      <c r="L358" s="672">
        <v>10958855.390000001</v>
      </c>
    </row>
    <row r="359" spans="2:12">
      <c r="B359" s="180" t="s">
        <v>1093</v>
      </c>
      <c r="C359" s="180" t="s">
        <v>1094</v>
      </c>
      <c r="D359" s="180" t="s">
        <v>974</v>
      </c>
      <c r="E359" s="180" t="s">
        <v>975</v>
      </c>
      <c r="F359" s="672">
        <v>22043110.940000001</v>
      </c>
      <c r="G359" s="672">
        <v>0</v>
      </c>
      <c r="H359" s="672">
        <v>0</v>
      </c>
      <c r="I359" s="672">
        <v>0</v>
      </c>
      <c r="J359" s="672">
        <v>0</v>
      </c>
      <c r="K359" s="672">
        <v>-244.54</v>
      </c>
      <c r="L359" s="672">
        <v>22043355.48</v>
      </c>
    </row>
    <row r="360" spans="2:12">
      <c r="B360" s="180" t="s">
        <v>1491</v>
      </c>
      <c r="C360" s="180" t="s">
        <v>1492</v>
      </c>
      <c r="D360" s="180" t="s">
        <v>974</v>
      </c>
      <c r="E360" s="180" t="s">
        <v>990</v>
      </c>
      <c r="F360" s="672">
        <v>0</v>
      </c>
      <c r="G360" s="672">
        <v>0</v>
      </c>
      <c r="H360" s="672">
        <v>0</v>
      </c>
      <c r="I360" s="672">
        <v>0</v>
      </c>
      <c r="J360" s="672">
        <v>0</v>
      </c>
      <c r="K360" s="672">
        <v>0</v>
      </c>
      <c r="L360" s="672">
        <v>0</v>
      </c>
    </row>
    <row r="361" spans="2:12">
      <c r="B361" s="180" t="s">
        <v>1493</v>
      </c>
      <c r="C361" s="180" t="s">
        <v>1494</v>
      </c>
      <c r="D361" s="180" t="s">
        <v>974</v>
      </c>
      <c r="E361" s="180" t="s">
        <v>983</v>
      </c>
      <c r="F361" s="672">
        <v>-21</v>
      </c>
      <c r="G361" s="672">
        <v>-55.21</v>
      </c>
      <c r="H361" s="672">
        <v>-21.98</v>
      </c>
      <c r="I361" s="672">
        <v>-73.55</v>
      </c>
      <c r="J361" s="672">
        <v>9.5399999999999991</v>
      </c>
      <c r="K361" s="672">
        <v>1418.06</v>
      </c>
      <c r="L361" s="672">
        <v>-1297.8599999999999</v>
      </c>
    </row>
    <row r="362" spans="2:12">
      <c r="B362" s="180" t="s">
        <v>1495</v>
      </c>
      <c r="C362" s="180" t="s">
        <v>1496</v>
      </c>
      <c r="D362" s="180" t="s">
        <v>974</v>
      </c>
      <c r="E362" s="180" t="s">
        <v>975</v>
      </c>
      <c r="F362" s="672">
        <v>-14673.72</v>
      </c>
      <c r="G362" s="672">
        <v>0</v>
      </c>
      <c r="H362" s="672">
        <v>0</v>
      </c>
      <c r="I362" s="672">
        <v>0</v>
      </c>
      <c r="J362" s="672">
        <v>0</v>
      </c>
      <c r="K362" s="672">
        <v>0</v>
      </c>
      <c r="L362" s="672">
        <v>-14673.72</v>
      </c>
    </row>
    <row r="363" spans="2:12">
      <c r="B363" s="180" t="s">
        <v>1145</v>
      </c>
      <c r="C363" s="180" t="s">
        <v>1146</v>
      </c>
      <c r="D363" s="180" t="s">
        <v>974</v>
      </c>
      <c r="E363" s="180" t="s">
        <v>975</v>
      </c>
      <c r="F363" s="672">
        <v>178.09</v>
      </c>
      <c r="G363" s="672">
        <v>0</v>
      </c>
      <c r="H363" s="672">
        <v>0</v>
      </c>
      <c r="I363" s="672">
        <v>0</v>
      </c>
      <c r="J363" s="672">
        <v>0</v>
      </c>
      <c r="K363" s="672">
        <v>0</v>
      </c>
      <c r="L363" s="672">
        <v>178.09</v>
      </c>
    </row>
    <row r="364" spans="2:12">
      <c r="B364" s="180" t="s">
        <v>1474</v>
      </c>
      <c r="C364" s="180" t="s">
        <v>1475</v>
      </c>
      <c r="D364" s="180" t="s">
        <v>974</v>
      </c>
      <c r="E364" s="180" t="s">
        <v>980</v>
      </c>
      <c r="F364" s="672">
        <v>-133055.91</v>
      </c>
      <c r="G364" s="672">
        <v>-42892.63</v>
      </c>
      <c r="H364" s="672">
        <v>-25433.55</v>
      </c>
      <c r="I364" s="672">
        <v>-50057.32</v>
      </c>
      <c r="J364" s="672">
        <v>159.21</v>
      </c>
      <c r="K364" s="672">
        <v>23144.07</v>
      </c>
      <c r="L364" s="672">
        <v>-37975.69</v>
      </c>
    </row>
    <row r="365" spans="2:12">
      <c r="B365" s="180" t="s">
        <v>1091</v>
      </c>
      <c r="C365" s="180" t="s">
        <v>1092</v>
      </c>
      <c r="D365" s="180" t="s">
        <v>974</v>
      </c>
      <c r="E365" s="180" t="s">
        <v>980</v>
      </c>
      <c r="F365" s="672">
        <v>-14178.15</v>
      </c>
      <c r="G365" s="672">
        <v>603.76</v>
      </c>
      <c r="H365" s="672">
        <v>838.29</v>
      </c>
      <c r="I365" s="672">
        <v>894.16</v>
      </c>
      <c r="J365" s="672">
        <v>856.75</v>
      </c>
      <c r="K365" s="672">
        <v>5007.8500000000004</v>
      </c>
      <c r="L365" s="672">
        <v>-22378.959999999999</v>
      </c>
    </row>
    <row r="366" spans="2:12">
      <c r="B366" s="180" t="s">
        <v>1497</v>
      </c>
      <c r="C366" s="180" t="s">
        <v>1498</v>
      </c>
      <c r="D366" s="180" t="s">
        <v>974</v>
      </c>
      <c r="E366" s="180" t="s">
        <v>990</v>
      </c>
      <c r="F366" s="672">
        <v>0</v>
      </c>
      <c r="G366" s="672">
        <v>0</v>
      </c>
      <c r="H366" s="672">
        <v>0</v>
      </c>
      <c r="I366" s="672">
        <v>0</v>
      </c>
      <c r="J366" s="672">
        <v>0</v>
      </c>
      <c r="K366" s="672">
        <v>0</v>
      </c>
      <c r="L366" s="672">
        <v>0</v>
      </c>
    </row>
    <row r="367" spans="2:12">
      <c r="B367" s="180" t="s">
        <v>1122</v>
      </c>
      <c r="C367" s="180" t="s">
        <v>1123</v>
      </c>
      <c r="D367" s="180" t="s">
        <v>993</v>
      </c>
      <c r="E367" s="180" t="s">
        <v>980</v>
      </c>
      <c r="F367" s="672">
        <v>1168207.1100000001</v>
      </c>
      <c r="G367" s="672">
        <v>19982.86</v>
      </c>
      <c r="H367" s="672">
        <v>21711.17</v>
      </c>
      <c r="I367" s="672">
        <v>22450.21</v>
      </c>
      <c r="J367" s="672">
        <v>39613.68</v>
      </c>
      <c r="K367" s="672">
        <v>184930.6</v>
      </c>
      <c r="L367" s="672">
        <v>879518.59</v>
      </c>
    </row>
    <row r="368" spans="2:12">
      <c r="B368" s="180" t="s">
        <v>1107</v>
      </c>
      <c r="C368" s="180" t="s">
        <v>1108</v>
      </c>
      <c r="D368" s="180" t="s">
        <v>974</v>
      </c>
      <c r="E368" s="180" t="s">
        <v>990</v>
      </c>
      <c r="F368" s="672">
        <v>0</v>
      </c>
      <c r="G368" s="672">
        <v>0</v>
      </c>
      <c r="H368" s="672">
        <v>0</v>
      </c>
      <c r="I368" s="672">
        <v>0</v>
      </c>
      <c r="J368" s="672">
        <v>0</v>
      </c>
      <c r="K368" s="672">
        <v>0</v>
      </c>
      <c r="L368" s="672">
        <v>0</v>
      </c>
    </row>
    <row r="369" spans="2:12">
      <c r="B369" s="180" t="s">
        <v>1499</v>
      </c>
      <c r="C369" s="180" t="s">
        <v>1500</v>
      </c>
      <c r="D369" s="180" t="s">
        <v>993</v>
      </c>
      <c r="E369" s="180" t="s">
        <v>990</v>
      </c>
      <c r="F369" s="672">
        <v>0</v>
      </c>
      <c r="G369" s="672">
        <v>0</v>
      </c>
      <c r="H369" s="672">
        <v>0</v>
      </c>
      <c r="I369" s="672">
        <v>0</v>
      </c>
      <c r="J369" s="672">
        <v>0</v>
      </c>
      <c r="K369" s="672">
        <v>0</v>
      </c>
      <c r="L369" s="672">
        <v>0</v>
      </c>
    </row>
    <row r="370" spans="2:12">
      <c r="B370" s="180" t="s">
        <v>1501</v>
      </c>
      <c r="C370" s="180" t="s">
        <v>1502</v>
      </c>
      <c r="D370" s="180" t="s">
        <v>993</v>
      </c>
      <c r="E370" s="180" t="s">
        <v>990</v>
      </c>
      <c r="F370" s="672">
        <v>0</v>
      </c>
      <c r="G370" s="672">
        <v>0</v>
      </c>
      <c r="H370" s="672">
        <v>0</v>
      </c>
      <c r="I370" s="672">
        <v>0</v>
      </c>
      <c r="J370" s="672">
        <v>0</v>
      </c>
      <c r="K370" s="672">
        <v>0</v>
      </c>
      <c r="L370" s="672">
        <v>0</v>
      </c>
    </row>
    <row r="371" spans="2:12">
      <c r="B371" s="180" t="s">
        <v>1503</v>
      </c>
      <c r="C371" s="180" t="s">
        <v>1504</v>
      </c>
      <c r="D371" s="180" t="s">
        <v>974</v>
      </c>
      <c r="E371" s="180" t="s">
        <v>975</v>
      </c>
      <c r="F371" s="672">
        <v>55631.26</v>
      </c>
      <c r="G371" s="672">
        <v>0</v>
      </c>
      <c r="H371" s="672">
        <v>0</v>
      </c>
      <c r="I371" s="672">
        <v>0</v>
      </c>
      <c r="J371" s="672">
        <v>989.01</v>
      </c>
      <c r="K371" s="672">
        <v>863.46</v>
      </c>
      <c r="L371" s="672">
        <v>53778.79</v>
      </c>
    </row>
    <row r="372" spans="2:12">
      <c r="B372" s="180" t="s">
        <v>1505</v>
      </c>
      <c r="C372" s="180" t="s">
        <v>1506</v>
      </c>
      <c r="D372" s="180" t="s">
        <v>993</v>
      </c>
      <c r="E372" s="180" t="s">
        <v>990</v>
      </c>
      <c r="F372" s="672">
        <v>0</v>
      </c>
      <c r="G372" s="672">
        <v>0</v>
      </c>
      <c r="H372" s="672">
        <v>0</v>
      </c>
      <c r="I372" s="672">
        <v>0</v>
      </c>
      <c r="J372" s="672">
        <v>0</v>
      </c>
      <c r="K372" s="672">
        <v>1.17</v>
      </c>
      <c r="L372" s="672">
        <v>-1.17</v>
      </c>
    </row>
    <row r="373" spans="2:12">
      <c r="B373" s="180" t="s">
        <v>1413</v>
      </c>
      <c r="C373" s="180" t="s">
        <v>1414</v>
      </c>
      <c r="D373" s="180" t="s">
        <v>974</v>
      </c>
      <c r="E373" s="180" t="s">
        <v>980</v>
      </c>
      <c r="F373" s="672">
        <v>3923793.21</v>
      </c>
      <c r="G373" s="672">
        <v>90757.97</v>
      </c>
      <c r="H373" s="672">
        <v>90508.98</v>
      </c>
      <c r="I373" s="672">
        <v>90505.36</v>
      </c>
      <c r="J373" s="672">
        <v>90515.08</v>
      </c>
      <c r="K373" s="672">
        <v>715040.75</v>
      </c>
      <c r="L373" s="672">
        <v>2846465.07</v>
      </c>
    </row>
    <row r="374" spans="2:12">
      <c r="B374" s="180" t="s">
        <v>1173</v>
      </c>
      <c r="C374" s="180" t="s">
        <v>1174</v>
      </c>
      <c r="D374" s="180" t="s">
        <v>993</v>
      </c>
      <c r="E374" s="180" t="s">
        <v>975</v>
      </c>
      <c r="F374" s="672">
        <v>-2882.42</v>
      </c>
      <c r="G374" s="672">
        <v>0</v>
      </c>
      <c r="H374" s="672">
        <v>0</v>
      </c>
      <c r="I374" s="672">
        <v>0</v>
      </c>
      <c r="J374" s="672">
        <v>0</v>
      </c>
      <c r="K374" s="672">
        <v>0</v>
      </c>
      <c r="L374" s="672">
        <v>-2882.42</v>
      </c>
    </row>
    <row r="375" spans="2:12">
      <c r="B375" s="180" t="s">
        <v>1495</v>
      </c>
      <c r="C375" s="180" t="s">
        <v>1496</v>
      </c>
      <c r="D375" s="180" t="s">
        <v>974</v>
      </c>
      <c r="E375" s="180" t="s">
        <v>990</v>
      </c>
      <c r="F375" s="672">
        <v>0</v>
      </c>
      <c r="G375" s="672">
        <v>0</v>
      </c>
      <c r="H375" s="672">
        <v>0</v>
      </c>
      <c r="I375" s="672">
        <v>0</v>
      </c>
      <c r="J375" s="672">
        <v>0</v>
      </c>
      <c r="K375" s="672">
        <v>0</v>
      </c>
      <c r="L375" s="672">
        <v>0</v>
      </c>
    </row>
    <row r="376" spans="2:12">
      <c r="B376" s="180" t="s">
        <v>1256</v>
      </c>
      <c r="C376" s="180" t="s">
        <v>1030</v>
      </c>
      <c r="D376" s="180" t="s">
        <v>993</v>
      </c>
      <c r="E376" s="180" t="s">
        <v>990</v>
      </c>
      <c r="F376" s="672">
        <v>0</v>
      </c>
      <c r="G376" s="672">
        <v>0</v>
      </c>
      <c r="H376" s="672">
        <v>0</v>
      </c>
      <c r="I376" s="672">
        <v>0</v>
      </c>
      <c r="J376" s="672">
        <v>0</v>
      </c>
      <c r="K376" s="672">
        <v>0</v>
      </c>
      <c r="L376" s="672">
        <v>0</v>
      </c>
    </row>
    <row r="377" spans="2:12">
      <c r="B377" s="180" t="s">
        <v>1188</v>
      </c>
      <c r="C377" s="180" t="s">
        <v>1189</v>
      </c>
      <c r="D377" s="180" t="s">
        <v>993</v>
      </c>
      <c r="E377" s="180" t="s">
        <v>975</v>
      </c>
      <c r="F377" s="672">
        <v>-4596.3500000000004</v>
      </c>
      <c r="G377" s="672">
        <v>0</v>
      </c>
      <c r="H377" s="672">
        <v>0</v>
      </c>
      <c r="I377" s="672">
        <v>0</v>
      </c>
      <c r="J377" s="672">
        <v>0</v>
      </c>
      <c r="K377" s="672">
        <v>0</v>
      </c>
      <c r="L377" s="672">
        <v>-4596.3500000000004</v>
      </c>
    </row>
    <row r="378" spans="2:12">
      <c r="B378" s="180" t="s">
        <v>1507</v>
      </c>
      <c r="C378" s="180" t="s">
        <v>1508</v>
      </c>
      <c r="D378" s="180" t="s">
        <v>974</v>
      </c>
      <c r="E378" s="180" t="s">
        <v>980</v>
      </c>
      <c r="F378" s="672">
        <v>92974.02</v>
      </c>
      <c r="G378" s="672">
        <v>-17221.37</v>
      </c>
      <c r="H378" s="672">
        <v>1769.42</v>
      </c>
      <c r="I378" s="672">
        <v>24912.66</v>
      </c>
      <c r="J378" s="672">
        <v>11458.92</v>
      </c>
      <c r="K378" s="672">
        <v>50733.95</v>
      </c>
      <c r="L378" s="672">
        <v>21320.44</v>
      </c>
    </row>
    <row r="379" spans="2:12">
      <c r="B379" s="180" t="s">
        <v>1434</v>
      </c>
      <c r="C379" s="180" t="s">
        <v>1435</v>
      </c>
      <c r="D379" s="180" t="s">
        <v>974</v>
      </c>
      <c r="E379" s="180" t="s">
        <v>975</v>
      </c>
      <c r="F379" s="672">
        <v>-4168</v>
      </c>
      <c r="G379" s="672">
        <v>0</v>
      </c>
      <c r="H379" s="672">
        <v>0</v>
      </c>
      <c r="I379" s="672">
        <v>0</v>
      </c>
      <c r="J379" s="672">
        <v>0</v>
      </c>
      <c r="K379" s="672">
        <v>0</v>
      </c>
      <c r="L379" s="672">
        <v>-4168</v>
      </c>
    </row>
    <row r="380" spans="2:12">
      <c r="B380" s="180" t="s">
        <v>1509</v>
      </c>
      <c r="C380" s="180" t="s">
        <v>1510</v>
      </c>
      <c r="D380" s="180" t="s">
        <v>974</v>
      </c>
      <c r="E380" s="180" t="s">
        <v>980</v>
      </c>
      <c r="F380" s="672">
        <v>-2042.91</v>
      </c>
      <c r="G380" s="672">
        <v>-12378.13</v>
      </c>
      <c r="H380" s="672">
        <v>13216.46</v>
      </c>
      <c r="I380" s="672">
        <v>28.18</v>
      </c>
      <c r="J380" s="672">
        <v>31.5</v>
      </c>
      <c r="K380" s="672">
        <v>-422.56</v>
      </c>
      <c r="L380" s="672">
        <v>-2518.36</v>
      </c>
    </row>
    <row r="381" spans="2:12">
      <c r="B381" s="180" t="s">
        <v>1511</v>
      </c>
      <c r="C381" s="180" t="s">
        <v>1399</v>
      </c>
      <c r="D381" s="180" t="s">
        <v>993</v>
      </c>
      <c r="E381" s="180" t="s">
        <v>980</v>
      </c>
      <c r="F381" s="672">
        <v>183013.7</v>
      </c>
      <c r="G381" s="672">
        <v>3664.99</v>
      </c>
      <c r="H381" s="672">
        <v>3982.43</v>
      </c>
      <c r="I381" s="672">
        <v>3772.21</v>
      </c>
      <c r="J381" s="672">
        <v>3408</v>
      </c>
      <c r="K381" s="672">
        <v>95062.63</v>
      </c>
      <c r="L381" s="672">
        <v>73123.44</v>
      </c>
    </row>
    <row r="382" spans="2:12">
      <c r="B382" s="180" t="s">
        <v>1059</v>
      </c>
      <c r="C382" s="180" t="s">
        <v>1060</v>
      </c>
      <c r="D382" s="180" t="s">
        <v>993</v>
      </c>
      <c r="E382" s="180" t="s">
        <v>990</v>
      </c>
      <c r="F382" s="672">
        <v>0</v>
      </c>
      <c r="G382" s="672">
        <v>0</v>
      </c>
      <c r="H382" s="672">
        <v>0</v>
      </c>
      <c r="I382" s="672">
        <v>0</v>
      </c>
      <c r="J382" s="672">
        <v>0</v>
      </c>
      <c r="K382" s="672">
        <v>0</v>
      </c>
      <c r="L382" s="672">
        <v>0</v>
      </c>
    </row>
    <row r="383" spans="2:12">
      <c r="B383" s="180" t="s">
        <v>1512</v>
      </c>
      <c r="C383" s="180" t="s">
        <v>1152</v>
      </c>
      <c r="D383" s="180" t="s">
        <v>993</v>
      </c>
      <c r="E383" s="180" t="s">
        <v>990</v>
      </c>
      <c r="F383" s="672">
        <v>0</v>
      </c>
      <c r="G383" s="672">
        <v>0</v>
      </c>
      <c r="H383" s="672">
        <v>0</v>
      </c>
      <c r="I383" s="672">
        <v>0</v>
      </c>
      <c r="J383" s="672">
        <v>0</v>
      </c>
      <c r="K383" s="672">
        <v>0</v>
      </c>
      <c r="L383" s="672">
        <v>0</v>
      </c>
    </row>
    <row r="384" spans="2:12">
      <c r="B384" s="180" t="s">
        <v>1513</v>
      </c>
      <c r="C384" s="180" t="s">
        <v>1488</v>
      </c>
      <c r="D384" s="180" t="s">
        <v>974</v>
      </c>
      <c r="E384" s="180" t="s">
        <v>975</v>
      </c>
      <c r="F384" s="672">
        <v>8027.41</v>
      </c>
      <c r="G384" s="672">
        <v>0</v>
      </c>
      <c r="H384" s="672">
        <v>0</v>
      </c>
      <c r="I384" s="672">
        <v>0</v>
      </c>
      <c r="J384" s="672">
        <v>0</v>
      </c>
      <c r="K384" s="672">
        <v>-22.33</v>
      </c>
      <c r="L384" s="672">
        <v>8049.74</v>
      </c>
    </row>
    <row r="385" spans="2:12">
      <c r="B385" s="180" t="s">
        <v>1514</v>
      </c>
      <c r="C385" s="180" t="s">
        <v>1515</v>
      </c>
      <c r="D385" s="180" t="s">
        <v>974</v>
      </c>
      <c r="E385" s="180" t="s">
        <v>990</v>
      </c>
      <c r="F385" s="672">
        <v>0</v>
      </c>
      <c r="G385" s="672">
        <v>0</v>
      </c>
      <c r="H385" s="672">
        <v>0</v>
      </c>
      <c r="I385" s="672">
        <v>0</v>
      </c>
      <c r="J385" s="672">
        <v>0</v>
      </c>
      <c r="K385" s="672">
        <v>0</v>
      </c>
      <c r="L385" s="672">
        <v>0</v>
      </c>
    </row>
    <row r="386" spans="2:12">
      <c r="B386" s="180" t="s">
        <v>1516</v>
      </c>
      <c r="C386" s="180" t="s">
        <v>1517</v>
      </c>
      <c r="D386" s="180" t="s">
        <v>974</v>
      </c>
      <c r="E386" s="180" t="s">
        <v>990</v>
      </c>
      <c r="F386" s="672">
        <v>0</v>
      </c>
      <c r="G386" s="672">
        <v>0</v>
      </c>
      <c r="H386" s="672">
        <v>0</v>
      </c>
      <c r="I386" s="672">
        <v>0</v>
      </c>
      <c r="J386" s="672">
        <v>0</v>
      </c>
      <c r="K386" s="672">
        <v>0</v>
      </c>
      <c r="L386" s="672">
        <v>0</v>
      </c>
    </row>
    <row r="387" spans="2:12">
      <c r="B387" s="180" t="s">
        <v>1518</v>
      </c>
      <c r="C387" s="180" t="s">
        <v>1084</v>
      </c>
      <c r="D387" s="180" t="s">
        <v>993</v>
      </c>
      <c r="E387" s="180" t="s">
        <v>990</v>
      </c>
      <c r="F387" s="672">
        <v>0.39</v>
      </c>
      <c r="G387" s="672">
        <v>0</v>
      </c>
      <c r="H387" s="672">
        <v>0</v>
      </c>
      <c r="I387" s="672">
        <v>0</v>
      </c>
      <c r="J387" s="672">
        <v>0</v>
      </c>
      <c r="K387" s="672">
        <v>0</v>
      </c>
      <c r="L387" s="672">
        <v>0.39</v>
      </c>
    </row>
    <row r="388" spans="2:12">
      <c r="B388" s="180" t="s">
        <v>1456</v>
      </c>
      <c r="C388" s="180" t="s">
        <v>1457</v>
      </c>
      <c r="D388" s="180" t="s">
        <v>974</v>
      </c>
      <c r="E388" s="180" t="s">
        <v>980</v>
      </c>
      <c r="F388" s="672">
        <v>3485.98</v>
      </c>
      <c r="G388" s="672">
        <v>394.7</v>
      </c>
      <c r="H388" s="672">
        <v>-16782.61</v>
      </c>
      <c r="I388" s="672">
        <v>-14007.92</v>
      </c>
      <c r="J388" s="672">
        <v>273.74</v>
      </c>
      <c r="K388" s="672">
        <v>40590.230000000003</v>
      </c>
      <c r="L388" s="672">
        <v>-6982.16</v>
      </c>
    </row>
    <row r="389" spans="2:12">
      <c r="B389" s="180" t="s">
        <v>981</v>
      </c>
      <c r="C389" s="180" t="s">
        <v>982</v>
      </c>
      <c r="D389" s="180" t="s">
        <v>974</v>
      </c>
      <c r="E389" s="180" t="s">
        <v>1075</v>
      </c>
      <c r="F389" s="672">
        <v>0</v>
      </c>
      <c r="G389" s="672">
        <v>0</v>
      </c>
      <c r="H389" s="672">
        <v>0</v>
      </c>
      <c r="I389" s="672">
        <v>0</v>
      </c>
      <c r="J389" s="672">
        <v>0</v>
      </c>
      <c r="K389" s="672">
        <v>0</v>
      </c>
      <c r="L389" s="672">
        <v>0</v>
      </c>
    </row>
    <row r="390" spans="2:12">
      <c r="B390" s="180" t="s">
        <v>1166</v>
      </c>
      <c r="C390" s="180" t="s">
        <v>1167</v>
      </c>
      <c r="D390" s="180" t="s">
        <v>993</v>
      </c>
      <c r="E390" s="180" t="s">
        <v>1034</v>
      </c>
      <c r="F390" s="672">
        <v>0</v>
      </c>
      <c r="G390" s="672">
        <v>0</v>
      </c>
      <c r="H390" s="672">
        <v>0</v>
      </c>
      <c r="I390" s="672">
        <v>0</v>
      </c>
      <c r="J390" s="672">
        <v>0</v>
      </c>
      <c r="K390" s="672">
        <v>0</v>
      </c>
      <c r="L390" s="672">
        <v>0</v>
      </c>
    </row>
    <row r="391" spans="2:12">
      <c r="B391" s="180" t="s">
        <v>1519</v>
      </c>
      <c r="C391" s="180" t="s">
        <v>999</v>
      </c>
      <c r="D391" s="180" t="s">
        <v>974</v>
      </c>
      <c r="E391" s="180" t="s">
        <v>1078</v>
      </c>
      <c r="F391" s="672">
        <v>-6647</v>
      </c>
      <c r="G391" s="672">
        <v>0</v>
      </c>
      <c r="H391" s="672">
        <v>0</v>
      </c>
      <c r="I391" s="672">
        <v>0</v>
      </c>
      <c r="J391" s="672">
        <v>0</v>
      </c>
      <c r="K391" s="672">
        <v>0</v>
      </c>
      <c r="L391" s="672">
        <v>-6647</v>
      </c>
    </row>
    <row r="392" spans="2:12">
      <c r="B392" s="180" t="s">
        <v>1395</v>
      </c>
      <c r="C392" s="180" t="s">
        <v>979</v>
      </c>
      <c r="D392" s="180" t="s">
        <v>974</v>
      </c>
      <c r="E392" s="180" t="s">
        <v>990</v>
      </c>
      <c r="F392" s="672">
        <v>0</v>
      </c>
      <c r="G392" s="672">
        <v>0</v>
      </c>
      <c r="H392" s="672">
        <v>0</v>
      </c>
      <c r="I392" s="672">
        <v>0</v>
      </c>
      <c r="J392" s="672">
        <v>0</v>
      </c>
      <c r="K392" s="672">
        <v>0</v>
      </c>
      <c r="L392" s="672">
        <v>0</v>
      </c>
    </row>
    <row r="393" spans="2:12">
      <c r="B393" s="180" t="s">
        <v>1520</v>
      </c>
      <c r="C393" s="180" t="s">
        <v>1065</v>
      </c>
      <c r="D393" s="180" t="s">
        <v>993</v>
      </c>
      <c r="E393" s="180" t="s">
        <v>975</v>
      </c>
      <c r="F393" s="672">
        <v>-175.07</v>
      </c>
      <c r="G393" s="672">
        <v>0</v>
      </c>
      <c r="H393" s="672">
        <v>0</v>
      </c>
      <c r="I393" s="672">
        <v>0</v>
      </c>
      <c r="J393" s="672">
        <v>0</v>
      </c>
      <c r="K393" s="672">
        <v>0</v>
      </c>
      <c r="L393" s="672">
        <v>-175.07</v>
      </c>
    </row>
    <row r="394" spans="2:12">
      <c r="B394" s="180" t="s">
        <v>1521</v>
      </c>
      <c r="C394" s="180" t="s">
        <v>1189</v>
      </c>
      <c r="D394" s="180" t="s">
        <v>993</v>
      </c>
      <c r="E394" s="180" t="s">
        <v>975</v>
      </c>
      <c r="F394" s="672">
        <v>-16761</v>
      </c>
      <c r="G394" s="672">
        <v>0</v>
      </c>
      <c r="H394" s="672">
        <v>0</v>
      </c>
      <c r="I394" s="672">
        <v>0</v>
      </c>
      <c r="J394" s="672">
        <v>0</v>
      </c>
      <c r="K394" s="672">
        <v>0</v>
      </c>
      <c r="L394" s="672">
        <v>-16761</v>
      </c>
    </row>
    <row r="395" spans="2:12">
      <c r="B395" s="180" t="s">
        <v>1329</v>
      </c>
      <c r="C395" s="180" t="s">
        <v>1330</v>
      </c>
      <c r="D395" s="180" t="s">
        <v>993</v>
      </c>
      <c r="E395" s="180" t="s">
        <v>990</v>
      </c>
      <c r="F395" s="672">
        <v>0</v>
      </c>
      <c r="G395" s="672">
        <v>0</v>
      </c>
      <c r="H395" s="672">
        <v>0</v>
      </c>
      <c r="I395" s="672">
        <v>0</v>
      </c>
      <c r="J395" s="672">
        <v>0</v>
      </c>
      <c r="K395" s="672">
        <v>0</v>
      </c>
      <c r="L395" s="672">
        <v>0</v>
      </c>
    </row>
    <row r="396" spans="2:12">
      <c r="B396" s="180" t="s">
        <v>1522</v>
      </c>
      <c r="C396" s="180" t="s">
        <v>1523</v>
      </c>
      <c r="D396" s="180" t="s">
        <v>974</v>
      </c>
      <c r="E396" s="180" t="s">
        <v>1363</v>
      </c>
      <c r="F396" s="672">
        <v>54510.21</v>
      </c>
      <c r="G396" s="672">
        <v>-9813.0300000000007</v>
      </c>
      <c r="H396" s="672">
        <v>0</v>
      </c>
      <c r="I396" s="672">
        <v>0</v>
      </c>
      <c r="J396" s="672">
        <v>-9813.0300000000007</v>
      </c>
      <c r="K396" s="672">
        <v>-19626.060000000001</v>
      </c>
      <c r="L396" s="672">
        <v>93762.33</v>
      </c>
    </row>
    <row r="397" spans="2:12">
      <c r="B397" s="180" t="s">
        <v>1524</v>
      </c>
      <c r="C397" s="180" t="s">
        <v>1525</v>
      </c>
      <c r="D397" s="180" t="s">
        <v>993</v>
      </c>
      <c r="E397" s="180" t="s">
        <v>980</v>
      </c>
      <c r="F397" s="672">
        <v>1854765.57</v>
      </c>
      <c r="G397" s="672">
        <v>32468.78</v>
      </c>
      <c r="H397" s="672">
        <v>40558.379999999997</v>
      </c>
      <c r="I397" s="672">
        <v>50858.78</v>
      </c>
      <c r="J397" s="672">
        <v>40343.58</v>
      </c>
      <c r="K397" s="672">
        <v>300252.39</v>
      </c>
      <c r="L397" s="672">
        <v>1390283.66</v>
      </c>
    </row>
    <row r="398" spans="2:12">
      <c r="B398" s="180" t="s">
        <v>1526</v>
      </c>
      <c r="C398" s="180" t="s">
        <v>1527</v>
      </c>
      <c r="D398" s="180" t="s">
        <v>974</v>
      </c>
      <c r="E398" s="180" t="s">
        <v>990</v>
      </c>
      <c r="F398" s="672">
        <v>0</v>
      </c>
      <c r="G398" s="672">
        <v>0</v>
      </c>
      <c r="H398" s="672">
        <v>0</v>
      </c>
      <c r="I398" s="672">
        <v>0</v>
      </c>
      <c r="J398" s="672">
        <v>0</v>
      </c>
      <c r="K398" s="672">
        <v>0</v>
      </c>
      <c r="L398" s="672">
        <v>0</v>
      </c>
    </row>
    <row r="399" spans="2:12">
      <c r="B399" s="180" t="s">
        <v>1370</v>
      </c>
      <c r="C399" s="180" t="s">
        <v>1371</v>
      </c>
      <c r="D399" s="180" t="s">
        <v>974</v>
      </c>
      <c r="E399" s="180" t="s">
        <v>990</v>
      </c>
      <c r="F399" s="672">
        <v>0</v>
      </c>
      <c r="G399" s="672">
        <v>0</v>
      </c>
      <c r="H399" s="672">
        <v>0</v>
      </c>
      <c r="I399" s="672">
        <v>0</v>
      </c>
      <c r="J399" s="672">
        <v>0</v>
      </c>
      <c r="K399" s="672">
        <v>0</v>
      </c>
      <c r="L399" s="672">
        <v>0</v>
      </c>
    </row>
    <row r="400" spans="2:12">
      <c r="B400" s="180" t="s">
        <v>1008</v>
      </c>
      <c r="C400" s="180" t="s">
        <v>1009</v>
      </c>
      <c r="D400" s="180" t="s">
        <v>974</v>
      </c>
      <c r="E400" s="180" t="s">
        <v>980</v>
      </c>
      <c r="F400" s="672">
        <v>2893.32</v>
      </c>
      <c r="G400" s="672">
        <v>-4655.3900000000003</v>
      </c>
      <c r="H400" s="672">
        <v>9619.17</v>
      </c>
      <c r="I400" s="672">
        <v>5623</v>
      </c>
      <c r="J400" s="672">
        <v>11114.34</v>
      </c>
      <c r="K400" s="672">
        <v>56775.25</v>
      </c>
      <c r="L400" s="672">
        <v>-75583.05</v>
      </c>
    </row>
    <row r="401" spans="2:12">
      <c r="B401" s="180" t="s">
        <v>1528</v>
      </c>
      <c r="C401" s="180" t="s">
        <v>1529</v>
      </c>
      <c r="D401" s="180" t="s">
        <v>974</v>
      </c>
      <c r="E401" s="180" t="s">
        <v>980</v>
      </c>
      <c r="F401" s="672">
        <v>47645.14</v>
      </c>
      <c r="G401" s="672">
        <v>10033.98</v>
      </c>
      <c r="H401" s="672">
        <v>6506.34</v>
      </c>
      <c r="I401" s="672">
        <v>-88665.58</v>
      </c>
      <c r="J401" s="672">
        <v>6747.79</v>
      </c>
      <c r="K401" s="672">
        <v>82508.91</v>
      </c>
      <c r="L401" s="672">
        <v>30513.7</v>
      </c>
    </row>
    <row r="402" spans="2:12">
      <c r="B402" s="180" t="s">
        <v>1530</v>
      </c>
      <c r="C402" s="180" t="s">
        <v>1531</v>
      </c>
      <c r="D402" s="180" t="s">
        <v>974</v>
      </c>
      <c r="E402" s="180" t="s">
        <v>975</v>
      </c>
      <c r="F402" s="672">
        <v>312551.88</v>
      </c>
      <c r="G402" s="672">
        <v>0</v>
      </c>
      <c r="H402" s="672">
        <v>0</v>
      </c>
      <c r="I402" s="672">
        <v>-4087.8</v>
      </c>
      <c r="J402" s="672">
        <v>0</v>
      </c>
      <c r="K402" s="672">
        <v>-13063.98</v>
      </c>
      <c r="L402" s="672">
        <v>329703.65999999997</v>
      </c>
    </row>
    <row r="403" spans="2:12">
      <c r="B403" s="180" t="s">
        <v>1532</v>
      </c>
      <c r="C403" s="180" t="s">
        <v>1421</v>
      </c>
      <c r="D403" s="180" t="s">
        <v>993</v>
      </c>
      <c r="E403" s="180" t="s">
        <v>990</v>
      </c>
      <c r="F403" s="672">
        <v>0</v>
      </c>
      <c r="G403" s="672">
        <v>0</v>
      </c>
      <c r="H403" s="672">
        <v>0</v>
      </c>
      <c r="I403" s="672">
        <v>0</v>
      </c>
      <c r="J403" s="672">
        <v>0</v>
      </c>
      <c r="K403" s="672">
        <v>0</v>
      </c>
      <c r="L403" s="672">
        <v>0</v>
      </c>
    </row>
    <row r="404" spans="2:12">
      <c r="B404" s="180" t="s">
        <v>1533</v>
      </c>
      <c r="C404" s="180" t="s">
        <v>1534</v>
      </c>
      <c r="D404" s="180" t="s">
        <v>974</v>
      </c>
      <c r="E404" s="180" t="s">
        <v>980</v>
      </c>
      <c r="F404" s="672">
        <v>6720312.3600000003</v>
      </c>
      <c r="G404" s="672">
        <v>151749.67000000001</v>
      </c>
      <c r="H404" s="672">
        <v>172476.77</v>
      </c>
      <c r="I404" s="672">
        <v>156231.78</v>
      </c>
      <c r="J404" s="672">
        <v>173969.89</v>
      </c>
      <c r="K404" s="672">
        <v>1871191.18</v>
      </c>
      <c r="L404" s="672">
        <v>4194693.07</v>
      </c>
    </row>
    <row r="405" spans="2:12">
      <c r="B405" s="180" t="s">
        <v>1535</v>
      </c>
      <c r="C405" s="180" t="s">
        <v>1536</v>
      </c>
      <c r="D405" s="180" t="s">
        <v>974</v>
      </c>
      <c r="E405" s="180" t="s">
        <v>980</v>
      </c>
      <c r="F405" s="672">
        <v>2425657.16</v>
      </c>
      <c r="G405" s="672">
        <v>53923.86</v>
      </c>
      <c r="H405" s="672">
        <v>53623.14</v>
      </c>
      <c r="I405" s="672">
        <v>53615.75</v>
      </c>
      <c r="J405" s="672">
        <v>53847.83</v>
      </c>
      <c r="K405" s="672">
        <v>441391</v>
      </c>
      <c r="L405" s="672">
        <v>1769255.58</v>
      </c>
    </row>
    <row r="406" spans="2:12">
      <c r="B406" s="180" t="s">
        <v>1031</v>
      </c>
      <c r="C406" s="180" t="s">
        <v>1032</v>
      </c>
      <c r="D406" s="180" t="s">
        <v>974</v>
      </c>
      <c r="E406" s="180" t="s">
        <v>990</v>
      </c>
      <c r="F406" s="672">
        <v>0</v>
      </c>
      <c r="G406" s="672">
        <v>0</v>
      </c>
      <c r="H406" s="672">
        <v>0</v>
      </c>
      <c r="I406" s="672">
        <v>0</v>
      </c>
      <c r="J406" s="672">
        <v>0</v>
      </c>
      <c r="K406" s="672">
        <v>0</v>
      </c>
      <c r="L406" s="672">
        <v>0</v>
      </c>
    </row>
    <row r="407" spans="2:12">
      <c r="B407" s="180" t="s">
        <v>1537</v>
      </c>
      <c r="C407" s="180" t="s">
        <v>979</v>
      </c>
      <c r="D407" s="180" t="s">
        <v>974</v>
      </c>
      <c r="E407" s="180" t="s">
        <v>980</v>
      </c>
      <c r="F407" s="672">
        <v>102821.21</v>
      </c>
      <c r="G407" s="672">
        <v>-26654.080000000002</v>
      </c>
      <c r="H407" s="672">
        <v>51232.71</v>
      </c>
      <c r="I407" s="672">
        <v>-24576.85</v>
      </c>
      <c r="J407" s="672">
        <v>-3419.62</v>
      </c>
      <c r="K407" s="672">
        <v>81371.7</v>
      </c>
      <c r="L407" s="672">
        <v>24867.35</v>
      </c>
    </row>
    <row r="408" spans="2:12">
      <c r="B408" s="180" t="s">
        <v>1538</v>
      </c>
      <c r="C408" s="180" t="s">
        <v>1539</v>
      </c>
      <c r="D408" s="180" t="s">
        <v>974</v>
      </c>
      <c r="E408" s="180" t="s">
        <v>990</v>
      </c>
      <c r="F408" s="672">
        <v>0</v>
      </c>
      <c r="G408" s="672">
        <v>0</v>
      </c>
      <c r="H408" s="672">
        <v>0</v>
      </c>
      <c r="I408" s="672">
        <v>0</v>
      </c>
      <c r="J408" s="672">
        <v>0</v>
      </c>
      <c r="K408" s="672">
        <v>0</v>
      </c>
      <c r="L408" s="672">
        <v>0</v>
      </c>
    </row>
    <row r="409" spans="2:12">
      <c r="B409" s="180" t="s">
        <v>1540</v>
      </c>
      <c r="C409" s="180" t="s">
        <v>1541</v>
      </c>
      <c r="D409" s="180" t="s">
        <v>974</v>
      </c>
      <c r="E409" s="180" t="s">
        <v>975</v>
      </c>
      <c r="F409" s="672">
        <v>0</v>
      </c>
      <c r="G409" s="672">
        <v>0</v>
      </c>
      <c r="H409" s="672">
        <v>0</v>
      </c>
      <c r="I409" s="672">
        <v>0</v>
      </c>
      <c r="J409" s="672">
        <v>0</v>
      </c>
      <c r="K409" s="672">
        <v>0</v>
      </c>
      <c r="L409" s="672">
        <v>0</v>
      </c>
    </row>
    <row r="410" spans="2:12">
      <c r="B410" s="180" t="s">
        <v>1283</v>
      </c>
      <c r="C410" s="180" t="s">
        <v>1131</v>
      </c>
      <c r="D410" s="180" t="s">
        <v>974</v>
      </c>
      <c r="E410" s="180" t="s">
        <v>983</v>
      </c>
      <c r="F410" s="672">
        <v>499.32</v>
      </c>
      <c r="G410" s="672">
        <v>242.12</v>
      </c>
      <c r="H410" s="672">
        <v>-1126.27</v>
      </c>
      <c r="I410" s="672">
        <v>342.11</v>
      </c>
      <c r="J410" s="672">
        <v>2000.25</v>
      </c>
      <c r="K410" s="672">
        <v>-4401.8100000000004</v>
      </c>
      <c r="L410" s="672">
        <v>3442.92</v>
      </c>
    </row>
    <row r="411" spans="2:12">
      <c r="B411" s="180" t="s">
        <v>1542</v>
      </c>
      <c r="C411" s="180" t="s">
        <v>1543</v>
      </c>
      <c r="D411" s="180" t="s">
        <v>974</v>
      </c>
      <c r="E411" s="180" t="s">
        <v>975</v>
      </c>
      <c r="F411" s="672">
        <v>177.07</v>
      </c>
      <c r="G411" s="672">
        <v>0</v>
      </c>
      <c r="H411" s="672">
        <v>0</v>
      </c>
      <c r="I411" s="672">
        <v>0</v>
      </c>
      <c r="J411" s="672">
        <v>0</v>
      </c>
      <c r="K411" s="672">
        <v>0</v>
      </c>
      <c r="L411" s="672">
        <v>177.07</v>
      </c>
    </row>
    <row r="412" spans="2:12">
      <c r="B412" s="180" t="s">
        <v>1544</v>
      </c>
      <c r="C412" s="180" t="s">
        <v>1545</v>
      </c>
      <c r="D412" s="180" t="s">
        <v>974</v>
      </c>
      <c r="E412" s="180" t="s">
        <v>980</v>
      </c>
      <c r="F412" s="672">
        <v>128696.91</v>
      </c>
      <c r="G412" s="672">
        <v>59576.28</v>
      </c>
      <c r="H412" s="672">
        <v>-4703.17</v>
      </c>
      <c r="I412" s="672">
        <v>-342.67</v>
      </c>
      <c r="J412" s="672">
        <v>2101.92</v>
      </c>
      <c r="K412" s="672">
        <v>-59744.39</v>
      </c>
      <c r="L412" s="672">
        <v>131808.94</v>
      </c>
    </row>
    <row r="413" spans="2:12">
      <c r="B413" s="180" t="s">
        <v>1546</v>
      </c>
      <c r="C413" s="180" t="s">
        <v>1547</v>
      </c>
      <c r="D413" s="180" t="s">
        <v>974</v>
      </c>
      <c r="E413" s="180" t="s">
        <v>980</v>
      </c>
      <c r="F413" s="672">
        <v>139354.01999999999</v>
      </c>
      <c r="G413" s="672">
        <v>193991.73</v>
      </c>
      <c r="H413" s="672">
        <v>-2042.05</v>
      </c>
      <c r="I413" s="672">
        <v>182541.58</v>
      </c>
      <c r="J413" s="672">
        <v>25823.59</v>
      </c>
      <c r="K413" s="672">
        <v>-197575.72</v>
      </c>
      <c r="L413" s="672">
        <v>-63385.11</v>
      </c>
    </row>
    <row r="414" spans="2:12">
      <c r="B414" s="180" t="s">
        <v>1535</v>
      </c>
      <c r="C414" s="180" t="s">
        <v>1536</v>
      </c>
      <c r="D414" s="180" t="s">
        <v>974</v>
      </c>
      <c r="E414" s="180" t="s">
        <v>1075</v>
      </c>
      <c r="F414" s="672">
        <v>0</v>
      </c>
      <c r="G414" s="672">
        <v>0</v>
      </c>
      <c r="H414" s="672">
        <v>0</v>
      </c>
      <c r="I414" s="672">
        <v>0</v>
      </c>
      <c r="J414" s="672">
        <v>0</v>
      </c>
      <c r="K414" s="672">
        <v>0</v>
      </c>
      <c r="L414" s="672">
        <v>0</v>
      </c>
    </row>
    <row r="415" spans="2:12">
      <c r="B415" s="180" t="s">
        <v>1310</v>
      </c>
      <c r="C415" s="180" t="s">
        <v>1311</v>
      </c>
      <c r="D415" s="180" t="s">
        <v>974</v>
      </c>
      <c r="E415" s="180" t="s">
        <v>1078</v>
      </c>
      <c r="F415" s="672">
        <v>0</v>
      </c>
      <c r="G415" s="672">
        <v>-1433</v>
      </c>
      <c r="H415" s="672">
        <v>0</v>
      </c>
      <c r="I415" s="672">
        <v>0</v>
      </c>
      <c r="J415" s="672">
        <v>0</v>
      </c>
      <c r="K415" s="672">
        <v>0</v>
      </c>
      <c r="L415" s="672">
        <v>1433</v>
      </c>
    </row>
    <row r="416" spans="2:12">
      <c r="B416" s="180" t="s">
        <v>1548</v>
      </c>
      <c r="C416" s="180" t="s">
        <v>1549</v>
      </c>
      <c r="D416" s="180" t="s">
        <v>974</v>
      </c>
      <c r="E416" s="180" t="s">
        <v>980</v>
      </c>
      <c r="F416" s="672">
        <v>-13173.51</v>
      </c>
      <c r="G416" s="672">
        <v>-596.14</v>
      </c>
      <c r="H416" s="672">
        <v>292.23</v>
      </c>
      <c r="I416" s="672">
        <v>697.24</v>
      </c>
      <c r="J416" s="672">
        <v>-457.35</v>
      </c>
      <c r="K416" s="672">
        <v>-452.82</v>
      </c>
      <c r="L416" s="672">
        <v>-12656.67</v>
      </c>
    </row>
    <row r="417" spans="2:12">
      <c r="B417" s="180" t="s">
        <v>1550</v>
      </c>
      <c r="C417" s="180" t="s">
        <v>979</v>
      </c>
      <c r="D417" s="180" t="s">
        <v>974</v>
      </c>
      <c r="E417" s="180" t="s">
        <v>980</v>
      </c>
      <c r="F417" s="672">
        <v>472376.4</v>
      </c>
      <c r="G417" s="672">
        <v>-93982.399999999994</v>
      </c>
      <c r="H417" s="672">
        <v>283601.86</v>
      </c>
      <c r="I417" s="672">
        <v>-390829.9</v>
      </c>
      <c r="J417" s="672">
        <v>11845.46</v>
      </c>
      <c r="K417" s="672">
        <v>361809.3</v>
      </c>
      <c r="L417" s="672">
        <v>299932.08</v>
      </c>
    </row>
    <row r="418" spans="2:12">
      <c r="B418" s="180" t="s">
        <v>1551</v>
      </c>
      <c r="C418" s="180" t="s">
        <v>1552</v>
      </c>
      <c r="D418" s="180" t="s">
        <v>974</v>
      </c>
      <c r="E418" s="180" t="s">
        <v>975</v>
      </c>
      <c r="F418" s="672">
        <v>124259.27</v>
      </c>
      <c r="G418" s="672">
        <v>0</v>
      </c>
      <c r="H418" s="672">
        <v>0</v>
      </c>
      <c r="I418" s="672">
        <v>0</v>
      </c>
      <c r="J418" s="672">
        <v>0</v>
      </c>
      <c r="K418" s="672">
        <v>0</v>
      </c>
      <c r="L418" s="672">
        <v>124259.27</v>
      </c>
    </row>
    <row r="419" spans="2:12">
      <c r="B419" s="180" t="s">
        <v>1553</v>
      </c>
      <c r="C419" s="180" t="s">
        <v>1189</v>
      </c>
      <c r="D419" s="180" t="s">
        <v>993</v>
      </c>
      <c r="E419" s="180" t="s">
        <v>990</v>
      </c>
      <c r="F419" s="672">
        <v>0</v>
      </c>
      <c r="G419" s="672">
        <v>0</v>
      </c>
      <c r="H419" s="672">
        <v>0</v>
      </c>
      <c r="I419" s="672">
        <v>0</v>
      </c>
      <c r="J419" s="672">
        <v>0</v>
      </c>
      <c r="K419" s="672">
        <v>0</v>
      </c>
      <c r="L419" s="672">
        <v>0</v>
      </c>
    </row>
    <row r="420" spans="2:12">
      <c r="B420" s="180" t="s">
        <v>1392</v>
      </c>
      <c r="C420" s="180" t="s">
        <v>1307</v>
      </c>
      <c r="D420" s="180" t="s">
        <v>993</v>
      </c>
      <c r="E420" s="180" t="s">
        <v>975</v>
      </c>
      <c r="F420" s="672">
        <v>-29641.74</v>
      </c>
      <c r="G420" s="672">
        <v>0</v>
      </c>
      <c r="H420" s="672">
        <v>0</v>
      </c>
      <c r="I420" s="672">
        <v>0</v>
      </c>
      <c r="J420" s="672">
        <v>0</v>
      </c>
      <c r="K420" s="672">
        <v>0</v>
      </c>
      <c r="L420" s="672">
        <v>-29641.74</v>
      </c>
    </row>
    <row r="421" spans="2:12">
      <c r="B421" s="180" t="s">
        <v>1424</v>
      </c>
      <c r="C421" s="180" t="s">
        <v>1425</v>
      </c>
      <c r="D421" s="180" t="s">
        <v>974</v>
      </c>
      <c r="E421" s="180" t="s">
        <v>990</v>
      </c>
      <c r="F421" s="672">
        <v>0</v>
      </c>
      <c r="G421" s="672">
        <v>0</v>
      </c>
      <c r="H421" s="672">
        <v>0</v>
      </c>
      <c r="I421" s="672">
        <v>0</v>
      </c>
      <c r="J421" s="672">
        <v>0</v>
      </c>
      <c r="K421" s="672">
        <v>0</v>
      </c>
      <c r="L421" s="672">
        <v>0</v>
      </c>
    </row>
    <row r="422" spans="2:12">
      <c r="B422" s="180" t="s">
        <v>1554</v>
      </c>
      <c r="C422" s="180" t="s">
        <v>1115</v>
      </c>
      <c r="D422" s="180" t="s">
        <v>974</v>
      </c>
      <c r="E422" s="180" t="s">
        <v>975</v>
      </c>
      <c r="F422" s="672">
        <v>424130.92</v>
      </c>
      <c r="G422" s="672">
        <v>19749.07</v>
      </c>
      <c r="H422" s="672">
        <v>26178.3</v>
      </c>
      <c r="I422" s="672">
        <v>25102.82</v>
      </c>
      <c r="J422" s="672">
        <v>23370.720000000001</v>
      </c>
      <c r="K422" s="672">
        <v>173943.44</v>
      </c>
      <c r="L422" s="672">
        <v>155786.57</v>
      </c>
    </row>
    <row r="423" spans="2:12">
      <c r="B423" s="180" t="s">
        <v>1555</v>
      </c>
      <c r="C423" s="180" t="s">
        <v>1325</v>
      </c>
      <c r="D423" s="180" t="s">
        <v>993</v>
      </c>
      <c r="E423" s="180" t="s">
        <v>990</v>
      </c>
      <c r="F423" s="672">
        <v>0</v>
      </c>
      <c r="G423" s="672">
        <v>0</v>
      </c>
      <c r="H423" s="672">
        <v>0</v>
      </c>
      <c r="I423" s="672">
        <v>0</v>
      </c>
      <c r="J423" s="672">
        <v>0</v>
      </c>
      <c r="K423" s="672">
        <v>0</v>
      </c>
      <c r="L423" s="672">
        <v>0</v>
      </c>
    </row>
    <row r="424" spans="2:12">
      <c r="B424" s="180" t="s">
        <v>1556</v>
      </c>
      <c r="C424" s="180" t="s">
        <v>1459</v>
      </c>
      <c r="D424" s="180" t="s">
        <v>993</v>
      </c>
      <c r="E424" s="180" t="s">
        <v>990</v>
      </c>
      <c r="F424" s="672">
        <v>0</v>
      </c>
      <c r="G424" s="672">
        <v>0</v>
      </c>
      <c r="H424" s="672">
        <v>0</v>
      </c>
      <c r="I424" s="672">
        <v>0</v>
      </c>
      <c r="J424" s="672">
        <v>0</v>
      </c>
      <c r="K424" s="672">
        <v>0</v>
      </c>
      <c r="L424" s="672">
        <v>0</v>
      </c>
    </row>
    <row r="425" spans="2:12">
      <c r="B425" s="180" t="s">
        <v>1557</v>
      </c>
      <c r="C425" s="180" t="s">
        <v>1032</v>
      </c>
      <c r="D425" s="180" t="s">
        <v>974</v>
      </c>
      <c r="E425" s="180" t="s">
        <v>980</v>
      </c>
      <c r="F425" s="672">
        <v>863876.57</v>
      </c>
      <c r="G425" s="672">
        <v>131954.68</v>
      </c>
      <c r="H425" s="672">
        <v>163054.94</v>
      </c>
      <c r="I425" s="672">
        <v>-301764.23</v>
      </c>
      <c r="J425" s="672">
        <v>134063.5</v>
      </c>
      <c r="K425" s="672">
        <v>665287.13</v>
      </c>
      <c r="L425" s="672">
        <v>71280.55</v>
      </c>
    </row>
    <row r="426" spans="2:12">
      <c r="B426" s="180" t="s">
        <v>1558</v>
      </c>
      <c r="C426" s="180" t="s">
        <v>1009</v>
      </c>
      <c r="D426" s="180" t="s">
        <v>974</v>
      </c>
      <c r="E426" s="180" t="s">
        <v>990</v>
      </c>
      <c r="F426" s="672">
        <v>0</v>
      </c>
      <c r="G426" s="672">
        <v>0</v>
      </c>
      <c r="H426" s="672">
        <v>0</v>
      </c>
      <c r="I426" s="672">
        <v>0</v>
      </c>
      <c r="J426" s="672">
        <v>0</v>
      </c>
      <c r="K426" s="672">
        <v>0</v>
      </c>
      <c r="L426" s="672">
        <v>0</v>
      </c>
    </row>
    <row r="427" spans="2:12">
      <c r="B427" s="180" t="s">
        <v>1215</v>
      </c>
      <c r="C427" s="180" t="s">
        <v>1216</v>
      </c>
      <c r="D427" s="180" t="s">
        <v>974</v>
      </c>
      <c r="E427" s="180" t="s">
        <v>980</v>
      </c>
      <c r="F427" s="672">
        <v>49567.05</v>
      </c>
      <c r="G427" s="672">
        <v>-46904.84</v>
      </c>
      <c r="H427" s="672">
        <v>-19292.29</v>
      </c>
      <c r="I427" s="672">
        <v>-443315.11</v>
      </c>
      <c r="J427" s="672">
        <v>44315.519999999997</v>
      </c>
      <c r="K427" s="672">
        <v>362090.47</v>
      </c>
      <c r="L427" s="672">
        <v>152673.29999999999</v>
      </c>
    </row>
    <row r="428" spans="2:12">
      <c r="B428" s="180" t="s">
        <v>1559</v>
      </c>
      <c r="C428" s="180" t="s">
        <v>1560</v>
      </c>
      <c r="D428" s="180" t="s">
        <v>974</v>
      </c>
      <c r="E428" s="180" t="s">
        <v>975</v>
      </c>
      <c r="F428" s="672">
        <v>16864.810000000001</v>
      </c>
      <c r="G428" s="672">
        <v>0</v>
      </c>
      <c r="H428" s="672">
        <v>0</v>
      </c>
      <c r="I428" s="672">
        <v>0</v>
      </c>
      <c r="J428" s="672">
        <v>0</v>
      </c>
      <c r="K428" s="672">
        <v>9861.0499999999993</v>
      </c>
      <c r="L428" s="672">
        <v>7003.76</v>
      </c>
    </row>
    <row r="429" spans="2:12">
      <c r="B429" s="180" t="s">
        <v>1561</v>
      </c>
      <c r="C429" s="180" t="s">
        <v>1562</v>
      </c>
      <c r="D429" s="180" t="s">
        <v>993</v>
      </c>
      <c r="E429" s="180" t="s">
        <v>990</v>
      </c>
      <c r="F429" s="672">
        <v>0</v>
      </c>
      <c r="G429" s="672">
        <v>0</v>
      </c>
      <c r="H429" s="672">
        <v>0</v>
      </c>
      <c r="I429" s="672">
        <v>0</v>
      </c>
      <c r="J429" s="672">
        <v>0</v>
      </c>
      <c r="K429" s="672">
        <v>0</v>
      </c>
      <c r="L429" s="672">
        <v>0</v>
      </c>
    </row>
    <row r="430" spans="2:12">
      <c r="B430" s="180" t="s">
        <v>1157</v>
      </c>
      <c r="C430" s="180" t="s">
        <v>1121</v>
      </c>
      <c r="D430" s="180" t="s">
        <v>993</v>
      </c>
      <c r="E430" s="180" t="s">
        <v>990</v>
      </c>
      <c r="F430" s="672">
        <v>0</v>
      </c>
      <c r="G430" s="672">
        <v>0</v>
      </c>
      <c r="H430" s="672">
        <v>0</v>
      </c>
      <c r="I430" s="672">
        <v>0</v>
      </c>
      <c r="J430" s="672">
        <v>0</v>
      </c>
      <c r="K430" s="672">
        <v>0</v>
      </c>
      <c r="L430" s="672">
        <v>0</v>
      </c>
    </row>
    <row r="431" spans="2:12">
      <c r="B431" s="180" t="s">
        <v>1563</v>
      </c>
      <c r="C431" s="180" t="s">
        <v>1564</v>
      </c>
      <c r="D431" s="180" t="s">
        <v>974</v>
      </c>
      <c r="E431" s="180" t="s">
        <v>980</v>
      </c>
      <c r="F431" s="672">
        <v>13609.33</v>
      </c>
      <c r="G431" s="672">
        <v>1400.14</v>
      </c>
      <c r="H431" s="672">
        <v>1794.38</v>
      </c>
      <c r="I431" s="672">
        <v>1803.83</v>
      </c>
      <c r="J431" s="672">
        <v>1629.32</v>
      </c>
      <c r="K431" s="672">
        <v>18095.66</v>
      </c>
      <c r="L431" s="672">
        <v>-11114</v>
      </c>
    </row>
    <row r="432" spans="2:12">
      <c r="B432" s="180" t="s">
        <v>1251</v>
      </c>
      <c r="C432" s="180" t="s">
        <v>1252</v>
      </c>
      <c r="D432" s="180" t="s">
        <v>974</v>
      </c>
      <c r="E432" s="180" t="s">
        <v>980</v>
      </c>
      <c r="F432" s="672">
        <v>-6413.13</v>
      </c>
      <c r="G432" s="672">
        <v>6533.33</v>
      </c>
      <c r="H432" s="672">
        <v>-83.22</v>
      </c>
      <c r="I432" s="672">
        <v>45.99</v>
      </c>
      <c r="J432" s="672">
        <v>-17.579999999999998</v>
      </c>
      <c r="K432" s="672">
        <v>-21094.61</v>
      </c>
      <c r="L432" s="672">
        <v>8202.9599999999991</v>
      </c>
    </row>
    <row r="433" spans="2:12">
      <c r="B433" s="180" t="s">
        <v>1304</v>
      </c>
      <c r="C433" s="180" t="s">
        <v>1305</v>
      </c>
      <c r="D433" s="180" t="s">
        <v>974</v>
      </c>
      <c r="E433" s="180" t="s">
        <v>990</v>
      </c>
      <c r="F433" s="672">
        <v>0</v>
      </c>
      <c r="G433" s="672">
        <v>0</v>
      </c>
      <c r="H433" s="672">
        <v>0</v>
      </c>
      <c r="I433" s="672">
        <v>0</v>
      </c>
      <c r="J433" s="672">
        <v>0</v>
      </c>
      <c r="K433" s="672">
        <v>0</v>
      </c>
      <c r="L433" s="672">
        <v>0</v>
      </c>
    </row>
    <row r="434" spans="2:12">
      <c r="B434" s="180" t="s">
        <v>1565</v>
      </c>
      <c r="C434" s="180" t="s">
        <v>1566</v>
      </c>
      <c r="D434" s="180" t="s">
        <v>993</v>
      </c>
      <c r="E434" s="180" t="s">
        <v>980</v>
      </c>
      <c r="F434" s="672">
        <v>345577.33</v>
      </c>
      <c r="G434" s="672">
        <v>9042.9599999999991</v>
      </c>
      <c r="H434" s="672">
        <v>10715.49</v>
      </c>
      <c r="I434" s="672">
        <v>10931.38</v>
      </c>
      <c r="J434" s="672">
        <v>11151.01</v>
      </c>
      <c r="K434" s="672">
        <v>75602.52</v>
      </c>
      <c r="L434" s="672">
        <v>228133.97</v>
      </c>
    </row>
    <row r="435" spans="2:12">
      <c r="B435" s="180" t="s">
        <v>1567</v>
      </c>
      <c r="C435" s="180" t="s">
        <v>982</v>
      </c>
      <c r="D435" s="180" t="s">
        <v>974</v>
      </c>
      <c r="E435" s="180" t="s">
        <v>980</v>
      </c>
      <c r="F435" s="672">
        <v>3901.61</v>
      </c>
      <c r="G435" s="672">
        <v>320.20999999999998</v>
      </c>
      <c r="H435" s="672">
        <v>-710.88</v>
      </c>
      <c r="I435" s="672">
        <v>116.89</v>
      </c>
      <c r="J435" s="672">
        <v>-372.66</v>
      </c>
      <c r="K435" s="672">
        <v>-31829.56</v>
      </c>
      <c r="L435" s="672">
        <v>36377.61</v>
      </c>
    </row>
    <row r="436" spans="2:12">
      <c r="B436" s="180" t="s">
        <v>1568</v>
      </c>
      <c r="C436" s="180" t="s">
        <v>1569</v>
      </c>
      <c r="D436" s="180" t="s">
        <v>974</v>
      </c>
      <c r="E436" s="180" t="s">
        <v>1078</v>
      </c>
      <c r="F436" s="672">
        <v>-4226</v>
      </c>
      <c r="G436" s="672">
        <v>-4226</v>
      </c>
      <c r="H436" s="672">
        <v>0</v>
      </c>
      <c r="I436" s="672">
        <v>0</v>
      </c>
      <c r="J436" s="672">
        <v>0</v>
      </c>
      <c r="K436" s="672">
        <v>0</v>
      </c>
      <c r="L436" s="672">
        <v>0</v>
      </c>
    </row>
    <row r="437" spans="2:12">
      <c r="B437" s="180" t="s">
        <v>1570</v>
      </c>
      <c r="C437" s="180" t="s">
        <v>1133</v>
      </c>
      <c r="D437" s="180" t="s">
        <v>993</v>
      </c>
      <c r="E437" s="180" t="s">
        <v>990</v>
      </c>
      <c r="F437" s="672">
        <v>0</v>
      </c>
      <c r="G437" s="672">
        <v>0</v>
      </c>
      <c r="H437" s="672">
        <v>0</v>
      </c>
      <c r="I437" s="672">
        <v>0</v>
      </c>
      <c r="J437" s="672">
        <v>0</v>
      </c>
      <c r="K437" s="672">
        <v>0</v>
      </c>
      <c r="L437" s="672">
        <v>0</v>
      </c>
    </row>
    <row r="438" spans="2:12">
      <c r="B438" s="180" t="s">
        <v>1518</v>
      </c>
      <c r="C438" s="180" t="s">
        <v>1084</v>
      </c>
      <c r="D438" s="180" t="s">
        <v>993</v>
      </c>
      <c r="E438" s="180" t="s">
        <v>975</v>
      </c>
      <c r="F438" s="672">
        <v>-33914.44</v>
      </c>
      <c r="G438" s="672">
        <v>0</v>
      </c>
      <c r="H438" s="672">
        <v>0</v>
      </c>
      <c r="I438" s="672">
        <v>0</v>
      </c>
      <c r="J438" s="672">
        <v>0</v>
      </c>
      <c r="K438" s="672">
        <v>0</v>
      </c>
      <c r="L438" s="672">
        <v>-33914.44</v>
      </c>
    </row>
    <row r="439" spans="2:12">
      <c r="B439" s="180" t="s">
        <v>1571</v>
      </c>
      <c r="C439" s="180" t="s">
        <v>1572</v>
      </c>
      <c r="D439" s="180" t="s">
        <v>974</v>
      </c>
      <c r="E439" s="180" t="s">
        <v>1363</v>
      </c>
      <c r="F439" s="672">
        <v>4522628.33</v>
      </c>
      <c r="G439" s="672">
        <v>-50029.08</v>
      </c>
      <c r="H439" s="672">
        <v>-50029.08</v>
      </c>
      <c r="I439" s="672">
        <v>-50029.08</v>
      </c>
      <c r="J439" s="672">
        <v>-50029.08</v>
      </c>
      <c r="K439" s="672">
        <v>-400232.64</v>
      </c>
      <c r="L439" s="672">
        <v>5122977.29</v>
      </c>
    </row>
    <row r="440" spans="2:12">
      <c r="B440" s="180" t="s">
        <v>1573</v>
      </c>
      <c r="C440" s="180" t="s">
        <v>1005</v>
      </c>
      <c r="D440" s="180" t="s">
        <v>993</v>
      </c>
      <c r="E440" s="180" t="s">
        <v>980</v>
      </c>
      <c r="F440" s="672">
        <v>43114.59</v>
      </c>
      <c r="G440" s="672">
        <v>768.75</v>
      </c>
      <c r="H440" s="672">
        <v>844.96</v>
      </c>
      <c r="I440" s="672">
        <v>909.2</v>
      </c>
      <c r="J440" s="672">
        <v>994.15</v>
      </c>
      <c r="K440" s="672">
        <v>6763.21</v>
      </c>
      <c r="L440" s="672">
        <v>32834.32</v>
      </c>
    </row>
    <row r="441" spans="2:12">
      <c r="B441" s="180" t="s">
        <v>1574</v>
      </c>
      <c r="C441" s="180" t="s">
        <v>1397</v>
      </c>
      <c r="D441" s="180" t="s">
        <v>993</v>
      </c>
      <c r="E441" s="180" t="s">
        <v>975</v>
      </c>
      <c r="F441" s="672">
        <v>-79684.53</v>
      </c>
      <c r="G441" s="672">
        <v>0</v>
      </c>
      <c r="H441" s="672">
        <v>0</v>
      </c>
      <c r="I441" s="672">
        <v>0</v>
      </c>
      <c r="J441" s="672">
        <v>0</v>
      </c>
      <c r="K441" s="672">
        <v>-51136.38</v>
      </c>
      <c r="L441" s="672">
        <v>-28548.15</v>
      </c>
    </row>
    <row r="442" spans="2:12">
      <c r="B442" s="180" t="s">
        <v>1575</v>
      </c>
      <c r="C442" s="180" t="s">
        <v>1258</v>
      </c>
      <c r="D442" s="180" t="s">
        <v>993</v>
      </c>
      <c r="E442" s="180" t="s">
        <v>990</v>
      </c>
      <c r="F442" s="672">
        <v>0</v>
      </c>
      <c r="G442" s="672">
        <v>0</v>
      </c>
      <c r="H442" s="672">
        <v>0</v>
      </c>
      <c r="I442" s="672">
        <v>0</v>
      </c>
      <c r="J442" s="672">
        <v>0</v>
      </c>
      <c r="K442" s="672">
        <v>0</v>
      </c>
      <c r="L442" s="672">
        <v>0</v>
      </c>
    </row>
    <row r="443" spans="2:12">
      <c r="B443" s="180" t="s">
        <v>1576</v>
      </c>
      <c r="C443" s="180" t="s">
        <v>1577</v>
      </c>
      <c r="D443" s="180" t="s">
        <v>974</v>
      </c>
      <c r="E443" s="180" t="s">
        <v>990</v>
      </c>
      <c r="F443" s="672">
        <v>-13.06</v>
      </c>
      <c r="G443" s="672">
        <v>0</v>
      </c>
      <c r="H443" s="672">
        <v>0</v>
      </c>
      <c r="I443" s="672">
        <v>0</v>
      </c>
      <c r="J443" s="672">
        <v>0</v>
      </c>
      <c r="K443" s="672">
        <v>0</v>
      </c>
      <c r="L443" s="672">
        <v>-13.06</v>
      </c>
    </row>
    <row r="444" spans="2:12">
      <c r="B444" s="180" t="s">
        <v>1578</v>
      </c>
      <c r="C444" s="180" t="s">
        <v>1579</v>
      </c>
      <c r="D444" s="180" t="s">
        <v>974</v>
      </c>
      <c r="E444" s="180" t="s">
        <v>980</v>
      </c>
      <c r="F444" s="672">
        <v>5607199.4199999999</v>
      </c>
      <c r="G444" s="672">
        <v>130822.61</v>
      </c>
      <c r="H444" s="672">
        <v>131013.73</v>
      </c>
      <c r="I444" s="672">
        <v>130059.61</v>
      </c>
      <c r="J444" s="672">
        <v>135014.85</v>
      </c>
      <c r="K444" s="672">
        <v>1013395.96</v>
      </c>
      <c r="L444" s="672">
        <v>4066892.66</v>
      </c>
    </row>
    <row r="445" spans="2:12">
      <c r="B445" s="180" t="s">
        <v>1368</v>
      </c>
      <c r="C445" s="180" t="s">
        <v>1369</v>
      </c>
      <c r="D445" s="180" t="s">
        <v>993</v>
      </c>
      <c r="E445" s="180" t="s">
        <v>975</v>
      </c>
      <c r="F445" s="672">
        <v>-3309.08</v>
      </c>
      <c r="G445" s="672">
        <v>0</v>
      </c>
      <c r="H445" s="672">
        <v>0</v>
      </c>
      <c r="I445" s="672">
        <v>0</v>
      </c>
      <c r="J445" s="672">
        <v>0</v>
      </c>
      <c r="K445" s="672">
        <v>0</v>
      </c>
      <c r="L445" s="672">
        <v>-3309.08</v>
      </c>
    </row>
    <row r="446" spans="2:12">
      <c r="B446" s="180" t="s">
        <v>1580</v>
      </c>
      <c r="C446" s="180" t="s">
        <v>1581</v>
      </c>
      <c r="D446" s="180" t="s">
        <v>974</v>
      </c>
      <c r="E446" s="180" t="s">
        <v>975</v>
      </c>
      <c r="F446" s="672">
        <v>706301.59</v>
      </c>
      <c r="G446" s="672">
        <v>0</v>
      </c>
      <c r="H446" s="672">
        <v>0</v>
      </c>
      <c r="I446" s="672">
        <v>0</v>
      </c>
      <c r="J446" s="672">
        <v>0</v>
      </c>
      <c r="K446" s="672">
        <v>110635.96</v>
      </c>
      <c r="L446" s="672">
        <v>595665.63</v>
      </c>
    </row>
    <row r="447" spans="2:12">
      <c r="B447" s="180" t="s">
        <v>1582</v>
      </c>
      <c r="C447" s="180" t="s">
        <v>1583</v>
      </c>
      <c r="D447" s="180" t="s">
        <v>974</v>
      </c>
      <c r="E447" s="180" t="s">
        <v>990</v>
      </c>
      <c r="F447" s="672">
        <v>0</v>
      </c>
      <c r="G447" s="672">
        <v>0</v>
      </c>
      <c r="H447" s="672">
        <v>0</v>
      </c>
      <c r="I447" s="672">
        <v>0</v>
      </c>
      <c r="J447" s="672">
        <v>0</v>
      </c>
      <c r="K447" s="672">
        <v>0</v>
      </c>
      <c r="L447" s="672">
        <v>0</v>
      </c>
    </row>
    <row r="448" spans="2:12">
      <c r="B448" s="180" t="s">
        <v>1584</v>
      </c>
      <c r="C448" s="180" t="s">
        <v>1585</v>
      </c>
      <c r="D448" s="180" t="s">
        <v>974</v>
      </c>
      <c r="E448" s="180" t="s">
        <v>990</v>
      </c>
      <c r="F448" s="672">
        <v>0</v>
      </c>
      <c r="G448" s="672">
        <v>0</v>
      </c>
      <c r="H448" s="672">
        <v>0</v>
      </c>
      <c r="I448" s="672">
        <v>0</v>
      </c>
      <c r="J448" s="672">
        <v>0</v>
      </c>
      <c r="K448" s="672">
        <v>0</v>
      </c>
      <c r="L448" s="672">
        <v>0</v>
      </c>
    </row>
    <row r="449" spans="2:12">
      <c r="B449" s="180" t="s">
        <v>1166</v>
      </c>
      <c r="C449" s="180" t="s">
        <v>1167</v>
      </c>
      <c r="D449" s="180" t="s">
        <v>993</v>
      </c>
      <c r="E449" s="180" t="s">
        <v>1018</v>
      </c>
      <c r="F449" s="672">
        <v>0</v>
      </c>
      <c r="G449" s="672">
        <v>0</v>
      </c>
      <c r="H449" s="672">
        <v>0</v>
      </c>
      <c r="I449" s="672">
        <v>0</v>
      </c>
      <c r="J449" s="672">
        <v>0</v>
      </c>
      <c r="K449" s="672">
        <v>0</v>
      </c>
      <c r="L449" s="672">
        <v>0</v>
      </c>
    </row>
    <row r="450" spans="2:12">
      <c r="B450" s="180" t="s">
        <v>1586</v>
      </c>
      <c r="C450" s="180" t="s">
        <v>1587</v>
      </c>
      <c r="D450" s="180" t="s">
        <v>974</v>
      </c>
      <c r="E450" s="180" t="s">
        <v>975</v>
      </c>
      <c r="F450" s="672">
        <v>7593</v>
      </c>
      <c r="G450" s="672">
        <v>0</v>
      </c>
      <c r="H450" s="672">
        <v>0</v>
      </c>
      <c r="I450" s="672">
        <v>0</v>
      </c>
      <c r="J450" s="672">
        <v>0</v>
      </c>
      <c r="K450" s="672">
        <v>0</v>
      </c>
      <c r="L450" s="672">
        <v>7593</v>
      </c>
    </row>
    <row r="451" spans="2:12">
      <c r="B451" s="180" t="s">
        <v>1179</v>
      </c>
      <c r="C451" s="180" t="s">
        <v>1180</v>
      </c>
      <c r="D451" s="180" t="s">
        <v>974</v>
      </c>
      <c r="E451" s="180" t="s">
        <v>975</v>
      </c>
      <c r="F451" s="672">
        <v>22374.93</v>
      </c>
      <c r="G451" s="672">
        <v>0</v>
      </c>
      <c r="H451" s="672">
        <v>0</v>
      </c>
      <c r="I451" s="672">
        <v>0</v>
      </c>
      <c r="J451" s="672">
        <v>0</v>
      </c>
      <c r="K451" s="672">
        <v>0</v>
      </c>
      <c r="L451" s="672">
        <v>22374.93</v>
      </c>
    </row>
    <row r="452" spans="2:12">
      <c r="B452" s="180" t="s">
        <v>1505</v>
      </c>
      <c r="C452" s="180" t="s">
        <v>1506</v>
      </c>
      <c r="D452" s="180" t="s">
        <v>993</v>
      </c>
      <c r="E452" s="180" t="s">
        <v>975</v>
      </c>
      <c r="F452" s="672">
        <v>2728.54</v>
      </c>
      <c r="G452" s="672">
        <v>0</v>
      </c>
      <c r="H452" s="672">
        <v>0</v>
      </c>
      <c r="I452" s="672">
        <v>0</v>
      </c>
      <c r="J452" s="672">
        <v>0</v>
      </c>
      <c r="K452" s="672">
        <v>0</v>
      </c>
      <c r="L452" s="672">
        <v>2728.54</v>
      </c>
    </row>
    <row r="453" spans="2:12">
      <c r="B453" s="180" t="s">
        <v>1588</v>
      </c>
      <c r="C453" s="180" t="s">
        <v>1589</v>
      </c>
      <c r="D453" s="180" t="s">
        <v>974</v>
      </c>
      <c r="E453" s="180" t="s">
        <v>980</v>
      </c>
      <c r="F453" s="672">
        <v>-12012.93</v>
      </c>
      <c r="G453" s="672">
        <v>2687.03</v>
      </c>
      <c r="H453" s="672">
        <v>3868.77</v>
      </c>
      <c r="I453" s="672">
        <v>3840.05</v>
      </c>
      <c r="J453" s="672">
        <v>3874.91</v>
      </c>
      <c r="K453" s="672">
        <v>28168.81</v>
      </c>
      <c r="L453" s="672">
        <v>-54452.5</v>
      </c>
    </row>
    <row r="454" spans="2:12">
      <c r="B454" s="180" t="s">
        <v>1590</v>
      </c>
      <c r="C454" s="180" t="s">
        <v>989</v>
      </c>
      <c r="D454" s="180" t="s">
        <v>974</v>
      </c>
      <c r="E454" s="180" t="s">
        <v>990</v>
      </c>
      <c r="F454" s="672">
        <v>0</v>
      </c>
      <c r="G454" s="672">
        <v>0</v>
      </c>
      <c r="H454" s="672">
        <v>0</v>
      </c>
      <c r="I454" s="672">
        <v>0</v>
      </c>
      <c r="J454" s="672">
        <v>0</v>
      </c>
      <c r="K454" s="672">
        <v>0</v>
      </c>
      <c r="L454" s="672">
        <v>0</v>
      </c>
    </row>
    <row r="455" spans="2:12">
      <c r="B455" s="180" t="s">
        <v>1081</v>
      </c>
      <c r="C455" s="180" t="s">
        <v>1082</v>
      </c>
      <c r="D455" s="180" t="s">
        <v>993</v>
      </c>
      <c r="E455" s="180" t="s">
        <v>990</v>
      </c>
      <c r="F455" s="672">
        <v>0</v>
      </c>
      <c r="G455" s="672">
        <v>0</v>
      </c>
      <c r="H455" s="672">
        <v>0</v>
      </c>
      <c r="I455" s="672">
        <v>0</v>
      </c>
      <c r="J455" s="672">
        <v>0</v>
      </c>
      <c r="K455" s="672">
        <v>0</v>
      </c>
      <c r="L455" s="672">
        <v>0</v>
      </c>
    </row>
    <row r="456" spans="2:12">
      <c r="B456" s="180" t="s">
        <v>1591</v>
      </c>
      <c r="C456" s="180" t="s">
        <v>1592</v>
      </c>
      <c r="D456" s="180" t="s">
        <v>974</v>
      </c>
      <c r="E456" s="180" t="s">
        <v>980</v>
      </c>
      <c r="F456" s="672">
        <v>3779.97</v>
      </c>
      <c r="G456" s="672">
        <v>2611.64</v>
      </c>
      <c r="H456" s="672">
        <v>-3021.5</v>
      </c>
      <c r="I456" s="672">
        <v>352.98</v>
      </c>
      <c r="J456" s="672">
        <v>2936.69</v>
      </c>
      <c r="K456" s="672">
        <v>243.05</v>
      </c>
      <c r="L456" s="672">
        <v>657.11</v>
      </c>
    </row>
    <row r="457" spans="2:12">
      <c r="B457" s="180" t="s">
        <v>1382</v>
      </c>
      <c r="C457" s="180" t="s">
        <v>1383</v>
      </c>
      <c r="D457" s="180" t="s">
        <v>974</v>
      </c>
      <c r="E457" s="180" t="s">
        <v>990</v>
      </c>
      <c r="F457" s="672">
        <v>0</v>
      </c>
      <c r="G457" s="672">
        <v>0</v>
      </c>
      <c r="H457" s="672">
        <v>0</v>
      </c>
      <c r="I457" s="672">
        <v>0</v>
      </c>
      <c r="J457" s="672">
        <v>0</v>
      </c>
      <c r="K457" s="672">
        <v>0</v>
      </c>
      <c r="L457" s="672">
        <v>0</v>
      </c>
    </row>
    <row r="458" spans="2:12">
      <c r="B458" s="180" t="s">
        <v>1350</v>
      </c>
      <c r="C458" s="180" t="s">
        <v>1351</v>
      </c>
      <c r="D458" s="180" t="s">
        <v>974</v>
      </c>
      <c r="E458" s="180" t="s">
        <v>980</v>
      </c>
      <c r="F458" s="672">
        <v>56592.95</v>
      </c>
      <c r="G458" s="672">
        <v>27597.05</v>
      </c>
      <c r="H458" s="672">
        <v>-2433.5700000000002</v>
      </c>
      <c r="I458" s="672">
        <v>5494.91</v>
      </c>
      <c r="J458" s="672">
        <v>-10205.27</v>
      </c>
      <c r="K458" s="672">
        <v>10536.41</v>
      </c>
      <c r="L458" s="672">
        <v>25603.42</v>
      </c>
    </row>
    <row r="459" spans="2:12">
      <c r="B459" s="180" t="s">
        <v>1593</v>
      </c>
      <c r="C459" s="180" t="s">
        <v>1302</v>
      </c>
      <c r="D459" s="180" t="s">
        <v>993</v>
      </c>
      <c r="E459" s="180" t="s">
        <v>975</v>
      </c>
      <c r="F459" s="672">
        <v>-48073.760000000002</v>
      </c>
      <c r="G459" s="672">
        <v>0</v>
      </c>
      <c r="H459" s="672">
        <v>0</v>
      </c>
      <c r="I459" s="672">
        <v>0</v>
      </c>
      <c r="J459" s="672">
        <v>0</v>
      </c>
      <c r="K459" s="672">
        <v>0</v>
      </c>
      <c r="L459" s="672">
        <v>-48073.760000000002</v>
      </c>
    </row>
    <row r="460" spans="2:12">
      <c r="B460" s="180" t="s">
        <v>1594</v>
      </c>
      <c r="C460" s="180" t="s">
        <v>1595</v>
      </c>
      <c r="D460" s="180" t="s">
        <v>974</v>
      </c>
      <c r="E460" s="180" t="s">
        <v>1363</v>
      </c>
      <c r="F460" s="672">
        <v>458046.62</v>
      </c>
      <c r="G460" s="672">
        <v>-69401.009999999995</v>
      </c>
      <c r="H460" s="672">
        <v>-69401.009999999995</v>
      </c>
      <c r="I460" s="672">
        <v>32120.31</v>
      </c>
      <c r="J460" s="672">
        <v>-114327.24</v>
      </c>
      <c r="K460" s="672">
        <v>-426341.24</v>
      </c>
      <c r="L460" s="672">
        <v>1105396.81</v>
      </c>
    </row>
    <row r="461" spans="2:12">
      <c r="B461" s="180" t="s">
        <v>1596</v>
      </c>
      <c r="C461" s="180" t="s">
        <v>1597</v>
      </c>
      <c r="D461" s="180" t="s">
        <v>974</v>
      </c>
      <c r="E461" s="180" t="s">
        <v>975</v>
      </c>
      <c r="F461" s="672">
        <v>-151176.95000000001</v>
      </c>
      <c r="G461" s="672">
        <v>0</v>
      </c>
      <c r="H461" s="672">
        <v>0</v>
      </c>
      <c r="I461" s="672">
        <v>0</v>
      </c>
      <c r="J461" s="672">
        <v>0</v>
      </c>
      <c r="K461" s="672">
        <v>0</v>
      </c>
      <c r="L461" s="672">
        <v>-151176.95000000001</v>
      </c>
    </row>
    <row r="462" spans="2:12">
      <c r="B462" s="180" t="s">
        <v>1598</v>
      </c>
      <c r="C462" s="180" t="s">
        <v>1036</v>
      </c>
      <c r="D462" s="180" t="s">
        <v>993</v>
      </c>
      <c r="E462" s="180" t="s">
        <v>980</v>
      </c>
      <c r="F462" s="672">
        <v>37704.11</v>
      </c>
      <c r="G462" s="672">
        <v>646.15</v>
      </c>
      <c r="H462" s="672">
        <v>781.26</v>
      </c>
      <c r="I462" s="672">
        <v>1056.47</v>
      </c>
      <c r="J462" s="672">
        <v>1040.9000000000001</v>
      </c>
      <c r="K462" s="672">
        <v>6247.25</v>
      </c>
      <c r="L462" s="672">
        <v>27932.080000000002</v>
      </c>
    </row>
    <row r="463" spans="2:12">
      <c r="B463" s="180" t="s">
        <v>1599</v>
      </c>
      <c r="C463" s="180" t="s">
        <v>1600</v>
      </c>
      <c r="D463" s="180" t="s">
        <v>974</v>
      </c>
      <c r="E463" s="180" t="s">
        <v>980</v>
      </c>
      <c r="F463" s="672">
        <v>-4273.59</v>
      </c>
      <c r="G463" s="672">
        <v>0</v>
      </c>
      <c r="H463" s="672">
        <v>0</v>
      </c>
      <c r="I463" s="672">
        <v>0</v>
      </c>
      <c r="J463" s="672">
        <v>0</v>
      </c>
      <c r="K463" s="672">
        <v>0</v>
      </c>
      <c r="L463" s="672">
        <v>-4273.59</v>
      </c>
    </row>
    <row r="464" spans="2:12">
      <c r="B464" s="180" t="s">
        <v>1149</v>
      </c>
      <c r="C464" s="180" t="s">
        <v>1150</v>
      </c>
      <c r="D464" s="180" t="s">
        <v>974</v>
      </c>
      <c r="E464" s="180" t="s">
        <v>975</v>
      </c>
      <c r="F464" s="672">
        <v>56855.43</v>
      </c>
      <c r="G464" s="672">
        <v>0</v>
      </c>
      <c r="H464" s="672">
        <v>0</v>
      </c>
      <c r="I464" s="672">
        <v>0</v>
      </c>
      <c r="J464" s="672">
        <v>0</v>
      </c>
      <c r="K464" s="672">
        <v>0</v>
      </c>
      <c r="L464" s="672">
        <v>56855.43</v>
      </c>
    </row>
    <row r="465" spans="2:12">
      <c r="B465" s="180" t="s">
        <v>1145</v>
      </c>
      <c r="C465" s="180" t="s">
        <v>1146</v>
      </c>
      <c r="D465" s="180" t="s">
        <v>974</v>
      </c>
      <c r="E465" s="180" t="s">
        <v>990</v>
      </c>
      <c r="F465" s="672">
        <v>0</v>
      </c>
      <c r="G465" s="672">
        <v>0</v>
      </c>
      <c r="H465" s="672">
        <v>0</v>
      </c>
      <c r="I465" s="672">
        <v>0</v>
      </c>
      <c r="J465" s="672">
        <v>0</v>
      </c>
      <c r="K465" s="672">
        <v>0</v>
      </c>
      <c r="L465" s="672">
        <v>0</v>
      </c>
    </row>
    <row r="466" spans="2:12">
      <c r="B466" s="180" t="s">
        <v>1601</v>
      </c>
      <c r="C466" s="180" t="s">
        <v>1602</v>
      </c>
      <c r="D466" s="180" t="s">
        <v>974</v>
      </c>
      <c r="E466" s="180" t="s">
        <v>980</v>
      </c>
      <c r="F466" s="672">
        <v>2638723.17</v>
      </c>
      <c r="G466" s="672">
        <v>60958.65</v>
      </c>
      <c r="H466" s="672">
        <v>61237.67</v>
      </c>
      <c r="I466" s="672">
        <v>61303.46</v>
      </c>
      <c r="J466" s="672">
        <v>61452.82</v>
      </c>
      <c r="K466" s="672">
        <v>480573.3</v>
      </c>
      <c r="L466" s="672">
        <v>1913197.27</v>
      </c>
    </row>
    <row r="467" spans="2:12">
      <c r="B467" s="180" t="s">
        <v>1261</v>
      </c>
      <c r="C467" s="180" t="s">
        <v>1262</v>
      </c>
      <c r="D467" s="180" t="s">
        <v>974</v>
      </c>
      <c r="E467" s="180" t="s">
        <v>990</v>
      </c>
      <c r="F467" s="672">
        <v>-118.79</v>
      </c>
      <c r="G467" s="672">
        <v>0</v>
      </c>
      <c r="H467" s="672">
        <v>0</v>
      </c>
      <c r="I467" s="672">
        <v>0</v>
      </c>
      <c r="J467" s="672">
        <v>0</v>
      </c>
      <c r="K467" s="672">
        <v>0</v>
      </c>
      <c r="L467" s="672">
        <v>-118.79</v>
      </c>
    </row>
    <row r="468" spans="2:12">
      <c r="B468" s="180" t="s">
        <v>1415</v>
      </c>
      <c r="C468" s="180" t="s">
        <v>1416</v>
      </c>
      <c r="D468" s="180" t="s">
        <v>974</v>
      </c>
      <c r="E468" s="180" t="s">
        <v>980</v>
      </c>
      <c r="F468" s="672">
        <v>7049498.7000000002</v>
      </c>
      <c r="G468" s="672">
        <v>161904.85999999999</v>
      </c>
      <c r="H468" s="672">
        <v>166343.14000000001</v>
      </c>
      <c r="I468" s="672">
        <v>165276.07</v>
      </c>
      <c r="J468" s="672">
        <v>164999.57999999999</v>
      </c>
      <c r="K468" s="672">
        <v>1275777.6299999999</v>
      </c>
      <c r="L468" s="672">
        <v>5115197.42</v>
      </c>
    </row>
    <row r="469" spans="2:12">
      <c r="B469" s="180" t="s">
        <v>1603</v>
      </c>
      <c r="C469" s="180" t="s">
        <v>1604</v>
      </c>
      <c r="D469" s="180" t="s">
        <v>974</v>
      </c>
      <c r="E469" s="180" t="s">
        <v>980</v>
      </c>
      <c r="F469" s="672">
        <v>1666916.78</v>
      </c>
      <c r="G469" s="672">
        <v>-109575.91</v>
      </c>
      <c r="H469" s="672">
        <v>705391.12</v>
      </c>
      <c r="I469" s="672">
        <v>79673.460000000006</v>
      </c>
      <c r="J469" s="672">
        <v>30063.09</v>
      </c>
      <c r="K469" s="672">
        <v>-744946.5</v>
      </c>
      <c r="L469" s="672">
        <v>1706311.52</v>
      </c>
    </row>
    <row r="470" spans="2:12">
      <c r="B470" s="180" t="s">
        <v>1283</v>
      </c>
      <c r="C470" s="180" t="s">
        <v>1131</v>
      </c>
      <c r="D470" s="180" t="s">
        <v>974</v>
      </c>
      <c r="E470" s="180" t="s">
        <v>980</v>
      </c>
      <c r="F470" s="672">
        <v>37477.74</v>
      </c>
      <c r="G470" s="672">
        <v>-4476.1899999999996</v>
      </c>
      <c r="H470" s="672">
        <v>-39749.29</v>
      </c>
      <c r="I470" s="672">
        <v>43480.11</v>
      </c>
      <c r="J470" s="672">
        <v>-4771.41</v>
      </c>
      <c r="K470" s="672">
        <v>15920.03</v>
      </c>
      <c r="L470" s="672">
        <v>27074.49</v>
      </c>
    </row>
    <row r="471" spans="2:12">
      <c r="B471" s="180" t="s">
        <v>1154</v>
      </c>
      <c r="C471" s="180" t="s">
        <v>1065</v>
      </c>
      <c r="D471" s="180" t="s">
        <v>993</v>
      </c>
      <c r="E471" s="180" t="s">
        <v>983</v>
      </c>
      <c r="F471" s="672">
        <v>39499.870000000003</v>
      </c>
      <c r="G471" s="672">
        <v>822.05</v>
      </c>
      <c r="H471" s="672">
        <v>1212.5899999999999</v>
      </c>
      <c r="I471" s="672">
        <v>1160.92</v>
      </c>
      <c r="J471" s="672">
        <v>1194.3</v>
      </c>
      <c r="K471" s="672">
        <v>9286.69</v>
      </c>
      <c r="L471" s="672">
        <v>25823.32</v>
      </c>
    </row>
    <row r="472" spans="2:12">
      <c r="B472" s="180" t="s">
        <v>1605</v>
      </c>
      <c r="C472" s="180" t="s">
        <v>1439</v>
      </c>
      <c r="D472" s="180" t="s">
        <v>993</v>
      </c>
      <c r="E472" s="180" t="s">
        <v>975</v>
      </c>
      <c r="F472" s="672">
        <v>-33760.97</v>
      </c>
      <c r="G472" s="672">
        <v>0</v>
      </c>
      <c r="H472" s="672">
        <v>0</v>
      </c>
      <c r="I472" s="672">
        <v>0</v>
      </c>
      <c r="J472" s="672">
        <v>0</v>
      </c>
      <c r="K472" s="672">
        <v>0</v>
      </c>
      <c r="L472" s="672">
        <v>-33760.97</v>
      </c>
    </row>
    <row r="473" spans="2:12">
      <c r="B473" s="180" t="s">
        <v>1460</v>
      </c>
      <c r="C473" s="180" t="s">
        <v>1365</v>
      </c>
      <c r="D473" s="180" t="s">
        <v>993</v>
      </c>
      <c r="E473" s="180" t="s">
        <v>975</v>
      </c>
      <c r="F473" s="672">
        <v>-14428.04</v>
      </c>
      <c r="G473" s="672">
        <v>0</v>
      </c>
      <c r="H473" s="672">
        <v>0</v>
      </c>
      <c r="I473" s="672">
        <v>0</v>
      </c>
      <c r="J473" s="672">
        <v>0</v>
      </c>
      <c r="K473" s="672">
        <v>-12301.25</v>
      </c>
      <c r="L473" s="672">
        <v>-2126.79</v>
      </c>
    </row>
    <row r="474" spans="2:12">
      <c r="B474" s="180" t="s">
        <v>1448</v>
      </c>
      <c r="C474" s="180" t="s">
        <v>1333</v>
      </c>
      <c r="D474" s="180" t="s">
        <v>993</v>
      </c>
      <c r="E474" s="180" t="s">
        <v>980</v>
      </c>
      <c r="F474" s="672">
        <v>1685006.13</v>
      </c>
      <c r="G474" s="672">
        <v>38229.58</v>
      </c>
      <c r="H474" s="672">
        <v>43249.19</v>
      </c>
      <c r="I474" s="672">
        <v>46398.7</v>
      </c>
      <c r="J474" s="672">
        <v>41953.97</v>
      </c>
      <c r="K474" s="672">
        <v>434548.82</v>
      </c>
      <c r="L474" s="672">
        <v>1080625.8700000001</v>
      </c>
    </row>
    <row r="475" spans="2:12">
      <c r="B475" s="180" t="s">
        <v>1606</v>
      </c>
      <c r="C475" s="180" t="s">
        <v>1607</v>
      </c>
      <c r="D475" s="180" t="s">
        <v>974</v>
      </c>
      <c r="E475" s="180" t="s">
        <v>983</v>
      </c>
      <c r="F475" s="672">
        <v>0</v>
      </c>
      <c r="G475" s="672">
        <v>0</v>
      </c>
      <c r="H475" s="672">
        <v>0.33</v>
      </c>
      <c r="I475" s="672">
        <v>-0.33</v>
      </c>
      <c r="J475" s="672">
        <v>0</v>
      </c>
      <c r="K475" s="672">
        <v>0</v>
      </c>
      <c r="L475" s="672">
        <v>0</v>
      </c>
    </row>
    <row r="476" spans="2:12">
      <c r="B476" s="180" t="s">
        <v>1608</v>
      </c>
      <c r="C476" s="180" t="s">
        <v>1302</v>
      </c>
      <c r="D476" s="180" t="s">
        <v>993</v>
      </c>
      <c r="E476" s="180" t="s">
        <v>980</v>
      </c>
      <c r="F476" s="672">
        <v>2447995.27</v>
      </c>
      <c r="G476" s="672">
        <v>69540.539999999994</v>
      </c>
      <c r="H476" s="672">
        <v>73320.38</v>
      </c>
      <c r="I476" s="672">
        <v>69696.789999999994</v>
      </c>
      <c r="J476" s="672">
        <v>367809.75</v>
      </c>
      <c r="K476" s="672">
        <v>527107.17000000004</v>
      </c>
      <c r="L476" s="672">
        <v>1340520.6399999999</v>
      </c>
    </row>
    <row r="477" spans="2:12">
      <c r="B477" s="180" t="s">
        <v>1276</v>
      </c>
      <c r="C477" s="180" t="s">
        <v>1277</v>
      </c>
      <c r="D477" s="180" t="s">
        <v>993</v>
      </c>
      <c r="E477" s="180" t="s">
        <v>1078</v>
      </c>
      <c r="F477" s="672">
        <v>0</v>
      </c>
      <c r="G477" s="672">
        <v>-1100</v>
      </c>
      <c r="H477" s="672">
        <v>0</v>
      </c>
      <c r="I477" s="672">
        <v>0</v>
      </c>
      <c r="J477" s="672">
        <v>0</v>
      </c>
      <c r="K477" s="672">
        <v>0</v>
      </c>
      <c r="L477" s="672">
        <v>1100</v>
      </c>
    </row>
    <row r="478" spans="2:12">
      <c r="B478" s="180" t="s">
        <v>1516</v>
      </c>
      <c r="C478" s="180" t="s">
        <v>1517</v>
      </c>
      <c r="D478" s="180" t="s">
        <v>974</v>
      </c>
      <c r="E478" s="180" t="s">
        <v>980</v>
      </c>
      <c r="F478" s="672">
        <v>4899850.2300000004</v>
      </c>
      <c r="G478" s="672">
        <v>113949.52</v>
      </c>
      <c r="H478" s="672">
        <v>114019.18</v>
      </c>
      <c r="I478" s="672">
        <v>114011.2</v>
      </c>
      <c r="J478" s="672">
        <v>113780.32</v>
      </c>
      <c r="K478" s="672">
        <v>894299.54</v>
      </c>
      <c r="L478" s="672">
        <v>3549790.47</v>
      </c>
    </row>
    <row r="479" spans="2:12">
      <c r="B479" s="180" t="s">
        <v>1099</v>
      </c>
      <c r="C479" s="180" t="s">
        <v>1100</v>
      </c>
      <c r="D479" s="180" t="s">
        <v>974</v>
      </c>
      <c r="E479" s="180" t="s">
        <v>980</v>
      </c>
      <c r="F479" s="672">
        <v>519.82000000000005</v>
      </c>
      <c r="G479" s="672">
        <v>327.18</v>
      </c>
      <c r="H479" s="672">
        <v>543.09</v>
      </c>
      <c r="I479" s="672">
        <v>751.53</v>
      </c>
      <c r="J479" s="672">
        <v>360.35</v>
      </c>
      <c r="K479" s="672">
        <v>226.53</v>
      </c>
      <c r="L479" s="672">
        <v>-1688.86</v>
      </c>
    </row>
    <row r="480" spans="2:12">
      <c r="B480" s="180" t="s">
        <v>1217</v>
      </c>
      <c r="C480" s="180" t="s">
        <v>1218</v>
      </c>
      <c r="D480" s="180" t="s">
        <v>974</v>
      </c>
      <c r="E480" s="180" t="s">
        <v>990</v>
      </c>
      <c r="F480" s="672">
        <v>0</v>
      </c>
      <c r="G480" s="672">
        <v>0</v>
      </c>
      <c r="H480" s="672">
        <v>0</v>
      </c>
      <c r="I480" s="672">
        <v>0</v>
      </c>
      <c r="J480" s="672">
        <v>0</v>
      </c>
      <c r="K480" s="672">
        <v>0</v>
      </c>
      <c r="L480" s="672">
        <v>0</v>
      </c>
    </row>
    <row r="481" spans="2:12">
      <c r="B481" s="180" t="s">
        <v>1442</v>
      </c>
      <c r="C481" s="180" t="s">
        <v>1443</v>
      </c>
      <c r="D481" s="180" t="s">
        <v>974</v>
      </c>
      <c r="E481" s="180" t="s">
        <v>990</v>
      </c>
      <c r="F481" s="672">
        <v>0</v>
      </c>
      <c r="G481" s="672">
        <v>0</v>
      </c>
      <c r="H481" s="672">
        <v>0</v>
      </c>
      <c r="I481" s="672">
        <v>0</v>
      </c>
      <c r="J481" s="672">
        <v>0</v>
      </c>
      <c r="K481" s="672">
        <v>0</v>
      </c>
      <c r="L481" s="672">
        <v>0</v>
      </c>
    </row>
    <row r="482" spans="2:12">
      <c r="B482" s="180" t="s">
        <v>1609</v>
      </c>
      <c r="C482" s="180" t="s">
        <v>1610</v>
      </c>
      <c r="D482" s="180" t="s">
        <v>974</v>
      </c>
      <c r="E482" s="180" t="s">
        <v>980</v>
      </c>
      <c r="F482" s="672">
        <v>-1.53</v>
      </c>
      <c r="G482" s="672">
        <v>-3256.5</v>
      </c>
      <c r="H482" s="672">
        <v>-4256.1400000000003</v>
      </c>
      <c r="I482" s="672">
        <v>3977.38</v>
      </c>
      <c r="J482" s="672">
        <v>-40.880000000000003</v>
      </c>
      <c r="K482" s="672">
        <v>287.95999999999998</v>
      </c>
      <c r="L482" s="672">
        <v>3286.65</v>
      </c>
    </row>
    <row r="483" spans="2:12">
      <c r="B483" s="180" t="s">
        <v>1611</v>
      </c>
      <c r="C483" s="180" t="s">
        <v>1612</v>
      </c>
      <c r="D483" s="180" t="s">
        <v>974</v>
      </c>
      <c r="E483" s="180" t="s">
        <v>975</v>
      </c>
      <c r="F483" s="672">
        <v>-12633.05</v>
      </c>
      <c r="G483" s="672">
        <v>-277.68</v>
      </c>
      <c r="H483" s="672">
        <v>-647.62</v>
      </c>
      <c r="I483" s="672">
        <v>-719.76</v>
      </c>
      <c r="J483" s="672">
        <v>-663.34</v>
      </c>
      <c r="K483" s="672">
        <v>-3732.91</v>
      </c>
      <c r="L483" s="672">
        <v>-6591.74</v>
      </c>
    </row>
    <row r="484" spans="2:12">
      <c r="B484" s="180" t="s">
        <v>1590</v>
      </c>
      <c r="C484" s="180" t="s">
        <v>989</v>
      </c>
      <c r="D484" s="180" t="s">
        <v>974</v>
      </c>
      <c r="E484" s="180" t="s">
        <v>975</v>
      </c>
      <c r="F484" s="672">
        <v>250315.22</v>
      </c>
      <c r="G484" s="672">
        <v>0</v>
      </c>
      <c r="H484" s="672">
        <v>0</v>
      </c>
      <c r="I484" s="672">
        <v>0</v>
      </c>
      <c r="J484" s="672">
        <v>0</v>
      </c>
      <c r="K484" s="672">
        <v>5117.72</v>
      </c>
      <c r="L484" s="672">
        <v>245197.5</v>
      </c>
    </row>
    <row r="485" spans="2:12">
      <c r="B485" s="180" t="s">
        <v>1613</v>
      </c>
      <c r="C485" s="180" t="s">
        <v>1269</v>
      </c>
      <c r="D485" s="180" t="s">
        <v>974</v>
      </c>
      <c r="E485" s="180" t="s">
        <v>980</v>
      </c>
      <c r="F485" s="672">
        <v>-827455.45</v>
      </c>
      <c r="G485" s="672">
        <v>19197.21</v>
      </c>
      <c r="H485" s="672">
        <v>-549.47</v>
      </c>
      <c r="I485" s="672">
        <v>-2576.6</v>
      </c>
      <c r="J485" s="672">
        <v>3710.09</v>
      </c>
      <c r="K485" s="672">
        <v>12518.76</v>
      </c>
      <c r="L485" s="672">
        <v>-859755.44</v>
      </c>
    </row>
    <row r="486" spans="2:12">
      <c r="B486" s="180" t="s">
        <v>1019</v>
      </c>
      <c r="C486" s="180" t="s">
        <v>999</v>
      </c>
      <c r="D486" s="180" t="s">
        <v>974</v>
      </c>
      <c r="E486" s="180" t="s">
        <v>1034</v>
      </c>
      <c r="F486" s="672">
        <v>0</v>
      </c>
      <c r="G486" s="672">
        <v>0</v>
      </c>
      <c r="H486" s="672">
        <v>0</v>
      </c>
      <c r="I486" s="672">
        <v>0</v>
      </c>
      <c r="J486" s="672">
        <v>0</v>
      </c>
      <c r="K486" s="672">
        <v>0</v>
      </c>
      <c r="L486" s="672">
        <v>0</v>
      </c>
    </row>
    <row r="487" spans="2:12">
      <c r="B487" s="180" t="s">
        <v>1614</v>
      </c>
      <c r="C487" s="180" t="s">
        <v>1615</v>
      </c>
      <c r="D487" s="180" t="s">
        <v>974</v>
      </c>
      <c r="E487" s="180" t="s">
        <v>990</v>
      </c>
      <c r="F487" s="672">
        <v>0</v>
      </c>
      <c r="G487" s="672">
        <v>0</v>
      </c>
      <c r="H487" s="672">
        <v>0</v>
      </c>
      <c r="I487" s="672">
        <v>0</v>
      </c>
      <c r="J487" s="672">
        <v>0</v>
      </c>
      <c r="K487" s="672">
        <v>0</v>
      </c>
      <c r="L487" s="672">
        <v>0</v>
      </c>
    </row>
    <row r="488" spans="2:12">
      <c r="B488" s="180" t="s">
        <v>1616</v>
      </c>
      <c r="C488" s="180" t="s">
        <v>1552</v>
      </c>
      <c r="D488" s="180" t="s">
        <v>974</v>
      </c>
      <c r="E488" s="180" t="s">
        <v>975</v>
      </c>
      <c r="F488" s="672">
        <v>92493.03</v>
      </c>
      <c r="G488" s="672">
        <v>15</v>
      </c>
      <c r="H488" s="672">
        <v>15</v>
      </c>
      <c r="I488" s="672">
        <v>15214.98</v>
      </c>
      <c r="J488" s="672">
        <v>15214.98</v>
      </c>
      <c r="K488" s="672">
        <v>53003.61</v>
      </c>
      <c r="L488" s="672">
        <v>9029.4599999999991</v>
      </c>
    </row>
    <row r="489" spans="2:12">
      <c r="B489" s="180" t="s">
        <v>1617</v>
      </c>
      <c r="C489" s="180" t="s">
        <v>1412</v>
      </c>
      <c r="D489" s="180" t="s">
        <v>993</v>
      </c>
      <c r="E489" s="180" t="s">
        <v>1018</v>
      </c>
      <c r="F489" s="672">
        <v>0</v>
      </c>
      <c r="G489" s="672">
        <v>0</v>
      </c>
      <c r="H489" s="672">
        <v>0</v>
      </c>
      <c r="I489" s="672">
        <v>0</v>
      </c>
      <c r="J489" s="672">
        <v>0</v>
      </c>
      <c r="K489" s="672">
        <v>0</v>
      </c>
      <c r="L489" s="672">
        <v>0</v>
      </c>
    </row>
    <row r="490" spans="2:12">
      <c r="B490" s="180" t="s">
        <v>1045</v>
      </c>
      <c r="C490" s="180" t="s">
        <v>1046</v>
      </c>
      <c r="D490" s="180" t="s">
        <v>974</v>
      </c>
      <c r="E490" s="180" t="s">
        <v>1018</v>
      </c>
      <c r="F490" s="672">
        <v>0</v>
      </c>
      <c r="G490" s="672">
        <v>0</v>
      </c>
      <c r="H490" s="672">
        <v>0</v>
      </c>
      <c r="I490" s="672">
        <v>0</v>
      </c>
      <c r="J490" s="672">
        <v>0</v>
      </c>
      <c r="K490" s="672">
        <v>0</v>
      </c>
      <c r="L490" s="672">
        <v>0</v>
      </c>
    </row>
    <row r="491" spans="2:12">
      <c r="B491" s="180" t="s">
        <v>1618</v>
      </c>
      <c r="C491" s="180" t="s">
        <v>1098</v>
      </c>
      <c r="D491" s="180" t="s">
        <v>993</v>
      </c>
      <c r="E491" s="180" t="s">
        <v>980</v>
      </c>
      <c r="F491" s="672">
        <v>28565.47</v>
      </c>
      <c r="G491" s="672">
        <v>678.09</v>
      </c>
      <c r="H491" s="672">
        <v>743.8</v>
      </c>
      <c r="I491" s="672">
        <v>757.12</v>
      </c>
      <c r="J491" s="672">
        <v>679.94</v>
      </c>
      <c r="K491" s="672">
        <v>5152.7299999999996</v>
      </c>
      <c r="L491" s="672">
        <v>20553.79</v>
      </c>
    </row>
    <row r="492" spans="2:12">
      <c r="B492" s="180" t="s">
        <v>1619</v>
      </c>
      <c r="C492" s="180" t="s">
        <v>1620</v>
      </c>
      <c r="D492" s="180" t="s">
        <v>993</v>
      </c>
      <c r="E492" s="180" t="s">
        <v>980</v>
      </c>
      <c r="F492" s="672">
        <v>47719.98</v>
      </c>
      <c r="G492" s="672">
        <v>1018.25</v>
      </c>
      <c r="H492" s="672">
        <v>1129.24</v>
      </c>
      <c r="I492" s="672">
        <v>1497.26</v>
      </c>
      <c r="J492" s="672">
        <v>1437.63</v>
      </c>
      <c r="K492" s="672">
        <v>7789</v>
      </c>
      <c r="L492" s="672">
        <v>34848.6</v>
      </c>
    </row>
    <row r="493" spans="2:12">
      <c r="B493" s="180" t="s">
        <v>1621</v>
      </c>
      <c r="C493" s="180" t="s">
        <v>1156</v>
      </c>
      <c r="D493" s="180" t="s">
        <v>974</v>
      </c>
      <c r="E493" s="180" t="s">
        <v>983</v>
      </c>
      <c r="F493" s="672">
        <v>80</v>
      </c>
      <c r="G493" s="672">
        <v>8</v>
      </c>
      <c r="H493" s="672">
        <v>8</v>
      </c>
      <c r="I493" s="672">
        <v>8</v>
      </c>
      <c r="J493" s="672">
        <v>8</v>
      </c>
      <c r="K493" s="672">
        <v>20</v>
      </c>
      <c r="L493" s="672">
        <v>28</v>
      </c>
    </row>
    <row r="494" spans="2:12">
      <c r="B494" s="180" t="s">
        <v>1605</v>
      </c>
      <c r="C494" s="180" t="s">
        <v>1439</v>
      </c>
      <c r="D494" s="180" t="s">
        <v>993</v>
      </c>
      <c r="E494" s="180" t="s">
        <v>990</v>
      </c>
      <c r="F494" s="672">
        <v>0</v>
      </c>
      <c r="G494" s="672">
        <v>0</v>
      </c>
      <c r="H494" s="672">
        <v>0</v>
      </c>
      <c r="I494" s="672">
        <v>0</v>
      </c>
      <c r="J494" s="672">
        <v>0</v>
      </c>
      <c r="K494" s="672">
        <v>0</v>
      </c>
      <c r="L494" s="672">
        <v>0</v>
      </c>
    </row>
    <row r="495" spans="2:12">
      <c r="B495" s="180" t="s">
        <v>1296</v>
      </c>
      <c r="C495" s="180" t="s">
        <v>1021</v>
      </c>
      <c r="D495" s="180" t="s">
        <v>993</v>
      </c>
      <c r="E495" s="180" t="s">
        <v>980</v>
      </c>
      <c r="F495" s="672">
        <v>570024.19999999995</v>
      </c>
      <c r="G495" s="672">
        <v>13071.6</v>
      </c>
      <c r="H495" s="672">
        <v>11056.81</v>
      </c>
      <c r="I495" s="672">
        <v>8176.66</v>
      </c>
      <c r="J495" s="672">
        <v>15433.21</v>
      </c>
      <c r="K495" s="672">
        <v>210021.94</v>
      </c>
      <c r="L495" s="672">
        <v>312263.98</v>
      </c>
    </row>
    <row r="496" spans="2:12">
      <c r="B496" s="180" t="s">
        <v>1622</v>
      </c>
      <c r="C496" s="180" t="s">
        <v>1302</v>
      </c>
      <c r="D496" s="180" t="s">
        <v>993</v>
      </c>
      <c r="E496" s="180" t="s">
        <v>1478</v>
      </c>
      <c r="F496" s="672">
        <v>4846.18</v>
      </c>
      <c r="G496" s="672">
        <v>0</v>
      </c>
      <c r="H496" s="672">
        <v>0</v>
      </c>
      <c r="I496" s="672">
        <v>0</v>
      </c>
      <c r="J496" s="672">
        <v>0</v>
      </c>
      <c r="K496" s="672">
        <v>4846.18</v>
      </c>
      <c r="L496" s="672">
        <v>0</v>
      </c>
    </row>
    <row r="497" spans="2:12">
      <c r="B497" s="180" t="s">
        <v>1623</v>
      </c>
      <c r="C497" s="180" t="s">
        <v>1624</v>
      </c>
      <c r="D497" s="180" t="s">
        <v>974</v>
      </c>
      <c r="E497" s="180" t="s">
        <v>990</v>
      </c>
      <c r="F497" s="672">
        <v>0</v>
      </c>
      <c r="G497" s="672">
        <v>0</v>
      </c>
      <c r="H497" s="672">
        <v>0</v>
      </c>
      <c r="I497" s="672">
        <v>0</v>
      </c>
      <c r="J497" s="672">
        <v>0</v>
      </c>
      <c r="K497" s="672">
        <v>0</v>
      </c>
      <c r="L497" s="672">
        <v>0</v>
      </c>
    </row>
    <row r="498" spans="2:12">
      <c r="B498" s="180" t="s">
        <v>1625</v>
      </c>
      <c r="C498" s="180" t="s">
        <v>1626</v>
      </c>
      <c r="D498" s="180" t="s">
        <v>974</v>
      </c>
      <c r="E498" s="180" t="s">
        <v>975</v>
      </c>
      <c r="F498" s="672">
        <v>40366.339999999997</v>
      </c>
      <c r="G498" s="672">
        <v>0</v>
      </c>
      <c r="H498" s="672">
        <v>0</v>
      </c>
      <c r="I498" s="672">
        <v>0</v>
      </c>
      <c r="J498" s="672">
        <v>0</v>
      </c>
      <c r="K498" s="672">
        <v>0</v>
      </c>
      <c r="L498" s="672">
        <v>40366.339999999997</v>
      </c>
    </row>
    <row r="499" spans="2:12">
      <c r="B499" s="180" t="s">
        <v>1627</v>
      </c>
      <c r="C499" s="180" t="s">
        <v>1220</v>
      </c>
      <c r="D499" s="180" t="s">
        <v>974</v>
      </c>
      <c r="E499" s="180" t="s">
        <v>980</v>
      </c>
      <c r="F499" s="672">
        <v>1738034.45</v>
      </c>
      <c r="G499" s="672">
        <v>-587233.99</v>
      </c>
      <c r="H499" s="672">
        <v>-530135.63</v>
      </c>
      <c r="I499" s="672">
        <v>807563.28</v>
      </c>
      <c r="J499" s="672">
        <v>707241.47</v>
      </c>
      <c r="K499" s="672">
        <v>74646.539999999994</v>
      </c>
      <c r="L499" s="672">
        <v>1265952.78</v>
      </c>
    </row>
    <row r="500" spans="2:12">
      <c r="B500" s="180" t="s">
        <v>1138</v>
      </c>
      <c r="C500" s="180" t="s">
        <v>1139</v>
      </c>
      <c r="D500" s="180" t="s">
        <v>974</v>
      </c>
      <c r="E500" s="180" t="s">
        <v>1075</v>
      </c>
      <c r="F500" s="672">
        <v>0</v>
      </c>
      <c r="G500" s="672">
        <v>0</v>
      </c>
      <c r="H500" s="672">
        <v>0</v>
      </c>
      <c r="I500" s="672">
        <v>0</v>
      </c>
      <c r="J500" s="672">
        <v>0</v>
      </c>
      <c r="K500" s="672">
        <v>0</v>
      </c>
      <c r="L500" s="672">
        <v>0</v>
      </c>
    </row>
    <row r="501" spans="2:12">
      <c r="B501" s="180" t="s">
        <v>1628</v>
      </c>
      <c r="C501" s="180" t="s">
        <v>1629</v>
      </c>
      <c r="D501" s="180" t="s">
        <v>974</v>
      </c>
      <c r="E501" s="180" t="s">
        <v>975</v>
      </c>
      <c r="F501" s="672">
        <v>136661.5</v>
      </c>
      <c r="G501" s="672">
        <v>95.67</v>
      </c>
      <c r="H501" s="672">
        <v>95.5</v>
      </c>
      <c r="I501" s="672">
        <v>7.93</v>
      </c>
      <c r="J501" s="672">
        <v>0</v>
      </c>
      <c r="K501" s="672">
        <v>567</v>
      </c>
      <c r="L501" s="672">
        <v>135895.4</v>
      </c>
    </row>
    <row r="502" spans="2:12">
      <c r="B502" s="180" t="s">
        <v>1630</v>
      </c>
      <c r="C502" s="180" t="s">
        <v>1631</v>
      </c>
      <c r="D502" s="180" t="s">
        <v>993</v>
      </c>
      <c r="E502" s="180" t="s">
        <v>975</v>
      </c>
      <c r="F502" s="672">
        <v>-257658.36</v>
      </c>
      <c r="G502" s="672">
        <v>0</v>
      </c>
      <c r="H502" s="672">
        <v>0</v>
      </c>
      <c r="I502" s="672">
        <v>0</v>
      </c>
      <c r="J502" s="672">
        <v>0</v>
      </c>
      <c r="K502" s="672">
        <v>0</v>
      </c>
      <c r="L502" s="672">
        <v>-257658.36</v>
      </c>
    </row>
    <row r="503" spans="2:12">
      <c r="B503" s="180" t="s">
        <v>1632</v>
      </c>
      <c r="C503" s="180" t="s">
        <v>1633</v>
      </c>
      <c r="D503" s="180" t="s">
        <v>974</v>
      </c>
      <c r="E503" s="180" t="s">
        <v>990</v>
      </c>
      <c r="F503" s="672">
        <v>0</v>
      </c>
      <c r="G503" s="672">
        <v>0</v>
      </c>
      <c r="H503" s="672">
        <v>0</v>
      </c>
      <c r="I503" s="672">
        <v>0</v>
      </c>
      <c r="J503" s="672">
        <v>0</v>
      </c>
      <c r="K503" s="672">
        <v>0</v>
      </c>
      <c r="L503" s="672">
        <v>0</v>
      </c>
    </row>
    <row r="504" spans="2:12">
      <c r="B504" s="180" t="s">
        <v>1200</v>
      </c>
      <c r="C504" s="180" t="s">
        <v>1201</v>
      </c>
      <c r="D504" s="180" t="s">
        <v>974</v>
      </c>
      <c r="E504" s="180" t="s">
        <v>975</v>
      </c>
      <c r="F504" s="672">
        <v>739.09</v>
      </c>
      <c r="G504" s="672">
        <v>0</v>
      </c>
      <c r="H504" s="672">
        <v>0</v>
      </c>
      <c r="I504" s="672">
        <v>0</v>
      </c>
      <c r="J504" s="672">
        <v>0</v>
      </c>
      <c r="K504" s="672">
        <v>727.44</v>
      </c>
      <c r="L504" s="672">
        <v>11.65</v>
      </c>
    </row>
    <row r="505" spans="2:12">
      <c r="B505" s="180" t="s">
        <v>1634</v>
      </c>
      <c r="C505" s="180" t="s">
        <v>1529</v>
      </c>
      <c r="D505" s="180" t="s">
        <v>974</v>
      </c>
      <c r="E505" s="180" t="s">
        <v>980</v>
      </c>
      <c r="F505" s="672">
        <v>50926.96</v>
      </c>
      <c r="G505" s="672">
        <v>17067.3</v>
      </c>
      <c r="H505" s="672">
        <v>21973.53</v>
      </c>
      <c r="I505" s="672">
        <v>-44727.29</v>
      </c>
      <c r="J505" s="672">
        <v>-37299.14</v>
      </c>
      <c r="K505" s="672">
        <v>31791.19</v>
      </c>
      <c r="L505" s="672">
        <v>62121.37</v>
      </c>
    </row>
    <row r="506" spans="2:12">
      <c r="B506" s="180" t="s">
        <v>1635</v>
      </c>
      <c r="C506" s="180" t="s">
        <v>1636</v>
      </c>
      <c r="D506" s="180" t="s">
        <v>974</v>
      </c>
      <c r="E506" s="180" t="s">
        <v>990</v>
      </c>
      <c r="F506" s="672">
        <v>0</v>
      </c>
      <c r="G506" s="672">
        <v>0</v>
      </c>
      <c r="H506" s="672">
        <v>0</v>
      </c>
      <c r="I506" s="672">
        <v>0</v>
      </c>
      <c r="J506" s="672">
        <v>0</v>
      </c>
      <c r="K506" s="672">
        <v>0</v>
      </c>
      <c r="L506" s="672">
        <v>0</v>
      </c>
    </row>
    <row r="507" spans="2:12">
      <c r="B507" s="180" t="s">
        <v>1283</v>
      </c>
      <c r="C507" s="180" t="s">
        <v>1131</v>
      </c>
      <c r="D507" s="180" t="s">
        <v>974</v>
      </c>
      <c r="E507" s="180" t="s">
        <v>990</v>
      </c>
      <c r="F507" s="672">
        <v>0</v>
      </c>
      <c r="G507" s="672">
        <v>0</v>
      </c>
      <c r="H507" s="672">
        <v>0</v>
      </c>
      <c r="I507" s="672">
        <v>0</v>
      </c>
      <c r="J507" s="672">
        <v>0</v>
      </c>
      <c r="K507" s="672">
        <v>0</v>
      </c>
      <c r="L507" s="672">
        <v>0</v>
      </c>
    </row>
    <row r="508" spans="2:12">
      <c r="B508" s="180" t="s">
        <v>1373</v>
      </c>
      <c r="C508" s="180" t="s">
        <v>1374</v>
      </c>
      <c r="D508" s="180" t="s">
        <v>974</v>
      </c>
      <c r="E508" s="180" t="s">
        <v>975</v>
      </c>
      <c r="F508" s="672">
        <v>3320.19</v>
      </c>
      <c r="G508" s="672">
        <v>0</v>
      </c>
      <c r="H508" s="672">
        <v>0</v>
      </c>
      <c r="I508" s="672">
        <v>0</v>
      </c>
      <c r="J508" s="672">
        <v>0</v>
      </c>
      <c r="K508" s="672">
        <v>0</v>
      </c>
      <c r="L508" s="672">
        <v>3320.19</v>
      </c>
    </row>
    <row r="509" spans="2:12">
      <c r="B509" s="180" t="s">
        <v>1417</v>
      </c>
      <c r="C509" s="180" t="s">
        <v>1418</v>
      </c>
      <c r="D509" s="180" t="s">
        <v>974</v>
      </c>
      <c r="E509" s="180" t="s">
        <v>990</v>
      </c>
      <c r="F509" s="672">
        <v>0</v>
      </c>
      <c r="G509" s="672">
        <v>0</v>
      </c>
      <c r="H509" s="672">
        <v>0</v>
      </c>
      <c r="I509" s="672">
        <v>0</v>
      </c>
      <c r="J509" s="672">
        <v>0</v>
      </c>
      <c r="K509" s="672">
        <v>0</v>
      </c>
      <c r="L509" s="672">
        <v>0</v>
      </c>
    </row>
    <row r="510" spans="2:12">
      <c r="B510" s="180" t="s">
        <v>1637</v>
      </c>
      <c r="C510" s="180" t="s">
        <v>1638</v>
      </c>
      <c r="D510" s="180" t="s">
        <v>974</v>
      </c>
      <c r="E510" s="180" t="s">
        <v>980</v>
      </c>
      <c r="F510" s="672">
        <v>27751.14</v>
      </c>
      <c r="G510" s="672">
        <v>13093.75</v>
      </c>
      <c r="H510" s="672">
        <v>12545.92</v>
      </c>
      <c r="I510" s="672">
        <v>-3272.9</v>
      </c>
      <c r="J510" s="672">
        <v>-19980.79</v>
      </c>
      <c r="K510" s="672">
        <v>17361.59</v>
      </c>
      <c r="L510" s="672">
        <v>8003.57</v>
      </c>
    </row>
    <row r="511" spans="2:12">
      <c r="B511" s="180" t="s">
        <v>1209</v>
      </c>
      <c r="C511" s="180" t="s">
        <v>1210</v>
      </c>
      <c r="D511" s="180" t="s">
        <v>993</v>
      </c>
      <c r="E511" s="180" t="s">
        <v>980</v>
      </c>
      <c r="F511" s="672">
        <v>160012.04999999999</v>
      </c>
      <c r="G511" s="672">
        <v>5702.38</v>
      </c>
      <c r="H511" s="672">
        <v>4534.8500000000004</v>
      </c>
      <c r="I511" s="672">
        <v>4493.54</v>
      </c>
      <c r="J511" s="672">
        <v>4908.5200000000004</v>
      </c>
      <c r="K511" s="672">
        <v>48152.2</v>
      </c>
      <c r="L511" s="672">
        <v>92220.56</v>
      </c>
    </row>
    <row r="512" spans="2:12">
      <c r="B512" s="180" t="s">
        <v>1025</v>
      </c>
      <c r="C512" s="180" t="s">
        <v>1026</v>
      </c>
      <c r="D512" s="180" t="s">
        <v>993</v>
      </c>
      <c r="E512" s="180" t="s">
        <v>980</v>
      </c>
      <c r="F512" s="672">
        <v>6348756.4000000004</v>
      </c>
      <c r="G512" s="672">
        <v>149681.4</v>
      </c>
      <c r="H512" s="672">
        <v>149108.6</v>
      </c>
      <c r="I512" s="672">
        <v>146621.15</v>
      </c>
      <c r="J512" s="672">
        <v>252794.92</v>
      </c>
      <c r="K512" s="672">
        <v>1123829.81</v>
      </c>
      <c r="L512" s="672">
        <v>4526720.5199999996</v>
      </c>
    </row>
    <row r="513" spans="2:12">
      <c r="B513" s="180" t="s">
        <v>1639</v>
      </c>
      <c r="C513" s="180" t="s">
        <v>1032</v>
      </c>
      <c r="D513" s="180" t="s">
        <v>974</v>
      </c>
      <c r="E513" s="180" t="s">
        <v>990</v>
      </c>
      <c r="F513" s="672">
        <v>0</v>
      </c>
      <c r="G513" s="672">
        <v>0</v>
      </c>
      <c r="H513" s="672">
        <v>0</v>
      </c>
      <c r="I513" s="672">
        <v>0</v>
      </c>
      <c r="J513" s="672">
        <v>0</v>
      </c>
      <c r="K513" s="672">
        <v>0</v>
      </c>
      <c r="L513" s="672">
        <v>0</v>
      </c>
    </row>
    <row r="514" spans="2:12">
      <c r="B514" s="180" t="s">
        <v>1640</v>
      </c>
      <c r="C514" s="180" t="s">
        <v>1641</v>
      </c>
      <c r="D514" s="180" t="s">
        <v>974</v>
      </c>
      <c r="E514" s="180" t="s">
        <v>975</v>
      </c>
      <c r="F514" s="672">
        <v>350016.26</v>
      </c>
      <c r="G514" s="672">
        <v>0</v>
      </c>
      <c r="H514" s="672">
        <v>0</v>
      </c>
      <c r="I514" s="672">
        <v>0</v>
      </c>
      <c r="J514" s="672">
        <v>0</v>
      </c>
      <c r="K514" s="672">
        <v>0</v>
      </c>
      <c r="L514" s="672">
        <v>350016.26</v>
      </c>
    </row>
    <row r="515" spans="2:12">
      <c r="B515" s="180" t="s">
        <v>1200</v>
      </c>
      <c r="C515" s="180" t="s">
        <v>1201</v>
      </c>
      <c r="D515" s="180" t="s">
        <v>974</v>
      </c>
      <c r="E515" s="180" t="s">
        <v>980</v>
      </c>
      <c r="F515" s="672">
        <v>14496.62</v>
      </c>
      <c r="G515" s="672">
        <v>4798.68</v>
      </c>
      <c r="H515" s="672">
        <v>-36608.01</v>
      </c>
      <c r="I515" s="672">
        <v>-1566.43</v>
      </c>
      <c r="J515" s="672">
        <v>33911.07</v>
      </c>
      <c r="K515" s="672">
        <v>-65785.91</v>
      </c>
      <c r="L515" s="672">
        <v>79747.22</v>
      </c>
    </row>
    <row r="516" spans="2:12">
      <c r="B516" s="180" t="s">
        <v>991</v>
      </c>
      <c r="C516" s="180" t="s">
        <v>992</v>
      </c>
      <c r="D516" s="180" t="s">
        <v>993</v>
      </c>
      <c r="E516" s="180" t="s">
        <v>975</v>
      </c>
      <c r="F516" s="672">
        <v>-16498.95</v>
      </c>
      <c r="G516" s="672">
        <v>0</v>
      </c>
      <c r="H516" s="672">
        <v>0</v>
      </c>
      <c r="I516" s="672">
        <v>0</v>
      </c>
      <c r="J516" s="672">
        <v>0</v>
      </c>
      <c r="K516" s="672">
        <v>0</v>
      </c>
      <c r="L516" s="672">
        <v>-16498.95</v>
      </c>
    </row>
    <row r="517" spans="2:12">
      <c r="B517" s="180" t="s">
        <v>1642</v>
      </c>
      <c r="C517" s="180" t="s">
        <v>1106</v>
      </c>
      <c r="D517" s="180" t="s">
        <v>993</v>
      </c>
      <c r="E517" s="180" t="s">
        <v>975</v>
      </c>
      <c r="F517" s="672">
        <v>-193875.16</v>
      </c>
      <c r="G517" s="672">
        <v>0</v>
      </c>
      <c r="H517" s="672">
        <v>0</v>
      </c>
      <c r="I517" s="672">
        <v>0</v>
      </c>
      <c r="J517" s="672">
        <v>0</v>
      </c>
      <c r="K517" s="672">
        <v>0</v>
      </c>
      <c r="L517" s="672">
        <v>-193875.16</v>
      </c>
    </row>
    <row r="518" spans="2:12">
      <c r="B518" s="180" t="s">
        <v>1643</v>
      </c>
      <c r="C518" s="180" t="s">
        <v>1644</v>
      </c>
      <c r="D518" s="180" t="s">
        <v>974</v>
      </c>
      <c r="E518" s="180" t="s">
        <v>990</v>
      </c>
      <c r="F518" s="672">
        <v>0</v>
      </c>
      <c r="G518" s="672">
        <v>0</v>
      </c>
      <c r="H518" s="672">
        <v>0</v>
      </c>
      <c r="I518" s="672">
        <v>0</v>
      </c>
      <c r="J518" s="672">
        <v>0</v>
      </c>
      <c r="K518" s="672">
        <v>0</v>
      </c>
      <c r="L518" s="672">
        <v>0</v>
      </c>
    </row>
    <row r="519" spans="2:12">
      <c r="B519" s="180" t="s">
        <v>1019</v>
      </c>
      <c r="C519" s="180" t="s">
        <v>999</v>
      </c>
      <c r="D519" s="180" t="s">
        <v>974</v>
      </c>
      <c r="E519" s="180" t="s">
        <v>983</v>
      </c>
      <c r="F519" s="672">
        <v>-6076.7</v>
      </c>
      <c r="G519" s="672">
        <v>0</v>
      </c>
      <c r="H519" s="672">
        <v>0</v>
      </c>
      <c r="I519" s="672">
        <v>0</v>
      </c>
      <c r="J519" s="672">
        <v>0</v>
      </c>
      <c r="K519" s="672">
        <v>0</v>
      </c>
      <c r="L519" s="672">
        <v>-6076.7</v>
      </c>
    </row>
    <row r="520" spans="2:12">
      <c r="B520" s="180" t="s">
        <v>1645</v>
      </c>
      <c r="C520" s="180" t="s">
        <v>1062</v>
      </c>
      <c r="D520" s="180" t="s">
        <v>993</v>
      </c>
      <c r="E520" s="180" t="s">
        <v>980</v>
      </c>
      <c r="F520" s="672">
        <v>196151.47</v>
      </c>
      <c r="G520" s="672">
        <v>2552.8000000000002</v>
      </c>
      <c r="H520" s="672">
        <v>5912.86</v>
      </c>
      <c r="I520" s="672">
        <v>4166.95</v>
      </c>
      <c r="J520" s="672">
        <v>3017.3</v>
      </c>
      <c r="K520" s="672">
        <v>40085.07</v>
      </c>
      <c r="L520" s="672">
        <v>140416.49</v>
      </c>
    </row>
    <row r="521" spans="2:12">
      <c r="B521" s="180" t="s">
        <v>1382</v>
      </c>
      <c r="C521" s="180" t="s">
        <v>1383</v>
      </c>
      <c r="D521" s="180" t="s">
        <v>974</v>
      </c>
      <c r="E521" s="180" t="s">
        <v>980</v>
      </c>
      <c r="F521" s="672">
        <v>247626.98</v>
      </c>
      <c r="G521" s="672">
        <v>-22333.25</v>
      </c>
      <c r="H521" s="672">
        <v>-1048.82</v>
      </c>
      <c r="I521" s="672">
        <v>22615.55</v>
      </c>
      <c r="J521" s="672">
        <v>-37599.019999999997</v>
      </c>
      <c r="K521" s="672">
        <v>170117.15</v>
      </c>
      <c r="L521" s="672">
        <v>115875.37</v>
      </c>
    </row>
    <row r="522" spans="2:12">
      <c r="B522" s="180" t="s">
        <v>1286</v>
      </c>
      <c r="C522" s="180" t="s">
        <v>1287</v>
      </c>
      <c r="D522" s="180" t="s">
        <v>974</v>
      </c>
      <c r="E522" s="180" t="s">
        <v>980</v>
      </c>
      <c r="F522" s="672">
        <v>8033.68</v>
      </c>
      <c r="G522" s="672">
        <v>-2916.2</v>
      </c>
      <c r="H522" s="672">
        <v>348.01</v>
      </c>
      <c r="I522" s="672">
        <v>-1215.27</v>
      </c>
      <c r="J522" s="672">
        <v>-11941.4</v>
      </c>
      <c r="K522" s="672">
        <v>23758.54</v>
      </c>
      <c r="L522" s="672">
        <v>0</v>
      </c>
    </row>
    <row r="523" spans="2:12">
      <c r="B523" s="180" t="s">
        <v>1646</v>
      </c>
      <c r="C523" s="180" t="s">
        <v>1098</v>
      </c>
      <c r="D523" s="180" t="s">
        <v>993</v>
      </c>
      <c r="E523" s="180" t="s">
        <v>990</v>
      </c>
      <c r="F523" s="672">
        <v>0</v>
      </c>
      <c r="G523" s="672">
        <v>0</v>
      </c>
      <c r="H523" s="672">
        <v>0</v>
      </c>
      <c r="I523" s="672">
        <v>0</v>
      </c>
      <c r="J523" s="672">
        <v>0</v>
      </c>
      <c r="K523" s="672">
        <v>0</v>
      </c>
      <c r="L523" s="672">
        <v>0</v>
      </c>
    </row>
    <row r="524" spans="2:12">
      <c r="B524" s="180" t="s">
        <v>1647</v>
      </c>
      <c r="C524" s="180" t="s">
        <v>1648</v>
      </c>
      <c r="D524" s="180" t="s">
        <v>974</v>
      </c>
      <c r="E524" s="180" t="s">
        <v>975</v>
      </c>
      <c r="F524" s="672">
        <v>-7260</v>
      </c>
      <c r="G524" s="672">
        <v>0</v>
      </c>
      <c r="H524" s="672">
        <v>0</v>
      </c>
      <c r="I524" s="672">
        <v>0</v>
      </c>
      <c r="J524" s="672">
        <v>0</v>
      </c>
      <c r="K524" s="672">
        <v>0</v>
      </c>
      <c r="L524" s="672">
        <v>-7260</v>
      </c>
    </row>
    <row r="525" spans="2:12">
      <c r="B525" s="180" t="s">
        <v>1649</v>
      </c>
      <c r="C525" s="180" t="s">
        <v>1650</v>
      </c>
      <c r="D525" s="180" t="s">
        <v>974</v>
      </c>
      <c r="E525" s="180" t="s">
        <v>990</v>
      </c>
      <c r="F525" s="672">
        <v>0</v>
      </c>
      <c r="G525" s="672">
        <v>0</v>
      </c>
      <c r="H525" s="672">
        <v>0</v>
      </c>
      <c r="I525" s="672">
        <v>0</v>
      </c>
      <c r="J525" s="672">
        <v>0</v>
      </c>
      <c r="K525" s="672">
        <v>0</v>
      </c>
      <c r="L525" s="672">
        <v>0</v>
      </c>
    </row>
    <row r="526" spans="2:12">
      <c r="B526" s="180" t="s">
        <v>1651</v>
      </c>
      <c r="C526" s="180" t="s">
        <v>1652</v>
      </c>
      <c r="D526" s="180" t="s">
        <v>974</v>
      </c>
      <c r="E526" s="180" t="s">
        <v>980</v>
      </c>
      <c r="F526" s="672">
        <v>-110461.41</v>
      </c>
      <c r="G526" s="672">
        <v>-1385.69</v>
      </c>
      <c r="H526" s="672">
        <v>1456.81</v>
      </c>
      <c r="I526" s="672">
        <v>-3688.53</v>
      </c>
      <c r="J526" s="672">
        <v>3521.88</v>
      </c>
      <c r="K526" s="672">
        <v>-34636.49</v>
      </c>
      <c r="L526" s="672">
        <v>-75729.39</v>
      </c>
    </row>
    <row r="527" spans="2:12">
      <c r="B527" s="180" t="s">
        <v>1396</v>
      </c>
      <c r="C527" s="180" t="s">
        <v>1397</v>
      </c>
      <c r="D527" s="180" t="s">
        <v>993</v>
      </c>
      <c r="E527" s="180" t="s">
        <v>975</v>
      </c>
      <c r="F527" s="672">
        <v>-2926.28</v>
      </c>
      <c r="G527" s="672">
        <v>0</v>
      </c>
      <c r="H527" s="672">
        <v>0</v>
      </c>
      <c r="I527" s="672">
        <v>0</v>
      </c>
      <c r="J527" s="672">
        <v>0</v>
      </c>
      <c r="K527" s="672">
        <v>0</v>
      </c>
      <c r="L527" s="672">
        <v>-2926.28</v>
      </c>
    </row>
    <row r="528" spans="2:12">
      <c r="B528" s="180" t="s">
        <v>1479</v>
      </c>
      <c r="C528" s="180" t="s">
        <v>1480</v>
      </c>
      <c r="D528" s="180" t="s">
        <v>974</v>
      </c>
      <c r="E528" s="180" t="s">
        <v>1075</v>
      </c>
      <c r="F528" s="672">
        <v>0</v>
      </c>
      <c r="G528" s="672">
        <v>0</v>
      </c>
      <c r="H528" s="672">
        <v>0</v>
      </c>
      <c r="I528" s="672">
        <v>0</v>
      </c>
      <c r="J528" s="672">
        <v>0</v>
      </c>
      <c r="K528" s="672">
        <v>0</v>
      </c>
      <c r="L528" s="672">
        <v>0</v>
      </c>
    </row>
    <row r="529" spans="2:12">
      <c r="B529" s="180" t="s">
        <v>1653</v>
      </c>
      <c r="C529" s="180" t="s">
        <v>1246</v>
      </c>
      <c r="D529" s="180" t="s">
        <v>974</v>
      </c>
      <c r="E529" s="180" t="s">
        <v>980</v>
      </c>
      <c r="F529" s="672">
        <v>0</v>
      </c>
      <c r="G529" s="672">
        <v>-10049.540000000001</v>
      </c>
      <c r="H529" s="672">
        <v>10069.540000000001</v>
      </c>
      <c r="I529" s="672">
        <v>-18092.11</v>
      </c>
      <c r="J529" s="672">
        <v>18072.11</v>
      </c>
      <c r="K529" s="672">
        <v>-29789.77</v>
      </c>
      <c r="L529" s="672">
        <v>29789.77</v>
      </c>
    </row>
    <row r="530" spans="2:12">
      <c r="B530" s="180" t="s">
        <v>1043</v>
      </c>
      <c r="C530" s="180" t="s">
        <v>1044</v>
      </c>
      <c r="D530" s="180" t="s">
        <v>974</v>
      </c>
      <c r="E530" s="180" t="s">
        <v>980</v>
      </c>
      <c r="F530" s="672">
        <v>-1836.31</v>
      </c>
      <c r="G530" s="672">
        <v>-629.86</v>
      </c>
      <c r="H530" s="672">
        <v>22.98</v>
      </c>
      <c r="I530" s="672">
        <v>5479.7</v>
      </c>
      <c r="J530" s="672">
        <v>-5417.22</v>
      </c>
      <c r="K530" s="672">
        <v>9789.74</v>
      </c>
      <c r="L530" s="672">
        <v>-11081.65</v>
      </c>
    </row>
    <row r="531" spans="2:12">
      <c r="B531" s="180" t="s">
        <v>1565</v>
      </c>
      <c r="C531" s="180" t="s">
        <v>1566</v>
      </c>
      <c r="D531" s="180" t="s">
        <v>993</v>
      </c>
      <c r="E531" s="180" t="s">
        <v>975</v>
      </c>
      <c r="F531" s="672">
        <v>-3531.54</v>
      </c>
      <c r="G531" s="672">
        <v>0</v>
      </c>
      <c r="H531" s="672">
        <v>0</v>
      </c>
      <c r="I531" s="672">
        <v>0</v>
      </c>
      <c r="J531" s="672">
        <v>0</v>
      </c>
      <c r="K531" s="672">
        <v>-1958.65</v>
      </c>
      <c r="L531" s="672">
        <v>-1572.89</v>
      </c>
    </row>
    <row r="532" spans="2:12">
      <c r="B532" s="180" t="s">
        <v>1654</v>
      </c>
      <c r="C532" s="180" t="s">
        <v>1488</v>
      </c>
      <c r="D532" s="180" t="s">
        <v>974</v>
      </c>
      <c r="E532" s="180" t="s">
        <v>983</v>
      </c>
      <c r="F532" s="672">
        <v>56.34</v>
      </c>
      <c r="G532" s="672">
        <v>32.36</v>
      </c>
      <c r="H532" s="672">
        <v>23.98</v>
      </c>
      <c r="I532" s="672">
        <v>0</v>
      </c>
      <c r="J532" s="672">
        <v>-44.35</v>
      </c>
      <c r="K532" s="672">
        <v>66.33</v>
      </c>
      <c r="L532" s="672">
        <v>-21.98</v>
      </c>
    </row>
    <row r="533" spans="2:12">
      <c r="B533" s="180" t="s">
        <v>1511</v>
      </c>
      <c r="C533" s="180" t="s">
        <v>1399</v>
      </c>
      <c r="D533" s="180" t="s">
        <v>993</v>
      </c>
      <c r="E533" s="180" t="s">
        <v>983</v>
      </c>
      <c r="F533" s="672">
        <v>469.36</v>
      </c>
      <c r="G533" s="672">
        <v>17.45</v>
      </c>
      <c r="H533" s="672">
        <v>434.45</v>
      </c>
      <c r="I533" s="672">
        <v>17.46</v>
      </c>
      <c r="J533" s="672">
        <v>0</v>
      </c>
      <c r="K533" s="672">
        <v>0</v>
      </c>
      <c r="L533" s="672">
        <v>0</v>
      </c>
    </row>
    <row r="534" spans="2:12">
      <c r="B534" s="180" t="s">
        <v>1655</v>
      </c>
      <c r="C534" s="180" t="s">
        <v>1656</v>
      </c>
      <c r="D534" s="180" t="s">
        <v>974</v>
      </c>
      <c r="E534" s="180" t="s">
        <v>975</v>
      </c>
      <c r="F534" s="672">
        <v>464677.4</v>
      </c>
      <c r="G534" s="672">
        <v>0</v>
      </c>
      <c r="H534" s="672">
        <v>0</v>
      </c>
      <c r="I534" s="672">
        <v>0</v>
      </c>
      <c r="J534" s="672">
        <v>0</v>
      </c>
      <c r="K534" s="672">
        <v>0</v>
      </c>
      <c r="L534" s="672">
        <v>464677.4</v>
      </c>
    </row>
    <row r="535" spans="2:12">
      <c r="B535" s="180" t="s">
        <v>1657</v>
      </c>
      <c r="C535" s="180" t="s">
        <v>1500</v>
      </c>
      <c r="D535" s="180" t="s">
        <v>993</v>
      </c>
      <c r="E535" s="180" t="s">
        <v>980</v>
      </c>
      <c r="F535" s="672">
        <v>137932.54999999999</v>
      </c>
      <c r="G535" s="672">
        <v>4944.9399999999996</v>
      </c>
      <c r="H535" s="672">
        <v>2068.66</v>
      </c>
      <c r="I535" s="672">
        <v>3053.2</v>
      </c>
      <c r="J535" s="672">
        <v>2930.27</v>
      </c>
      <c r="K535" s="672">
        <v>27046.58</v>
      </c>
      <c r="L535" s="672">
        <v>97888.9</v>
      </c>
    </row>
    <row r="536" spans="2:12">
      <c r="B536" s="180" t="s">
        <v>1658</v>
      </c>
      <c r="C536" s="180" t="s">
        <v>1659</v>
      </c>
      <c r="D536" s="180" t="s">
        <v>974</v>
      </c>
      <c r="E536" s="180" t="s">
        <v>975</v>
      </c>
      <c r="F536" s="672">
        <v>43.59</v>
      </c>
      <c r="G536" s="672">
        <v>0</v>
      </c>
      <c r="H536" s="672">
        <v>0</v>
      </c>
      <c r="I536" s="672">
        <v>0</v>
      </c>
      <c r="J536" s="672">
        <v>0</v>
      </c>
      <c r="K536" s="672">
        <v>43.59</v>
      </c>
      <c r="L536" s="672">
        <v>0</v>
      </c>
    </row>
    <row r="537" spans="2:12">
      <c r="B537" s="180" t="s">
        <v>1660</v>
      </c>
      <c r="C537" s="180" t="s">
        <v>1661</v>
      </c>
      <c r="D537" s="180" t="s">
        <v>974</v>
      </c>
      <c r="E537" s="180" t="s">
        <v>980</v>
      </c>
      <c r="F537" s="672">
        <v>2540466.4500000002</v>
      </c>
      <c r="G537" s="672">
        <v>59170.63</v>
      </c>
      <c r="H537" s="672">
        <v>59098.38</v>
      </c>
      <c r="I537" s="672">
        <v>59247.86</v>
      </c>
      <c r="J537" s="672">
        <v>59202.03</v>
      </c>
      <c r="K537" s="672">
        <v>465487.04</v>
      </c>
      <c r="L537" s="672">
        <v>1838260.51</v>
      </c>
    </row>
    <row r="538" spans="2:12">
      <c r="B538" s="180" t="s">
        <v>1662</v>
      </c>
      <c r="C538" s="180" t="s">
        <v>1072</v>
      </c>
      <c r="D538" s="180" t="s">
        <v>993</v>
      </c>
      <c r="E538" s="180" t="s">
        <v>990</v>
      </c>
      <c r="F538" s="672">
        <v>0</v>
      </c>
      <c r="G538" s="672">
        <v>0</v>
      </c>
      <c r="H538" s="672">
        <v>0</v>
      </c>
      <c r="I538" s="672">
        <v>0</v>
      </c>
      <c r="J538" s="672">
        <v>0</v>
      </c>
      <c r="K538" s="672">
        <v>0</v>
      </c>
      <c r="L538" s="672">
        <v>0</v>
      </c>
    </row>
    <row r="539" spans="2:12">
      <c r="B539" s="180" t="s">
        <v>1454</v>
      </c>
      <c r="C539" s="180" t="s">
        <v>1455</v>
      </c>
      <c r="D539" s="180" t="s">
        <v>993</v>
      </c>
      <c r="E539" s="180" t="s">
        <v>983</v>
      </c>
      <c r="F539" s="672">
        <v>86.15</v>
      </c>
      <c r="G539" s="672">
        <v>0</v>
      </c>
      <c r="H539" s="672">
        <v>0</v>
      </c>
      <c r="I539" s="672">
        <v>0</v>
      </c>
      <c r="J539" s="672">
        <v>0</v>
      </c>
      <c r="K539" s="672">
        <v>61.15</v>
      </c>
      <c r="L539" s="672">
        <v>25</v>
      </c>
    </row>
    <row r="540" spans="2:12">
      <c r="B540" s="180" t="s">
        <v>1318</v>
      </c>
      <c r="C540" s="180" t="s">
        <v>1174</v>
      </c>
      <c r="D540" s="180" t="s">
        <v>993</v>
      </c>
      <c r="E540" s="180" t="s">
        <v>975</v>
      </c>
      <c r="F540" s="672">
        <v>-277.52</v>
      </c>
      <c r="G540" s="672">
        <v>0</v>
      </c>
      <c r="H540" s="672">
        <v>0</v>
      </c>
      <c r="I540" s="672">
        <v>0</v>
      </c>
      <c r="J540" s="672">
        <v>0</v>
      </c>
      <c r="K540" s="672">
        <v>0</v>
      </c>
      <c r="L540" s="672">
        <v>-277.52</v>
      </c>
    </row>
    <row r="541" spans="2:12">
      <c r="B541" s="180" t="s">
        <v>1663</v>
      </c>
      <c r="C541" s="180" t="s">
        <v>1664</v>
      </c>
      <c r="D541" s="180" t="s">
        <v>974</v>
      </c>
      <c r="E541" s="180" t="s">
        <v>975</v>
      </c>
      <c r="F541" s="672">
        <v>315.64</v>
      </c>
      <c r="G541" s="672">
        <v>0</v>
      </c>
      <c r="H541" s="672">
        <v>0</v>
      </c>
      <c r="I541" s="672">
        <v>0</v>
      </c>
      <c r="J541" s="672">
        <v>0</v>
      </c>
      <c r="K541" s="672">
        <v>315.64</v>
      </c>
      <c r="L541" s="672">
        <v>0</v>
      </c>
    </row>
    <row r="542" spans="2:12">
      <c r="B542" s="180" t="s">
        <v>1419</v>
      </c>
      <c r="C542" s="180" t="s">
        <v>1159</v>
      </c>
      <c r="D542" s="180" t="s">
        <v>993</v>
      </c>
      <c r="E542" s="180" t="s">
        <v>980</v>
      </c>
      <c r="F542" s="672">
        <v>119234.06</v>
      </c>
      <c r="G542" s="672">
        <v>3454.69</v>
      </c>
      <c r="H542" s="672">
        <v>2739.93</v>
      </c>
      <c r="I542" s="672">
        <v>2596.86</v>
      </c>
      <c r="J542" s="672">
        <v>3215</v>
      </c>
      <c r="K542" s="672">
        <v>29940.22</v>
      </c>
      <c r="L542" s="672">
        <v>77287.360000000001</v>
      </c>
    </row>
    <row r="543" spans="2:12">
      <c r="B543" s="180" t="s">
        <v>1593</v>
      </c>
      <c r="C543" s="180" t="s">
        <v>1302</v>
      </c>
      <c r="D543" s="180" t="s">
        <v>993</v>
      </c>
      <c r="E543" s="180" t="s">
        <v>990</v>
      </c>
      <c r="F543" s="672">
        <v>5.56</v>
      </c>
      <c r="G543" s="672">
        <v>0</v>
      </c>
      <c r="H543" s="672">
        <v>0</v>
      </c>
      <c r="I543" s="672">
        <v>0</v>
      </c>
      <c r="J543" s="672">
        <v>0</v>
      </c>
      <c r="K543" s="672">
        <v>10.73</v>
      </c>
      <c r="L543" s="672">
        <v>-5.17</v>
      </c>
    </row>
    <row r="544" spans="2:12">
      <c r="B544" s="180" t="s">
        <v>1665</v>
      </c>
      <c r="C544" s="180" t="s">
        <v>1427</v>
      </c>
      <c r="D544" s="180" t="s">
        <v>993</v>
      </c>
      <c r="E544" s="180" t="s">
        <v>990</v>
      </c>
      <c r="F544" s="672">
        <v>198.88</v>
      </c>
      <c r="G544" s="672">
        <v>0</v>
      </c>
      <c r="H544" s="672">
        <v>0</v>
      </c>
      <c r="I544" s="672">
        <v>0</v>
      </c>
      <c r="J544" s="672">
        <v>0</v>
      </c>
      <c r="K544" s="672">
        <v>-20.41</v>
      </c>
      <c r="L544" s="672">
        <v>219.29</v>
      </c>
    </row>
    <row r="545" spans="2:12">
      <c r="B545" s="180" t="s">
        <v>1073</v>
      </c>
      <c r="C545" s="180" t="s">
        <v>1074</v>
      </c>
      <c r="D545" s="180" t="s">
        <v>974</v>
      </c>
      <c r="E545" s="180" t="s">
        <v>990</v>
      </c>
      <c r="F545" s="672">
        <v>0</v>
      </c>
      <c r="G545" s="672">
        <v>0</v>
      </c>
      <c r="H545" s="672">
        <v>0</v>
      </c>
      <c r="I545" s="672">
        <v>0</v>
      </c>
      <c r="J545" s="672">
        <v>0</v>
      </c>
      <c r="K545" s="672">
        <v>0</v>
      </c>
      <c r="L545" s="672">
        <v>0</v>
      </c>
    </row>
    <row r="546" spans="2:12">
      <c r="B546" s="180" t="s">
        <v>1666</v>
      </c>
      <c r="C546" s="180" t="s">
        <v>1667</v>
      </c>
      <c r="D546" s="180" t="s">
        <v>974</v>
      </c>
      <c r="E546" s="180" t="s">
        <v>990</v>
      </c>
      <c r="F546" s="672">
        <v>0</v>
      </c>
      <c r="G546" s="672">
        <v>0</v>
      </c>
      <c r="H546" s="672">
        <v>0</v>
      </c>
      <c r="I546" s="672">
        <v>0</v>
      </c>
      <c r="J546" s="672">
        <v>0</v>
      </c>
      <c r="K546" s="672">
        <v>0</v>
      </c>
      <c r="L546" s="672">
        <v>0</v>
      </c>
    </row>
    <row r="547" spans="2:12">
      <c r="B547" s="180" t="s">
        <v>1668</v>
      </c>
      <c r="C547" s="180" t="s">
        <v>1669</v>
      </c>
      <c r="D547" s="180" t="s">
        <v>974</v>
      </c>
      <c r="E547" s="180" t="s">
        <v>990</v>
      </c>
      <c r="F547" s="672">
        <v>0</v>
      </c>
      <c r="G547" s="672">
        <v>0</v>
      </c>
      <c r="H547" s="672">
        <v>0</v>
      </c>
      <c r="I547" s="672">
        <v>0</v>
      </c>
      <c r="J547" s="672">
        <v>0</v>
      </c>
      <c r="K547" s="672">
        <v>0</v>
      </c>
      <c r="L547" s="672">
        <v>0</v>
      </c>
    </row>
    <row r="548" spans="2:12">
      <c r="B548" s="180" t="s">
        <v>1651</v>
      </c>
      <c r="C548" s="180" t="s">
        <v>1652</v>
      </c>
      <c r="D548" s="180" t="s">
        <v>974</v>
      </c>
      <c r="E548" s="180" t="s">
        <v>990</v>
      </c>
      <c r="F548" s="672">
        <v>0</v>
      </c>
      <c r="G548" s="672">
        <v>0</v>
      </c>
      <c r="H548" s="672">
        <v>0</v>
      </c>
      <c r="I548" s="672">
        <v>0</v>
      </c>
      <c r="J548" s="672">
        <v>0</v>
      </c>
      <c r="K548" s="672">
        <v>0</v>
      </c>
      <c r="L548" s="672">
        <v>0</v>
      </c>
    </row>
    <row r="549" spans="2:12">
      <c r="B549" s="180" t="s">
        <v>1670</v>
      </c>
      <c r="C549" s="180" t="s">
        <v>1302</v>
      </c>
      <c r="D549" s="180" t="s">
        <v>993</v>
      </c>
      <c r="E549" s="180" t="s">
        <v>990</v>
      </c>
      <c r="F549" s="672">
        <v>-206.98</v>
      </c>
      <c r="G549" s="672">
        <v>0</v>
      </c>
      <c r="H549" s="672">
        <v>0</v>
      </c>
      <c r="I549" s="672">
        <v>0</v>
      </c>
      <c r="J549" s="672">
        <v>0</v>
      </c>
      <c r="K549" s="672">
        <v>-272.81</v>
      </c>
      <c r="L549" s="672">
        <v>65.83</v>
      </c>
    </row>
    <row r="550" spans="2:12">
      <c r="B550" s="180" t="s">
        <v>981</v>
      </c>
      <c r="C550" s="180" t="s">
        <v>982</v>
      </c>
      <c r="D550" s="180" t="s">
        <v>974</v>
      </c>
      <c r="E550" s="180" t="s">
        <v>980</v>
      </c>
      <c r="F550" s="672">
        <v>-464758.4</v>
      </c>
      <c r="G550" s="672">
        <v>-38815.910000000003</v>
      </c>
      <c r="H550" s="672">
        <v>1698.29</v>
      </c>
      <c r="I550" s="672">
        <v>53852.65</v>
      </c>
      <c r="J550" s="672">
        <v>58103.68</v>
      </c>
      <c r="K550" s="672">
        <v>145223.91</v>
      </c>
      <c r="L550" s="672">
        <v>-684821.02</v>
      </c>
    </row>
    <row r="551" spans="2:12">
      <c r="B551" s="180" t="s">
        <v>1671</v>
      </c>
      <c r="C551" s="180" t="s">
        <v>1672</v>
      </c>
      <c r="D551" s="180" t="s">
        <v>993</v>
      </c>
      <c r="E551" s="180" t="s">
        <v>975</v>
      </c>
      <c r="F551" s="672">
        <v>-1329.89</v>
      </c>
      <c r="G551" s="672">
        <v>0</v>
      </c>
      <c r="H551" s="672">
        <v>0</v>
      </c>
      <c r="I551" s="672">
        <v>0</v>
      </c>
      <c r="J551" s="672">
        <v>0</v>
      </c>
      <c r="K551" s="672">
        <v>0</v>
      </c>
      <c r="L551" s="672">
        <v>-1329.89</v>
      </c>
    </row>
    <row r="552" spans="2:12">
      <c r="B552" s="180" t="s">
        <v>1673</v>
      </c>
      <c r="C552" s="180" t="s">
        <v>1455</v>
      </c>
      <c r="D552" s="180" t="s">
        <v>993</v>
      </c>
      <c r="E552" s="180" t="s">
        <v>990</v>
      </c>
      <c r="F552" s="672">
        <v>0</v>
      </c>
      <c r="G552" s="672">
        <v>0</v>
      </c>
      <c r="H552" s="672">
        <v>0</v>
      </c>
      <c r="I552" s="672">
        <v>0</v>
      </c>
      <c r="J552" s="672">
        <v>0</v>
      </c>
      <c r="K552" s="672">
        <v>0</v>
      </c>
      <c r="L552" s="672">
        <v>0</v>
      </c>
    </row>
    <row r="553" spans="2:12">
      <c r="B553" s="180" t="s">
        <v>1674</v>
      </c>
      <c r="C553" s="180" t="s">
        <v>1675</v>
      </c>
      <c r="D553" s="180" t="s">
        <v>974</v>
      </c>
      <c r="E553" s="180" t="s">
        <v>990</v>
      </c>
      <c r="F553" s="672">
        <v>0</v>
      </c>
      <c r="G553" s="672">
        <v>0</v>
      </c>
      <c r="H553" s="672">
        <v>0</v>
      </c>
      <c r="I553" s="672">
        <v>0</v>
      </c>
      <c r="J553" s="672">
        <v>0</v>
      </c>
      <c r="K553" s="672">
        <v>0</v>
      </c>
      <c r="L553" s="672">
        <v>0</v>
      </c>
    </row>
    <row r="554" spans="2:12">
      <c r="B554" s="180" t="s">
        <v>1162</v>
      </c>
      <c r="C554" s="180" t="s">
        <v>1163</v>
      </c>
      <c r="D554" s="180" t="s">
        <v>974</v>
      </c>
      <c r="E554" s="180" t="s">
        <v>990</v>
      </c>
      <c r="F554" s="672">
        <v>0</v>
      </c>
      <c r="G554" s="672">
        <v>0</v>
      </c>
      <c r="H554" s="672">
        <v>0</v>
      </c>
      <c r="I554" s="672">
        <v>0</v>
      </c>
      <c r="J554" s="672">
        <v>0</v>
      </c>
      <c r="K554" s="672">
        <v>0</v>
      </c>
      <c r="L554" s="672">
        <v>0</v>
      </c>
    </row>
    <row r="555" spans="2:12">
      <c r="B555" s="180" t="s">
        <v>1141</v>
      </c>
      <c r="C555" s="180" t="s">
        <v>1142</v>
      </c>
      <c r="D555" s="180" t="s">
        <v>974</v>
      </c>
      <c r="E555" s="180" t="s">
        <v>990</v>
      </c>
      <c r="F555" s="672">
        <v>0</v>
      </c>
      <c r="G555" s="672">
        <v>0</v>
      </c>
      <c r="H555" s="672">
        <v>0</v>
      </c>
      <c r="I555" s="672">
        <v>0</v>
      </c>
      <c r="J555" s="672">
        <v>0</v>
      </c>
      <c r="K555" s="672">
        <v>0</v>
      </c>
      <c r="L555" s="672">
        <v>0</v>
      </c>
    </row>
    <row r="556" spans="2:12">
      <c r="B556" s="180" t="s">
        <v>1360</v>
      </c>
      <c r="C556" s="180" t="s">
        <v>1026</v>
      </c>
      <c r="D556" s="180" t="s">
        <v>993</v>
      </c>
      <c r="E556" s="180" t="s">
        <v>980</v>
      </c>
      <c r="F556" s="672">
        <v>776820.84</v>
      </c>
      <c r="G556" s="672">
        <v>14971.85</v>
      </c>
      <c r="H556" s="672">
        <v>25657.89</v>
      </c>
      <c r="I556" s="672">
        <v>20647.759999999998</v>
      </c>
      <c r="J556" s="672">
        <v>19861.900000000001</v>
      </c>
      <c r="K556" s="672">
        <v>141446.24</v>
      </c>
      <c r="L556" s="672">
        <v>554235.19999999995</v>
      </c>
    </row>
    <row r="557" spans="2:12">
      <c r="B557" s="180" t="s">
        <v>1505</v>
      </c>
      <c r="C557" s="180" t="s">
        <v>1506</v>
      </c>
      <c r="D557" s="180" t="s">
        <v>993</v>
      </c>
      <c r="E557" s="180" t="s">
        <v>980</v>
      </c>
      <c r="F557" s="672">
        <v>1368573.59</v>
      </c>
      <c r="G557" s="672">
        <v>27032.15</v>
      </c>
      <c r="H557" s="672">
        <v>33094.519999999997</v>
      </c>
      <c r="I557" s="672">
        <v>31772.82</v>
      </c>
      <c r="J557" s="672">
        <v>33321.15</v>
      </c>
      <c r="K557" s="672">
        <v>637465.61</v>
      </c>
      <c r="L557" s="672">
        <v>605887.34</v>
      </c>
    </row>
    <row r="558" spans="2:12">
      <c r="B558" s="180" t="s">
        <v>1676</v>
      </c>
      <c r="C558" s="180" t="s">
        <v>1677</v>
      </c>
      <c r="D558" s="180" t="s">
        <v>974</v>
      </c>
      <c r="E558" s="180" t="s">
        <v>990</v>
      </c>
      <c r="F558" s="672">
        <v>0</v>
      </c>
      <c r="G558" s="672">
        <v>0</v>
      </c>
      <c r="H558" s="672">
        <v>0</v>
      </c>
      <c r="I558" s="672">
        <v>0</v>
      </c>
      <c r="J558" s="672">
        <v>0</v>
      </c>
      <c r="K558" s="672">
        <v>0</v>
      </c>
      <c r="L558" s="672">
        <v>0</v>
      </c>
    </row>
    <row r="559" spans="2:12">
      <c r="B559" s="180" t="s">
        <v>1031</v>
      </c>
      <c r="C559" s="180" t="s">
        <v>1032</v>
      </c>
      <c r="D559" s="180" t="s">
        <v>974</v>
      </c>
      <c r="E559" s="180" t="s">
        <v>980</v>
      </c>
      <c r="F559" s="672">
        <v>801411.55</v>
      </c>
      <c r="G559" s="672">
        <v>26959.51</v>
      </c>
      <c r="H559" s="672">
        <v>-52059.21</v>
      </c>
      <c r="I559" s="672">
        <v>118045.23</v>
      </c>
      <c r="J559" s="672">
        <v>138679.07</v>
      </c>
      <c r="K559" s="672">
        <v>-45482.239999999998</v>
      </c>
      <c r="L559" s="672">
        <v>615269.18999999994</v>
      </c>
    </row>
    <row r="560" spans="2:12">
      <c r="B560" s="180" t="s">
        <v>1370</v>
      </c>
      <c r="C560" s="180" t="s">
        <v>1371</v>
      </c>
      <c r="D560" s="180" t="s">
        <v>974</v>
      </c>
      <c r="E560" s="180" t="s">
        <v>980</v>
      </c>
      <c r="F560" s="672">
        <v>260516.83</v>
      </c>
      <c r="G560" s="672">
        <v>-255606.04</v>
      </c>
      <c r="H560" s="672">
        <v>253770.75</v>
      </c>
      <c r="I560" s="672">
        <v>8184.24</v>
      </c>
      <c r="J560" s="672">
        <v>57878.82</v>
      </c>
      <c r="K560" s="672">
        <v>-789337.92</v>
      </c>
      <c r="L560" s="672">
        <v>985626.98</v>
      </c>
    </row>
    <row r="561" spans="2:12">
      <c r="B561" s="180" t="s">
        <v>1532</v>
      </c>
      <c r="C561" s="180" t="s">
        <v>1421</v>
      </c>
      <c r="D561" s="180" t="s">
        <v>993</v>
      </c>
      <c r="E561" s="180" t="s">
        <v>975</v>
      </c>
      <c r="F561" s="672">
        <v>-49262.73</v>
      </c>
      <c r="G561" s="672">
        <v>0</v>
      </c>
      <c r="H561" s="672">
        <v>0</v>
      </c>
      <c r="I561" s="672">
        <v>0</v>
      </c>
      <c r="J561" s="672">
        <v>0</v>
      </c>
      <c r="K561" s="672">
        <v>0</v>
      </c>
      <c r="L561" s="672">
        <v>-49262.73</v>
      </c>
    </row>
    <row r="562" spans="2:12">
      <c r="B562" s="180" t="s">
        <v>1678</v>
      </c>
      <c r="C562" s="180" t="s">
        <v>992</v>
      </c>
      <c r="D562" s="180" t="s">
        <v>993</v>
      </c>
      <c r="E562" s="180" t="s">
        <v>980</v>
      </c>
      <c r="F562" s="672">
        <v>200635.7</v>
      </c>
      <c r="G562" s="672">
        <v>5730.87</v>
      </c>
      <c r="H562" s="672">
        <v>4357.66</v>
      </c>
      <c r="I562" s="672">
        <v>19224.759999999998</v>
      </c>
      <c r="J562" s="672">
        <v>4514.8</v>
      </c>
      <c r="K562" s="672">
        <v>31403.1</v>
      </c>
      <c r="L562" s="672">
        <v>135404.51</v>
      </c>
    </row>
    <row r="563" spans="2:12">
      <c r="B563" s="180" t="s">
        <v>1679</v>
      </c>
      <c r="C563" s="180" t="s">
        <v>1680</v>
      </c>
      <c r="D563" s="180" t="s">
        <v>974</v>
      </c>
      <c r="E563" s="180" t="s">
        <v>990</v>
      </c>
      <c r="F563" s="672">
        <v>0</v>
      </c>
      <c r="G563" s="672">
        <v>0</v>
      </c>
      <c r="H563" s="672">
        <v>0</v>
      </c>
      <c r="I563" s="672">
        <v>0</v>
      </c>
      <c r="J563" s="672">
        <v>0</v>
      </c>
      <c r="K563" s="672">
        <v>0</v>
      </c>
      <c r="L563" s="672">
        <v>0</v>
      </c>
    </row>
    <row r="564" spans="2:12">
      <c r="B564" s="180" t="s">
        <v>1681</v>
      </c>
      <c r="C564" s="180" t="s">
        <v>1682</v>
      </c>
      <c r="D564" s="180" t="s">
        <v>974</v>
      </c>
      <c r="E564" s="180" t="s">
        <v>980</v>
      </c>
      <c r="F564" s="672">
        <v>4238726.5599999996</v>
      </c>
      <c r="G564" s="672">
        <v>110346.18</v>
      </c>
      <c r="H564" s="672">
        <v>112324.59</v>
      </c>
      <c r="I564" s="672">
        <v>98337.2</v>
      </c>
      <c r="J564" s="672">
        <v>104923.63</v>
      </c>
      <c r="K564" s="672">
        <v>771763.64</v>
      </c>
      <c r="L564" s="672">
        <v>3041031.32</v>
      </c>
    </row>
    <row r="565" spans="2:12">
      <c r="B565" s="180" t="s">
        <v>1683</v>
      </c>
      <c r="C565" s="180" t="s">
        <v>1032</v>
      </c>
      <c r="D565" s="180" t="s">
        <v>974</v>
      </c>
      <c r="E565" s="180" t="s">
        <v>975</v>
      </c>
      <c r="F565" s="672">
        <v>117403.62</v>
      </c>
      <c r="G565" s="672">
        <v>0</v>
      </c>
      <c r="H565" s="672">
        <v>-10096.92</v>
      </c>
      <c r="I565" s="672">
        <v>10096.92</v>
      </c>
      <c r="J565" s="672">
        <v>0</v>
      </c>
      <c r="K565" s="672">
        <v>-391.69</v>
      </c>
      <c r="L565" s="672">
        <v>117795.31</v>
      </c>
    </row>
    <row r="566" spans="2:12">
      <c r="B566" s="180" t="s">
        <v>1684</v>
      </c>
      <c r="C566" s="180" t="s">
        <v>1094</v>
      </c>
      <c r="D566" s="180" t="s">
        <v>974</v>
      </c>
      <c r="E566" s="180" t="s">
        <v>975</v>
      </c>
      <c r="F566" s="672">
        <v>6526777.6600000001</v>
      </c>
      <c r="G566" s="672">
        <v>49144.72</v>
      </c>
      <c r="H566" s="672">
        <v>0</v>
      </c>
      <c r="I566" s="672">
        <v>0</v>
      </c>
      <c r="J566" s="672">
        <v>0</v>
      </c>
      <c r="K566" s="672">
        <v>0</v>
      </c>
      <c r="L566" s="672">
        <v>6477632.9400000004</v>
      </c>
    </row>
    <row r="567" spans="2:12">
      <c r="B567" s="180" t="s">
        <v>1685</v>
      </c>
      <c r="C567" s="180" t="s">
        <v>1686</v>
      </c>
      <c r="D567" s="180" t="s">
        <v>974</v>
      </c>
      <c r="E567" s="180" t="s">
        <v>980</v>
      </c>
      <c r="F567" s="672">
        <v>-76250.67</v>
      </c>
      <c r="G567" s="672">
        <v>-25190.5</v>
      </c>
      <c r="H567" s="672">
        <v>0</v>
      </c>
      <c r="I567" s="672">
        <v>-12593</v>
      </c>
      <c r="J567" s="672">
        <v>-14231.05</v>
      </c>
      <c r="K567" s="672">
        <v>-27019.52</v>
      </c>
      <c r="L567" s="672">
        <v>2783.4</v>
      </c>
    </row>
    <row r="568" spans="2:12">
      <c r="B568" s="180" t="s">
        <v>1687</v>
      </c>
      <c r="C568" s="180" t="s">
        <v>1589</v>
      </c>
      <c r="D568" s="180" t="s">
        <v>974</v>
      </c>
      <c r="E568" s="180" t="s">
        <v>980</v>
      </c>
      <c r="F568" s="672">
        <v>-79722.16</v>
      </c>
      <c r="G568" s="672">
        <v>621.48</v>
      </c>
      <c r="H568" s="672">
        <v>623.88</v>
      </c>
      <c r="I568" s="672">
        <v>707.86</v>
      </c>
      <c r="J568" s="672">
        <v>661.48</v>
      </c>
      <c r="K568" s="672">
        <v>4560.01</v>
      </c>
      <c r="L568" s="672">
        <v>-86896.87</v>
      </c>
    </row>
    <row r="569" spans="2:12">
      <c r="B569" s="180" t="s">
        <v>1688</v>
      </c>
      <c r="C569" s="180" t="s">
        <v>1115</v>
      </c>
      <c r="D569" s="180" t="s">
        <v>974</v>
      </c>
      <c r="E569" s="180" t="s">
        <v>975</v>
      </c>
      <c r="F569" s="672">
        <v>474407.38</v>
      </c>
      <c r="G569" s="672">
        <v>20066.419999999998</v>
      </c>
      <c r="H569" s="672">
        <v>0</v>
      </c>
      <c r="I569" s="672">
        <v>0</v>
      </c>
      <c r="J569" s="672">
        <v>0</v>
      </c>
      <c r="K569" s="672">
        <v>0</v>
      </c>
      <c r="L569" s="672">
        <v>454340.96</v>
      </c>
    </row>
    <row r="570" spans="2:12">
      <c r="B570" s="180" t="s">
        <v>1554</v>
      </c>
      <c r="C570" s="180" t="s">
        <v>1115</v>
      </c>
      <c r="D570" s="180" t="s">
        <v>974</v>
      </c>
      <c r="E570" s="180" t="s">
        <v>980</v>
      </c>
      <c r="F570" s="672">
        <v>0</v>
      </c>
      <c r="G570" s="672">
        <v>0</v>
      </c>
      <c r="H570" s="672">
        <v>53.66</v>
      </c>
      <c r="I570" s="672">
        <v>-53.66</v>
      </c>
      <c r="J570" s="672">
        <v>0</v>
      </c>
      <c r="K570" s="672">
        <v>37540.959999999999</v>
      </c>
      <c r="L570" s="672">
        <v>-37540.959999999999</v>
      </c>
    </row>
    <row r="571" spans="2:12">
      <c r="B571" s="180" t="s">
        <v>1689</v>
      </c>
      <c r="C571" s="180" t="s">
        <v>1506</v>
      </c>
      <c r="D571" s="180" t="s">
        <v>993</v>
      </c>
      <c r="E571" s="180" t="s">
        <v>975</v>
      </c>
      <c r="F571" s="672">
        <v>402.34</v>
      </c>
      <c r="G571" s="672">
        <v>0</v>
      </c>
      <c r="H571" s="672">
        <v>0</v>
      </c>
      <c r="I571" s="672">
        <v>0</v>
      </c>
      <c r="J571" s="672">
        <v>0</v>
      </c>
      <c r="K571" s="672">
        <v>0</v>
      </c>
      <c r="L571" s="672">
        <v>402.34</v>
      </c>
    </row>
    <row r="572" spans="2:12">
      <c r="B572" s="180" t="s">
        <v>1690</v>
      </c>
      <c r="C572" s="180" t="s">
        <v>1691</v>
      </c>
      <c r="D572" s="180" t="s">
        <v>974</v>
      </c>
      <c r="E572" s="180" t="s">
        <v>980</v>
      </c>
      <c r="F572" s="672">
        <v>-75901.97</v>
      </c>
      <c r="G572" s="672">
        <v>-29860.33</v>
      </c>
      <c r="H572" s="672">
        <v>11193.1</v>
      </c>
      <c r="I572" s="672">
        <v>5435.75</v>
      </c>
      <c r="J572" s="672">
        <v>-3851.92</v>
      </c>
      <c r="K572" s="672">
        <v>-28277.57</v>
      </c>
      <c r="L572" s="672">
        <v>-30541</v>
      </c>
    </row>
    <row r="573" spans="2:12">
      <c r="B573" s="180" t="s">
        <v>1124</v>
      </c>
      <c r="C573" s="180" t="s">
        <v>1125</v>
      </c>
      <c r="D573" s="180" t="s">
        <v>974</v>
      </c>
      <c r="E573" s="180" t="s">
        <v>1363</v>
      </c>
      <c r="F573" s="672">
        <v>193648.73</v>
      </c>
      <c r="G573" s="672">
        <v>-13113.91</v>
      </c>
      <c r="H573" s="672">
        <v>-21718.03</v>
      </c>
      <c r="I573" s="672">
        <v>-13113.9</v>
      </c>
      <c r="J573" s="672">
        <v>-4509.8</v>
      </c>
      <c r="K573" s="672">
        <v>-105650.13</v>
      </c>
      <c r="L573" s="672">
        <v>351754.5</v>
      </c>
    </row>
    <row r="574" spans="2:12">
      <c r="B574" s="180" t="s">
        <v>1553</v>
      </c>
      <c r="C574" s="180" t="s">
        <v>1189</v>
      </c>
      <c r="D574" s="180" t="s">
        <v>993</v>
      </c>
      <c r="E574" s="180" t="s">
        <v>975</v>
      </c>
      <c r="F574" s="672">
        <v>-68224.429999999993</v>
      </c>
      <c r="G574" s="672">
        <v>0</v>
      </c>
      <c r="H574" s="672">
        <v>0</v>
      </c>
      <c r="I574" s="672">
        <v>0</v>
      </c>
      <c r="J574" s="672">
        <v>0</v>
      </c>
      <c r="K574" s="672">
        <v>-23037.84</v>
      </c>
      <c r="L574" s="672">
        <v>-45186.59</v>
      </c>
    </row>
    <row r="575" spans="2:12">
      <c r="B575" s="180" t="s">
        <v>1623</v>
      </c>
      <c r="C575" s="180" t="s">
        <v>1624</v>
      </c>
      <c r="D575" s="180" t="s">
        <v>974</v>
      </c>
      <c r="E575" s="180" t="s">
        <v>975</v>
      </c>
      <c r="F575" s="672">
        <v>1090.17</v>
      </c>
      <c r="G575" s="672">
        <v>1090.17</v>
      </c>
      <c r="H575" s="672">
        <v>0</v>
      </c>
      <c r="I575" s="672">
        <v>0</v>
      </c>
      <c r="J575" s="672">
        <v>0</v>
      </c>
      <c r="K575" s="672">
        <v>0</v>
      </c>
      <c r="L575" s="672">
        <v>0</v>
      </c>
    </row>
    <row r="576" spans="2:12">
      <c r="B576" s="180" t="s">
        <v>1463</v>
      </c>
      <c r="C576" s="180" t="s">
        <v>1464</v>
      </c>
      <c r="D576" s="180" t="s">
        <v>974</v>
      </c>
      <c r="E576" s="180" t="s">
        <v>1034</v>
      </c>
      <c r="F576" s="672">
        <v>-0.3</v>
      </c>
      <c r="G576" s="672">
        <v>0</v>
      </c>
      <c r="H576" s="672">
        <v>0</v>
      </c>
      <c r="I576" s="672">
        <v>0</v>
      </c>
      <c r="J576" s="672">
        <v>0</v>
      </c>
      <c r="K576" s="672">
        <v>0</v>
      </c>
      <c r="L576" s="672">
        <v>-0.3</v>
      </c>
    </row>
    <row r="577" spans="2:12">
      <c r="B577" s="180" t="s">
        <v>1692</v>
      </c>
      <c r="C577" s="180" t="s">
        <v>1693</v>
      </c>
      <c r="D577" s="180" t="s">
        <v>974</v>
      </c>
      <c r="E577" s="180" t="s">
        <v>975</v>
      </c>
      <c r="F577" s="672">
        <v>-1561.28</v>
      </c>
      <c r="G577" s="672">
        <v>0</v>
      </c>
      <c r="H577" s="672">
        <v>0</v>
      </c>
      <c r="I577" s="672">
        <v>0</v>
      </c>
      <c r="J577" s="672">
        <v>0</v>
      </c>
      <c r="K577" s="672">
        <v>0</v>
      </c>
      <c r="L577" s="672">
        <v>-1561.28</v>
      </c>
    </row>
    <row r="578" spans="2:12">
      <c r="B578" s="180" t="s">
        <v>1095</v>
      </c>
      <c r="C578" s="180" t="s">
        <v>1096</v>
      </c>
      <c r="D578" s="180" t="s">
        <v>974</v>
      </c>
      <c r="E578" s="180" t="s">
        <v>990</v>
      </c>
      <c r="F578" s="672">
        <v>0</v>
      </c>
      <c r="G578" s="672">
        <v>0</v>
      </c>
      <c r="H578" s="672">
        <v>0</v>
      </c>
      <c r="I578" s="672">
        <v>0</v>
      </c>
      <c r="J578" s="672">
        <v>0</v>
      </c>
      <c r="K578" s="672">
        <v>0</v>
      </c>
      <c r="L578" s="672">
        <v>0</v>
      </c>
    </row>
    <row r="579" spans="2:12">
      <c r="B579" s="180" t="s">
        <v>1694</v>
      </c>
      <c r="C579" s="180" t="s">
        <v>1695</v>
      </c>
      <c r="D579" s="180" t="s">
        <v>974</v>
      </c>
      <c r="E579" s="180" t="s">
        <v>990</v>
      </c>
      <c r="F579" s="672">
        <v>0</v>
      </c>
      <c r="G579" s="672">
        <v>0</v>
      </c>
      <c r="H579" s="672">
        <v>0</v>
      </c>
      <c r="I579" s="672">
        <v>0</v>
      </c>
      <c r="J579" s="672">
        <v>0</v>
      </c>
      <c r="K579" s="672">
        <v>0</v>
      </c>
      <c r="L579" s="672">
        <v>0</v>
      </c>
    </row>
    <row r="580" spans="2:12">
      <c r="B580" s="180" t="s">
        <v>1147</v>
      </c>
      <c r="C580" s="180" t="s">
        <v>1148</v>
      </c>
      <c r="D580" s="180" t="s">
        <v>974</v>
      </c>
      <c r="E580" s="180" t="s">
        <v>983</v>
      </c>
      <c r="F580" s="672">
        <v>7152.04</v>
      </c>
      <c r="G580" s="672">
        <v>165.94</v>
      </c>
      <c r="H580" s="672">
        <v>72.94</v>
      </c>
      <c r="I580" s="672">
        <v>182.2</v>
      </c>
      <c r="J580" s="672">
        <v>146.30000000000001</v>
      </c>
      <c r="K580" s="672">
        <v>1189.8699999999999</v>
      </c>
      <c r="L580" s="672">
        <v>5394.79</v>
      </c>
    </row>
    <row r="581" spans="2:12">
      <c r="B581" s="180" t="s">
        <v>1696</v>
      </c>
      <c r="C581" s="180" t="s">
        <v>1697</v>
      </c>
      <c r="D581" s="180" t="s">
        <v>974</v>
      </c>
      <c r="E581" s="180" t="s">
        <v>975</v>
      </c>
      <c r="F581" s="672">
        <v>-20008.97</v>
      </c>
      <c r="G581" s="672">
        <v>0</v>
      </c>
      <c r="H581" s="672">
        <v>0</v>
      </c>
      <c r="I581" s="672">
        <v>0</v>
      </c>
      <c r="J581" s="672">
        <v>0</v>
      </c>
      <c r="K581" s="672">
        <v>-20008.97</v>
      </c>
      <c r="L581" s="672">
        <v>0</v>
      </c>
    </row>
    <row r="582" spans="2:12">
      <c r="B582" s="180" t="s">
        <v>1398</v>
      </c>
      <c r="C582" s="180" t="s">
        <v>1399</v>
      </c>
      <c r="D582" s="180" t="s">
        <v>993</v>
      </c>
      <c r="E582" s="180" t="s">
        <v>975</v>
      </c>
      <c r="F582" s="672">
        <v>-3619.54</v>
      </c>
      <c r="G582" s="672">
        <v>0</v>
      </c>
      <c r="H582" s="672">
        <v>0</v>
      </c>
      <c r="I582" s="672">
        <v>0</v>
      </c>
      <c r="J582" s="672">
        <v>0</v>
      </c>
      <c r="K582" s="672">
        <v>-620.42999999999995</v>
      </c>
      <c r="L582" s="672">
        <v>-2999.11</v>
      </c>
    </row>
    <row r="583" spans="2:12">
      <c r="B583" s="180" t="s">
        <v>1698</v>
      </c>
      <c r="C583" s="180" t="s">
        <v>1699</v>
      </c>
      <c r="D583" s="180" t="s">
        <v>974</v>
      </c>
      <c r="E583" s="180" t="s">
        <v>1111</v>
      </c>
      <c r="F583" s="672">
        <v>-50105.81</v>
      </c>
      <c r="G583" s="672">
        <v>0</v>
      </c>
      <c r="H583" s="672">
        <v>0</v>
      </c>
      <c r="I583" s="672">
        <v>0</v>
      </c>
      <c r="J583" s="672">
        <v>0</v>
      </c>
      <c r="K583" s="672">
        <v>-50105.81</v>
      </c>
      <c r="L583" s="672">
        <v>0</v>
      </c>
    </row>
    <row r="584" spans="2:12">
      <c r="B584" s="180" t="s">
        <v>1434</v>
      </c>
      <c r="C584" s="180" t="s">
        <v>1435</v>
      </c>
      <c r="D584" s="180" t="s">
        <v>974</v>
      </c>
      <c r="E584" s="180" t="s">
        <v>980</v>
      </c>
      <c r="F584" s="672">
        <v>24736196.149999999</v>
      </c>
      <c r="G584" s="672">
        <v>589365.44999999995</v>
      </c>
      <c r="H584" s="672">
        <v>593140.07999999996</v>
      </c>
      <c r="I584" s="672">
        <v>618418.66</v>
      </c>
      <c r="J584" s="672">
        <v>594342.94999999995</v>
      </c>
      <c r="K584" s="672">
        <v>4567591.1900000004</v>
      </c>
      <c r="L584" s="672">
        <v>17773337.82</v>
      </c>
    </row>
    <row r="585" spans="2:12">
      <c r="B585" s="180" t="s">
        <v>1530</v>
      </c>
      <c r="C585" s="180" t="s">
        <v>1531</v>
      </c>
      <c r="D585" s="180" t="s">
        <v>974</v>
      </c>
      <c r="E585" s="180" t="s">
        <v>1478</v>
      </c>
      <c r="F585" s="672">
        <v>0</v>
      </c>
      <c r="G585" s="672">
        <v>0</v>
      </c>
      <c r="H585" s="672">
        <v>0</v>
      </c>
      <c r="I585" s="672">
        <v>4087.8</v>
      </c>
      <c r="J585" s="672">
        <v>0</v>
      </c>
      <c r="K585" s="672">
        <v>-4087.8</v>
      </c>
      <c r="L585" s="672">
        <v>0</v>
      </c>
    </row>
    <row r="586" spans="2:12">
      <c r="B586" s="180" t="s">
        <v>1573</v>
      </c>
      <c r="C586" s="180" t="s">
        <v>1005</v>
      </c>
      <c r="D586" s="180" t="s">
        <v>993</v>
      </c>
      <c r="E586" s="180" t="s">
        <v>975</v>
      </c>
      <c r="F586" s="672">
        <v>-1740.11</v>
      </c>
      <c r="G586" s="672">
        <v>0</v>
      </c>
      <c r="H586" s="672">
        <v>0</v>
      </c>
      <c r="I586" s="672">
        <v>0</v>
      </c>
      <c r="J586" s="672">
        <v>0</v>
      </c>
      <c r="K586" s="672">
        <v>0</v>
      </c>
      <c r="L586" s="672">
        <v>-1740.11</v>
      </c>
    </row>
    <row r="587" spans="2:12">
      <c r="B587" s="180" t="s">
        <v>1521</v>
      </c>
      <c r="C587" s="180" t="s">
        <v>1189</v>
      </c>
      <c r="D587" s="180" t="s">
        <v>993</v>
      </c>
      <c r="E587" s="180" t="s">
        <v>990</v>
      </c>
      <c r="F587" s="672">
        <v>0</v>
      </c>
      <c r="G587" s="672">
        <v>0</v>
      </c>
      <c r="H587" s="672">
        <v>0</v>
      </c>
      <c r="I587" s="672">
        <v>0</v>
      </c>
      <c r="J587" s="672">
        <v>0</v>
      </c>
      <c r="K587" s="672">
        <v>0</v>
      </c>
      <c r="L587" s="672">
        <v>0</v>
      </c>
    </row>
    <row r="588" spans="2:12">
      <c r="B588" s="180" t="s">
        <v>1426</v>
      </c>
      <c r="C588" s="180" t="s">
        <v>1427</v>
      </c>
      <c r="D588" s="180" t="s">
        <v>993</v>
      </c>
      <c r="E588" s="180" t="s">
        <v>980</v>
      </c>
      <c r="F588" s="672">
        <v>3855831.64</v>
      </c>
      <c r="G588" s="672">
        <v>71662.53</v>
      </c>
      <c r="H588" s="672">
        <v>289877.2</v>
      </c>
      <c r="I588" s="672">
        <v>96037.02</v>
      </c>
      <c r="J588" s="672">
        <v>87361.75</v>
      </c>
      <c r="K588" s="672">
        <v>949168.8</v>
      </c>
      <c r="L588" s="672">
        <v>2361724.34</v>
      </c>
    </row>
    <row r="589" spans="2:12">
      <c r="B589" s="180" t="s">
        <v>1242</v>
      </c>
      <c r="C589" s="180" t="s">
        <v>1237</v>
      </c>
      <c r="D589" s="180" t="s">
        <v>993</v>
      </c>
      <c r="E589" s="180" t="s">
        <v>980</v>
      </c>
      <c r="F589" s="672">
        <v>562010.76</v>
      </c>
      <c r="G589" s="672">
        <v>10670.24</v>
      </c>
      <c r="H589" s="672">
        <v>13853.67</v>
      </c>
      <c r="I589" s="672">
        <v>14749.69</v>
      </c>
      <c r="J589" s="672">
        <v>14778.35</v>
      </c>
      <c r="K589" s="672">
        <v>83852.61</v>
      </c>
      <c r="L589" s="672">
        <v>424106.2</v>
      </c>
    </row>
    <row r="590" spans="2:12">
      <c r="B590" s="180" t="s">
        <v>1700</v>
      </c>
      <c r="C590" s="180" t="s">
        <v>1701</v>
      </c>
      <c r="D590" s="180" t="s">
        <v>974</v>
      </c>
      <c r="E590" s="180" t="s">
        <v>1702</v>
      </c>
      <c r="F590" s="672">
        <v>0</v>
      </c>
      <c r="G590" s="672">
        <v>0</v>
      </c>
      <c r="H590" s="672">
        <v>0</v>
      </c>
      <c r="I590" s="672">
        <v>0</v>
      </c>
      <c r="J590" s="672">
        <v>0</v>
      </c>
      <c r="K590" s="672">
        <v>0</v>
      </c>
      <c r="L590" s="672">
        <v>0</v>
      </c>
    </row>
    <row r="591" spans="2:12">
      <c r="B591" s="180" t="s">
        <v>1582</v>
      </c>
      <c r="C591" s="180" t="s">
        <v>1583</v>
      </c>
      <c r="D591" s="180" t="s">
        <v>974</v>
      </c>
      <c r="E591" s="180" t="s">
        <v>980</v>
      </c>
      <c r="F591" s="672">
        <v>798834.46</v>
      </c>
      <c r="G591" s="672">
        <v>17887.04</v>
      </c>
      <c r="H591" s="672">
        <v>142077.51999999999</v>
      </c>
      <c r="I591" s="672">
        <v>10716.86</v>
      </c>
      <c r="J591" s="672">
        <v>9721.09</v>
      </c>
      <c r="K591" s="672">
        <v>84306.08</v>
      </c>
      <c r="L591" s="672">
        <v>534125.87</v>
      </c>
    </row>
    <row r="592" spans="2:12">
      <c r="B592" s="180" t="s">
        <v>1497</v>
      </c>
      <c r="C592" s="180" t="s">
        <v>1498</v>
      </c>
      <c r="D592" s="180" t="s">
        <v>974</v>
      </c>
      <c r="E592" s="180" t="s">
        <v>975</v>
      </c>
      <c r="F592" s="672">
        <v>211.61</v>
      </c>
      <c r="G592" s="672">
        <v>0</v>
      </c>
      <c r="H592" s="672">
        <v>0</v>
      </c>
      <c r="I592" s="672">
        <v>0</v>
      </c>
      <c r="J592" s="672">
        <v>0</v>
      </c>
      <c r="K592" s="672">
        <v>0</v>
      </c>
      <c r="L592" s="672">
        <v>211.61</v>
      </c>
    </row>
    <row r="593" spans="2:12">
      <c r="B593" s="180" t="s">
        <v>1703</v>
      </c>
      <c r="C593" s="180" t="s">
        <v>1080</v>
      </c>
      <c r="D593" s="180" t="s">
        <v>974</v>
      </c>
      <c r="E593" s="180" t="s">
        <v>975</v>
      </c>
      <c r="F593" s="672">
        <v>-5466.29</v>
      </c>
      <c r="G593" s="672">
        <v>0</v>
      </c>
      <c r="H593" s="672">
        <v>0</v>
      </c>
      <c r="I593" s="672">
        <v>0</v>
      </c>
      <c r="J593" s="672">
        <v>0</v>
      </c>
      <c r="K593" s="672">
        <v>0</v>
      </c>
      <c r="L593" s="672">
        <v>-5466.29</v>
      </c>
    </row>
    <row r="594" spans="2:12">
      <c r="B594" s="180" t="s">
        <v>1704</v>
      </c>
      <c r="C594" s="180" t="s">
        <v>1705</v>
      </c>
      <c r="D594" s="180" t="s">
        <v>974</v>
      </c>
      <c r="E594" s="180" t="s">
        <v>980</v>
      </c>
      <c r="F594" s="672">
        <v>19316.650000000001</v>
      </c>
      <c r="G594" s="672">
        <v>22178.92</v>
      </c>
      <c r="H594" s="672">
        <v>2494.83</v>
      </c>
      <c r="I594" s="672">
        <v>-8178.65</v>
      </c>
      <c r="J594" s="672">
        <v>2458.12</v>
      </c>
      <c r="K594" s="672">
        <v>-100778.65</v>
      </c>
      <c r="L594" s="672">
        <v>101142.08</v>
      </c>
    </row>
    <row r="595" spans="2:12">
      <c r="B595" s="180" t="s">
        <v>1706</v>
      </c>
      <c r="C595" s="180" t="s">
        <v>1707</v>
      </c>
      <c r="D595" s="180" t="s">
        <v>993</v>
      </c>
      <c r="E595" s="180" t="s">
        <v>990</v>
      </c>
      <c r="F595" s="672">
        <v>0</v>
      </c>
      <c r="G595" s="672">
        <v>0</v>
      </c>
      <c r="H595" s="672">
        <v>0</v>
      </c>
      <c r="I595" s="672">
        <v>0</v>
      </c>
      <c r="J595" s="672">
        <v>0</v>
      </c>
      <c r="K595" s="672">
        <v>0</v>
      </c>
      <c r="L595" s="672">
        <v>0</v>
      </c>
    </row>
    <row r="596" spans="2:12">
      <c r="B596" s="180" t="s">
        <v>1027</v>
      </c>
      <c r="C596" s="180" t="s">
        <v>1028</v>
      </c>
      <c r="D596" s="180" t="s">
        <v>974</v>
      </c>
      <c r="E596" s="180" t="s">
        <v>990</v>
      </c>
      <c r="F596" s="672">
        <v>0</v>
      </c>
      <c r="G596" s="672">
        <v>0</v>
      </c>
      <c r="H596" s="672">
        <v>0</v>
      </c>
      <c r="I596" s="672">
        <v>0</v>
      </c>
      <c r="J596" s="672">
        <v>0</v>
      </c>
      <c r="K596" s="672">
        <v>0</v>
      </c>
      <c r="L596" s="672">
        <v>0</v>
      </c>
    </row>
    <row r="597" spans="2:12">
      <c r="B597" s="180" t="s">
        <v>1708</v>
      </c>
      <c r="C597" s="180" t="s">
        <v>1277</v>
      </c>
      <c r="D597" s="180" t="s">
        <v>993</v>
      </c>
      <c r="E597" s="180" t="s">
        <v>975</v>
      </c>
      <c r="F597" s="672">
        <v>-4250.4399999999996</v>
      </c>
      <c r="G597" s="672">
        <v>0</v>
      </c>
      <c r="H597" s="672">
        <v>0</v>
      </c>
      <c r="I597" s="672">
        <v>0</v>
      </c>
      <c r="J597" s="672">
        <v>0</v>
      </c>
      <c r="K597" s="672">
        <v>0</v>
      </c>
      <c r="L597" s="672">
        <v>-4250.4399999999996</v>
      </c>
    </row>
    <row r="598" spans="2:12">
      <c r="B598" s="180" t="s">
        <v>1689</v>
      </c>
      <c r="C598" s="180" t="s">
        <v>1506</v>
      </c>
      <c r="D598" s="180" t="s">
        <v>993</v>
      </c>
      <c r="E598" s="180" t="s">
        <v>990</v>
      </c>
      <c r="F598" s="672">
        <v>0</v>
      </c>
      <c r="G598" s="672">
        <v>0</v>
      </c>
      <c r="H598" s="672">
        <v>0</v>
      </c>
      <c r="I598" s="672">
        <v>0</v>
      </c>
      <c r="J598" s="672">
        <v>0</v>
      </c>
      <c r="K598" s="672">
        <v>0</v>
      </c>
      <c r="L598" s="672">
        <v>0</v>
      </c>
    </row>
    <row r="599" spans="2:12">
      <c r="B599" s="180" t="s">
        <v>1690</v>
      </c>
      <c r="C599" s="180" t="s">
        <v>1691</v>
      </c>
      <c r="D599" s="180" t="s">
        <v>974</v>
      </c>
      <c r="E599" s="180" t="s">
        <v>990</v>
      </c>
      <c r="F599" s="672">
        <v>0</v>
      </c>
      <c r="G599" s="672">
        <v>0</v>
      </c>
      <c r="H599" s="672">
        <v>0</v>
      </c>
      <c r="I599" s="672">
        <v>0</v>
      </c>
      <c r="J599" s="672">
        <v>0</v>
      </c>
      <c r="K599" s="672">
        <v>0</v>
      </c>
      <c r="L599" s="672">
        <v>0</v>
      </c>
    </row>
    <row r="600" spans="2:12">
      <c r="B600" s="180" t="s">
        <v>1709</v>
      </c>
      <c r="C600" s="180" t="s">
        <v>1351</v>
      </c>
      <c r="D600" s="180" t="s">
        <v>974</v>
      </c>
      <c r="E600" s="180" t="s">
        <v>990</v>
      </c>
      <c r="F600" s="672">
        <v>0</v>
      </c>
      <c r="G600" s="672">
        <v>0</v>
      </c>
      <c r="H600" s="672">
        <v>0</v>
      </c>
      <c r="I600" s="672">
        <v>0</v>
      </c>
      <c r="J600" s="672">
        <v>0</v>
      </c>
      <c r="K600" s="672">
        <v>0</v>
      </c>
      <c r="L600" s="672">
        <v>0</v>
      </c>
    </row>
    <row r="601" spans="2:12">
      <c r="B601" s="180" t="s">
        <v>1350</v>
      </c>
      <c r="C601" s="180" t="s">
        <v>1351</v>
      </c>
      <c r="D601" s="180" t="s">
        <v>974</v>
      </c>
      <c r="E601" s="180" t="s">
        <v>990</v>
      </c>
      <c r="F601" s="672">
        <v>0</v>
      </c>
      <c r="G601" s="672">
        <v>0</v>
      </c>
      <c r="H601" s="672">
        <v>0</v>
      </c>
      <c r="I601" s="672">
        <v>0</v>
      </c>
      <c r="J601" s="672">
        <v>0</v>
      </c>
      <c r="K601" s="672">
        <v>0</v>
      </c>
      <c r="L601" s="672">
        <v>0</v>
      </c>
    </row>
    <row r="602" spans="2:12">
      <c r="B602" s="180" t="s">
        <v>1186</v>
      </c>
      <c r="C602" s="180" t="s">
        <v>1187</v>
      </c>
      <c r="D602" s="180" t="s">
        <v>993</v>
      </c>
      <c r="E602" s="180" t="s">
        <v>980</v>
      </c>
      <c r="F602" s="672">
        <v>181313.59</v>
      </c>
      <c r="G602" s="672">
        <v>3165.57</v>
      </c>
      <c r="H602" s="672">
        <v>6049.35</v>
      </c>
      <c r="I602" s="672">
        <v>873.87</v>
      </c>
      <c r="J602" s="672">
        <v>3057.27</v>
      </c>
      <c r="K602" s="672">
        <v>30980.67</v>
      </c>
      <c r="L602" s="672">
        <v>137186.85999999999</v>
      </c>
    </row>
    <row r="603" spans="2:12">
      <c r="B603" s="180" t="s">
        <v>1710</v>
      </c>
      <c r="C603" s="180" t="s">
        <v>1711</v>
      </c>
      <c r="D603" s="180" t="s">
        <v>974</v>
      </c>
      <c r="E603" s="180" t="s">
        <v>980</v>
      </c>
      <c r="F603" s="672">
        <v>1979133.21</v>
      </c>
      <c r="G603" s="672">
        <v>46062.239999999998</v>
      </c>
      <c r="H603" s="672">
        <v>46062.239999999998</v>
      </c>
      <c r="I603" s="672">
        <v>46062.239999999998</v>
      </c>
      <c r="J603" s="672">
        <v>46062.239999999998</v>
      </c>
      <c r="K603" s="672">
        <v>362057.73</v>
      </c>
      <c r="L603" s="672">
        <v>1432826.52</v>
      </c>
    </row>
    <row r="604" spans="2:12">
      <c r="B604" s="180" t="s">
        <v>1712</v>
      </c>
      <c r="C604" s="180" t="s">
        <v>1713</v>
      </c>
      <c r="D604" s="180" t="s">
        <v>974</v>
      </c>
      <c r="E604" s="180" t="s">
        <v>980</v>
      </c>
      <c r="F604" s="672">
        <v>4230922.17</v>
      </c>
      <c r="G604" s="672">
        <v>75015.17</v>
      </c>
      <c r="H604" s="672">
        <v>98916.68</v>
      </c>
      <c r="I604" s="672">
        <v>98910.09</v>
      </c>
      <c r="J604" s="672">
        <v>98912.15</v>
      </c>
      <c r="K604" s="672">
        <v>776724.45</v>
      </c>
      <c r="L604" s="672">
        <v>3082443.63</v>
      </c>
    </row>
    <row r="605" spans="2:12">
      <c r="B605" s="180" t="s">
        <v>1263</v>
      </c>
      <c r="C605" s="180" t="s">
        <v>1032</v>
      </c>
      <c r="D605" s="180" t="s">
        <v>974</v>
      </c>
      <c r="E605" s="180" t="s">
        <v>1075</v>
      </c>
      <c r="F605" s="672">
        <v>0</v>
      </c>
      <c r="G605" s="672">
        <v>0</v>
      </c>
      <c r="H605" s="672">
        <v>0</v>
      </c>
      <c r="I605" s="672">
        <v>0</v>
      </c>
      <c r="J605" s="672">
        <v>0</v>
      </c>
      <c r="K605" s="672">
        <v>0</v>
      </c>
      <c r="L605" s="672">
        <v>0</v>
      </c>
    </row>
    <row r="606" spans="2:12">
      <c r="B606" s="180" t="s">
        <v>1714</v>
      </c>
      <c r="C606" s="180" t="s">
        <v>1080</v>
      </c>
      <c r="D606" s="180" t="s">
        <v>974</v>
      </c>
      <c r="E606" s="180" t="s">
        <v>980</v>
      </c>
      <c r="F606" s="672">
        <v>-4465463.6100000003</v>
      </c>
      <c r="G606" s="672">
        <v>-239406.47</v>
      </c>
      <c r="H606" s="672">
        <v>70509.53</v>
      </c>
      <c r="I606" s="672">
        <v>73395.399999999994</v>
      </c>
      <c r="J606" s="672">
        <v>-145813.22</v>
      </c>
      <c r="K606" s="672">
        <v>2168068.5299999998</v>
      </c>
      <c r="L606" s="672">
        <v>-6392217.3799999999</v>
      </c>
    </row>
    <row r="607" spans="2:12">
      <c r="B607" s="180" t="s">
        <v>1714</v>
      </c>
      <c r="C607" s="180" t="s">
        <v>1080</v>
      </c>
      <c r="D607" s="180" t="s">
        <v>974</v>
      </c>
      <c r="E607" s="180" t="s">
        <v>975</v>
      </c>
      <c r="F607" s="672">
        <v>673.88</v>
      </c>
      <c r="G607" s="672">
        <v>0</v>
      </c>
      <c r="H607" s="672">
        <v>0</v>
      </c>
      <c r="I607" s="672">
        <v>0</v>
      </c>
      <c r="J607" s="672">
        <v>0</v>
      </c>
      <c r="K607" s="672">
        <v>0</v>
      </c>
      <c r="L607" s="672">
        <v>673.88</v>
      </c>
    </row>
    <row r="608" spans="2:12">
      <c r="B608" s="180" t="s">
        <v>1715</v>
      </c>
      <c r="C608" s="180" t="s">
        <v>1716</v>
      </c>
      <c r="D608" s="180" t="s">
        <v>974</v>
      </c>
      <c r="E608" s="180" t="s">
        <v>990</v>
      </c>
      <c r="F608" s="672">
        <v>0</v>
      </c>
      <c r="G608" s="672">
        <v>0</v>
      </c>
      <c r="H608" s="672">
        <v>0</v>
      </c>
      <c r="I608" s="672">
        <v>0</v>
      </c>
      <c r="J608" s="672">
        <v>0</v>
      </c>
      <c r="K608" s="672">
        <v>0</v>
      </c>
      <c r="L608" s="672">
        <v>0</v>
      </c>
    </row>
    <row r="609" spans="2:12">
      <c r="B609" s="180" t="s">
        <v>1717</v>
      </c>
      <c r="C609" s="180" t="s">
        <v>1718</v>
      </c>
      <c r="D609" s="180" t="s">
        <v>974</v>
      </c>
      <c r="E609" s="180" t="s">
        <v>990</v>
      </c>
      <c r="F609" s="672">
        <v>0</v>
      </c>
      <c r="G609" s="672">
        <v>0</v>
      </c>
      <c r="H609" s="672">
        <v>0</v>
      </c>
      <c r="I609" s="672">
        <v>0</v>
      </c>
      <c r="J609" s="672">
        <v>0</v>
      </c>
      <c r="K609" s="672">
        <v>0</v>
      </c>
      <c r="L609" s="672">
        <v>0</v>
      </c>
    </row>
    <row r="610" spans="2:12">
      <c r="B610" s="180" t="s">
        <v>1719</v>
      </c>
      <c r="C610" s="180" t="s">
        <v>1199</v>
      </c>
      <c r="D610" s="180" t="s">
        <v>993</v>
      </c>
      <c r="E610" s="180" t="s">
        <v>980</v>
      </c>
      <c r="F610" s="672">
        <v>446666.94</v>
      </c>
      <c r="G610" s="672">
        <v>12195.85</v>
      </c>
      <c r="H610" s="672">
        <v>13181.85</v>
      </c>
      <c r="I610" s="672">
        <v>14305.18</v>
      </c>
      <c r="J610" s="672">
        <v>21060.1</v>
      </c>
      <c r="K610" s="672">
        <v>84913.94</v>
      </c>
      <c r="L610" s="672">
        <v>301010.02</v>
      </c>
    </row>
    <row r="611" spans="2:12">
      <c r="B611" s="180" t="s">
        <v>1720</v>
      </c>
      <c r="C611" s="180" t="s">
        <v>1104</v>
      </c>
      <c r="D611" s="180" t="s">
        <v>993</v>
      </c>
      <c r="E611" s="180" t="s">
        <v>980</v>
      </c>
      <c r="F611" s="672">
        <v>1646757.03</v>
      </c>
      <c r="G611" s="672">
        <v>37010.21</v>
      </c>
      <c r="H611" s="672">
        <v>42089.56</v>
      </c>
      <c r="I611" s="672">
        <v>40878.1</v>
      </c>
      <c r="J611" s="672">
        <v>42796.480000000003</v>
      </c>
      <c r="K611" s="672">
        <v>316606.84999999998</v>
      </c>
      <c r="L611" s="672">
        <v>1167375.83</v>
      </c>
    </row>
    <row r="612" spans="2:12">
      <c r="B612" s="180" t="s">
        <v>1721</v>
      </c>
      <c r="C612" s="180" t="s">
        <v>1237</v>
      </c>
      <c r="D612" s="180" t="s">
        <v>993</v>
      </c>
      <c r="E612" s="180" t="s">
        <v>990</v>
      </c>
      <c r="F612" s="672">
        <v>0</v>
      </c>
      <c r="G612" s="672">
        <v>0</v>
      </c>
      <c r="H612" s="672">
        <v>0</v>
      </c>
      <c r="I612" s="672">
        <v>0</v>
      </c>
      <c r="J612" s="672">
        <v>0</v>
      </c>
      <c r="K612" s="672">
        <v>0</v>
      </c>
      <c r="L612" s="672">
        <v>0</v>
      </c>
    </row>
    <row r="613" spans="2:12">
      <c r="B613" s="180" t="s">
        <v>1692</v>
      </c>
      <c r="C613" s="180" t="s">
        <v>1693</v>
      </c>
      <c r="D613" s="180" t="s">
        <v>974</v>
      </c>
      <c r="E613" s="180" t="s">
        <v>980</v>
      </c>
      <c r="F613" s="672">
        <v>-51887.86</v>
      </c>
      <c r="G613" s="672">
        <v>-9677.11</v>
      </c>
      <c r="H613" s="672">
        <v>1923.27</v>
      </c>
      <c r="I613" s="672">
        <v>5835.05</v>
      </c>
      <c r="J613" s="672">
        <v>19228.28</v>
      </c>
      <c r="K613" s="672">
        <v>57003.03</v>
      </c>
      <c r="L613" s="672">
        <v>-126200.38</v>
      </c>
    </row>
    <row r="614" spans="2:12">
      <c r="B614" s="180" t="s">
        <v>1722</v>
      </c>
      <c r="C614" s="180" t="s">
        <v>1723</v>
      </c>
      <c r="D614" s="180" t="s">
        <v>974</v>
      </c>
      <c r="E614" s="180" t="s">
        <v>983</v>
      </c>
      <c r="F614" s="672">
        <v>7917.8</v>
      </c>
      <c r="G614" s="672">
        <v>207.72</v>
      </c>
      <c r="H614" s="672">
        <v>194.55</v>
      </c>
      <c r="I614" s="672">
        <v>188.36</v>
      </c>
      <c r="J614" s="672">
        <v>187.07</v>
      </c>
      <c r="K614" s="672">
        <v>1487.67</v>
      </c>
      <c r="L614" s="672">
        <v>5652.43</v>
      </c>
    </row>
    <row r="615" spans="2:12">
      <c r="B615" s="180" t="s">
        <v>1299</v>
      </c>
      <c r="C615" s="180" t="s">
        <v>1300</v>
      </c>
      <c r="D615" s="180" t="s">
        <v>993</v>
      </c>
      <c r="E615" s="180" t="s">
        <v>990</v>
      </c>
      <c r="F615" s="672">
        <v>0</v>
      </c>
      <c r="G615" s="672">
        <v>0</v>
      </c>
      <c r="H615" s="672">
        <v>0</v>
      </c>
      <c r="I615" s="672">
        <v>0</v>
      </c>
      <c r="J615" s="672">
        <v>0</v>
      </c>
      <c r="K615" s="672">
        <v>0</v>
      </c>
      <c r="L615" s="672">
        <v>0</v>
      </c>
    </row>
    <row r="616" spans="2:12">
      <c r="B616" s="180" t="s">
        <v>1724</v>
      </c>
      <c r="C616" s="180" t="s">
        <v>1725</v>
      </c>
      <c r="D616" s="180" t="s">
        <v>974</v>
      </c>
      <c r="E616" s="180" t="s">
        <v>975</v>
      </c>
      <c r="F616" s="672">
        <v>86755.36</v>
      </c>
      <c r="G616" s="672">
        <v>0</v>
      </c>
      <c r="H616" s="672">
        <v>0</v>
      </c>
      <c r="I616" s="672">
        <v>0</v>
      </c>
      <c r="J616" s="672">
        <v>0</v>
      </c>
      <c r="K616" s="672">
        <v>86755.36</v>
      </c>
      <c r="L616" s="672">
        <v>0</v>
      </c>
    </row>
    <row r="617" spans="2:12">
      <c r="B617" s="180" t="s">
        <v>1726</v>
      </c>
      <c r="C617" s="180" t="s">
        <v>1255</v>
      </c>
      <c r="D617" s="180" t="s">
        <v>993</v>
      </c>
      <c r="E617" s="180" t="s">
        <v>980</v>
      </c>
      <c r="F617" s="672">
        <v>909598.63</v>
      </c>
      <c r="G617" s="672">
        <v>15517.73</v>
      </c>
      <c r="H617" s="672">
        <v>20408.57</v>
      </c>
      <c r="I617" s="672">
        <v>21801.27</v>
      </c>
      <c r="J617" s="672">
        <v>21937.57</v>
      </c>
      <c r="K617" s="672">
        <v>152989.70000000001</v>
      </c>
      <c r="L617" s="672">
        <v>676943.79</v>
      </c>
    </row>
    <row r="618" spans="2:12">
      <c r="B618" s="180" t="s">
        <v>1297</v>
      </c>
      <c r="C618" s="180" t="s">
        <v>1298</v>
      </c>
      <c r="D618" s="180" t="s">
        <v>974</v>
      </c>
      <c r="E618" s="180" t="s">
        <v>990</v>
      </c>
      <c r="F618" s="672">
        <v>0</v>
      </c>
      <c r="G618" s="672">
        <v>0</v>
      </c>
      <c r="H618" s="672">
        <v>0</v>
      </c>
      <c r="I618" s="672">
        <v>0</v>
      </c>
      <c r="J618" s="672">
        <v>0</v>
      </c>
      <c r="K618" s="672">
        <v>0</v>
      </c>
      <c r="L618" s="672">
        <v>0</v>
      </c>
    </row>
    <row r="619" spans="2:12">
      <c r="B619" s="180" t="s">
        <v>1458</v>
      </c>
      <c r="C619" s="180" t="s">
        <v>1459</v>
      </c>
      <c r="D619" s="180" t="s">
        <v>993</v>
      </c>
      <c r="E619" s="180" t="s">
        <v>990</v>
      </c>
      <c r="F619" s="672">
        <v>0</v>
      </c>
      <c r="G619" s="672">
        <v>0</v>
      </c>
      <c r="H619" s="672">
        <v>0</v>
      </c>
      <c r="I619" s="672">
        <v>0</v>
      </c>
      <c r="J619" s="672">
        <v>0</v>
      </c>
      <c r="K619" s="672">
        <v>0</v>
      </c>
      <c r="L619" s="672">
        <v>0</v>
      </c>
    </row>
    <row r="620" spans="2:12">
      <c r="B620" s="180" t="s">
        <v>986</v>
      </c>
      <c r="C620" s="180" t="s">
        <v>987</v>
      </c>
      <c r="D620" s="180" t="s">
        <v>974</v>
      </c>
      <c r="E620" s="180" t="s">
        <v>980</v>
      </c>
      <c r="F620" s="672">
        <v>3101.33</v>
      </c>
      <c r="G620" s="672">
        <v>-362.68</v>
      </c>
      <c r="H620" s="672">
        <v>-667.9</v>
      </c>
      <c r="I620" s="672">
        <v>-33.549999999999997</v>
      </c>
      <c r="J620" s="672">
        <v>483.51</v>
      </c>
      <c r="K620" s="672">
        <v>-2411.1799999999998</v>
      </c>
      <c r="L620" s="672">
        <v>6093.13</v>
      </c>
    </row>
    <row r="621" spans="2:12">
      <c r="B621" s="180" t="s">
        <v>1551</v>
      </c>
      <c r="C621" s="180" t="s">
        <v>1552</v>
      </c>
      <c r="D621" s="180" t="s">
        <v>974</v>
      </c>
      <c r="E621" s="180" t="s">
        <v>990</v>
      </c>
      <c r="F621" s="672">
        <v>0</v>
      </c>
      <c r="G621" s="672">
        <v>0</v>
      </c>
      <c r="H621" s="672">
        <v>0</v>
      </c>
      <c r="I621" s="672">
        <v>0</v>
      </c>
      <c r="J621" s="672">
        <v>0</v>
      </c>
      <c r="K621" s="672">
        <v>0</v>
      </c>
      <c r="L621" s="672">
        <v>0</v>
      </c>
    </row>
    <row r="622" spans="2:12">
      <c r="B622" s="180" t="s">
        <v>1023</v>
      </c>
      <c r="C622" s="180" t="s">
        <v>1024</v>
      </c>
      <c r="D622" s="180" t="s">
        <v>974</v>
      </c>
      <c r="E622" s="180" t="s">
        <v>975</v>
      </c>
      <c r="F622" s="672">
        <v>-5</v>
      </c>
      <c r="G622" s="672">
        <v>0</v>
      </c>
      <c r="H622" s="672">
        <v>0</v>
      </c>
      <c r="I622" s="672">
        <v>0</v>
      </c>
      <c r="J622" s="672">
        <v>0</v>
      </c>
      <c r="K622" s="672">
        <v>0</v>
      </c>
      <c r="L622" s="672">
        <v>-5</v>
      </c>
    </row>
    <row r="623" spans="2:12">
      <c r="B623" s="180" t="s">
        <v>1233</v>
      </c>
      <c r="C623" s="180" t="s">
        <v>1234</v>
      </c>
      <c r="D623" s="180" t="s">
        <v>974</v>
      </c>
      <c r="E623" s="180" t="s">
        <v>980</v>
      </c>
      <c r="F623" s="672">
        <v>38679.19</v>
      </c>
      <c r="G623" s="672">
        <v>18600.64</v>
      </c>
      <c r="H623" s="672">
        <v>-14216.82</v>
      </c>
      <c r="I623" s="672">
        <v>280.48</v>
      </c>
      <c r="J623" s="672">
        <v>17187.349999999999</v>
      </c>
      <c r="K623" s="672">
        <v>-15345.27</v>
      </c>
      <c r="L623" s="672">
        <v>32172.81</v>
      </c>
    </row>
    <row r="624" spans="2:12">
      <c r="B624" s="180" t="s">
        <v>1727</v>
      </c>
      <c r="C624" s="180" t="s">
        <v>979</v>
      </c>
      <c r="D624" s="180" t="s">
        <v>974</v>
      </c>
      <c r="E624" s="180" t="s">
        <v>990</v>
      </c>
      <c r="F624" s="672">
        <v>0</v>
      </c>
      <c r="G624" s="672">
        <v>0</v>
      </c>
      <c r="H624" s="672">
        <v>0</v>
      </c>
      <c r="I624" s="672">
        <v>0</v>
      </c>
      <c r="J624" s="672">
        <v>0</v>
      </c>
      <c r="K624" s="672">
        <v>0</v>
      </c>
      <c r="L624" s="672">
        <v>0</v>
      </c>
    </row>
    <row r="625" spans="2:12">
      <c r="B625" s="180" t="s">
        <v>1700</v>
      </c>
      <c r="C625" s="180" t="s">
        <v>1701</v>
      </c>
      <c r="D625" s="180" t="s">
        <v>974</v>
      </c>
      <c r="E625" s="180" t="s">
        <v>975</v>
      </c>
      <c r="F625" s="672">
        <v>0</v>
      </c>
      <c r="G625" s="672">
        <v>0</v>
      </c>
      <c r="H625" s="672">
        <v>0</v>
      </c>
      <c r="I625" s="672">
        <v>0</v>
      </c>
      <c r="J625" s="672">
        <v>0</v>
      </c>
      <c r="K625" s="672">
        <v>0</v>
      </c>
      <c r="L625" s="672">
        <v>0</v>
      </c>
    </row>
    <row r="626" spans="2:12">
      <c r="B626" s="180" t="s">
        <v>1728</v>
      </c>
      <c r="C626" s="180" t="s">
        <v>1502</v>
      </c>
      <c r="D626" s="180" t="s">
        <v>993</v>
      </c>
      <c r="E626" s="180" t="s">
        <v>980</v>
      </c>
      <c r="F626" s="672">
        <v>519741.09</v>
      </c>
      <c r="G626" s="672">
        <v>13272.93</v>
      </c>
      <c r="H626" s="672">
        <v>14328.2</v>
      </c>
      <c r="I626" s="672">
        <v>15696.05</v>
      </c>
      <c r="J626" s="672">
        <v>15753.29</v>
      </c>
      <c r="K626" s="672">
        <v>89225.61</v>
      </c>
      <c r="L626" s="672">
        <v>371465.01</v>
      </c>
    </row>
    <row r="627" spans="2:12">
      <c r="B627" s="180" t="s">
        <v>1729</v>
      </c>
      <c r="C627" s="180" t="s">
        <v>1210</v>
      </c>
      <c r="D627" s="180" t="s">
        <v>993</v>
      </c>
      <c r="E627" s="180" t="s">
        <v>980</v>
      </c>
      <c r="F627" s="672">
        <v>771014.63</v>
      </c>
      <c r="G627" s="672">
        <v>15473.85</v>
      </c>
      <c r="H627" s="672">
        <v>18411.86</v>
      </c>
      <c r="I627" s="672">
        <v>20199.77</v>
      </c>
      <c r="J627" s="672">
        <v>18833.580000000002</v>
      </c>
      <c r="K627" s="672">
        <v>136388.42000000001</v>
      </c>
      <c r="L627" s="672">
        <v>561707.15</v>
      </c>
    </row>
    <row r="628" spans="2:12">
      <c r="B628" s="180" t="s">
        <v>1730</v>
      </c>
      <c r="C628" s="180" t="s">
        <v>1220</v>
      </c>
      <c r="D628" s="180" t="s">
        <v>974</v>
      </c>
      <c r="E628" s="180" t="s">
        <v>980</v>
      </c>
      <c r="F628" s="672">
        <v>-14093.56</v>
      </c>
      <c r="G628" s="672">
        <v>4.93</v>
      </c>
      <c r="H628" s="672">
        <v>34336.75</v>
      </c>
      <c r="I628" s="672">
        <v>-6242.57</v>
      </c>
      <c r="J628" s="672">
        <v>-6533.48</v>
      </c>
      <c r="K628" s="672">
        <v>-158909.82</v>
      </c>
      <c r="L628" s="672">
        <v>123250.63</v>
      </c>
    </row>
    <row r="629" spans="2:12">
      <c r="B629" s="180" t="s">
        <v>1186</v>
      </c>
      <c r="C629" s="180" t="s">
        <v>1187</v>
      </c>
      <c r="D629" s="180" t="s">
        <v>993</v>
      </c>
      <c r="E629" s="180" t="s">
        <v>975</v>
      </c>
      <c r="F629" s="672">
        <v>-28239.279999999999</v>
      </c>
      <c r="G629" s="672">
        <v>0</v>
      </c>
      <c r="H629" s="672">
        <v>0</v>
      </c>
      <c r="I629" s="672">
        <v>0</v>
      </c>
      <c r="J629" s="672">
        <v>0</v>
      </c>
      <c r="K629" s="672">
        <v>0</v>
      </c>
      <c r="L629" s="672">
        <v>-28239.279999999999</v>
      </c>
    </row>
    <row r="630" spans="2:12">
      <c r="B630" s="180" t="s">
        <v>1731</v>
      </c>
      <c r="C630" s="180" t="s">
        <v>1732</v>
      </c>
      <c r="D630" s="180" t="s">
        <v>974</v>
      </c>
      <c r="E630" s="180" t="s">
        <v>980</v>
      </c>
      <c r="F630" s="672">
        <v>4491532.96</v>
      </c>
      <c r="G630" s="672">
        <v>104486.55</v>
      </c>
      <c r="H630" s="672">
        <v>104502.59</v>
      </c>
      <c r="I630" s="672">
        <v>104469.62</v>
      </c>
      <c r="J630" s="672">
        <v>104440.05</v>
      </c>
      <c r="K630" s="672">
        <v>820218.86</v>
      </c>
      <c r="L630" s="672">
        <v>3253415.29</v>
      </c>
    </row>
    <row r="631" spans="2:12">
      <c r="B631" s="180" t="s">
        <v>1733</v>
      </c>
      <c r="C631" s="180" t="s">
        <v>1174</v>
      </c>
      <c r="D631" s="180" t="s">
        <v>993</v>
      </c>
      <c r="E631" s="180" t="s">
        <v>975</v>
      </c>
      <c r="F631" s="672">
        <v>-7979.01</v>
      </c>
      <c r="G631" s="672">
        <v>0</v>
      </c>
      <c r="H631" s="672">
        <v>0</v>
      </c>
      <c r="I631" s="672">
        <v>0</v>
      </c>
      <c r="J631" s="672">
        <v>0</v>
      </c>
      <c r="K631" s="672">
        <v>0</v>
      </c>
      <c r="L631" s="672">
        <v>-7979.01</v>
      </c>
    </row>
    <row r="632" spans="2:12">
      <c r="B632" s="180" t="s">
        <v>976</v>
      </c>
      <c r="C632" s="180" t="s">
        <v>977</v>
      </c>
      <c r="D632" s="180" t="s">
        <v>974</v>
      </c>
      <c r="E632" s="180" t="s">
        <v>980</v>
      </c>
      <c r="F632" s="672">
        <v>4781.01</v>
      </c>
      <c r="G632" s="672">
        <v>4948.3500000000004</v>
      </c>
      <c r="H632" s="672">
        <v>48722.9</v>
      </c>
      <c r="I632" s="672">
        <v>-9793.93</v>
      </c>
      <c r="J632" s="672">
        <v>-13077.65</v>
      </c>
      <c r="K632" s="672">
        <v>-23040.79</v>
      </c>
      <c r="L632" s="672">
        <v>-2977.87</v>
      </c>
    </row>
    <row r="633" spans="2:12">
      <c r="B633" s="180" t="s">
        <v>978</v>
      </c>
      <c r="C633" s="180" t="s">
        <v>979</v>
      </c>
      <c r="D633" s="180" t="s">
        <v>974</v>
      </c>
      <c r="E633" s="180" t="s">
        <v>990</v>
      </c>
      <c r="F633" s="672">
        <v>0</v>
      </c>
      <c r="G633" s="672">
        <v>0</v>
      </c>
      <c r="H633" s="672">
        <v>0</v>
      </c>
      <c r="I633" s="672">
        <v>0</v>
      </c>
      <c r="J633" s="672">
        <v>0</v>
      </c>
      <c r="K633" s="672">
        <v>0</v>
      </c>
      <c r="L633" s="672">
        <v>0</v>
      </c>
    </row>
    <row r="634" spans="2:12">
      <c r="B634" s="180" t="s">
        <v>1313</v>
      </c>
      <c r="C634" s="180" t="s">
        <v>1314</v>
      </c>
      <c r="D634" s="180" t="s">
        <v>974</v>
      </c>
      <c r="E634" s="180" t="s">
        <v>990</v>
      </c>
      <c r="F634" s="672">
        <v>0</v>
      </c>
      <c r="G634" s="672">
        <v>0</v>
      </c>
      <c r="H634" s="672">
        <v>0</v>
      </c>
      <c r="I634" s="672">
        <v>0</v>
      </c>
      <c r="J634" s="672">
        <v>0</v>
      </c>
      <c r="K634" s="672">
        <v>0</v>
      </c>
      <c r="L634" s="672">
        <v>0</v>
      </c>
    </row>
    <row r="635" spans="2:12">
      <c r="B635" s="180" t="s">
        <v>1734</v>
      </c>
      <c r="C635" s="180" t="s">
        <v>1735</v>
      </c>
      <c r="D635" s="180" t="s">
        <v>993</v>
      </c>
      <c r="E635" s="180" t="s">
        <v>980</v>
      </c>
      <c r="F635" s="672">
        <v>31777.56</v>
      </c>
      <c r="G635" s="672">
        <v>905.93</v>
      </c>
      <c r="H635" s="672">
        <v>1142.78</v>
      </c>
      <c r="I635" s="672">
        <v>1370.68</v>
      </c>
      <c r="J635" s="672">
        <v>1329.56</v>
      </c>
      <c r="K635" s="672">
        <v>6589.09</v>
      </c>
      <c r="L635" s="672">
        <v>20439.52</v>
      </c>
    </row>
    <row r="636" spans="2:12">
      <c r="B636" s="180" t="s">
        <v>1736</v>
      </c>
      <c r="C636" s="180" t="s">
        <v>1737</v>
      </c>
      <c r="D636" s="180" t="s">
        <v>993</v>
      </c>
      <c r="E636" s="180" t="s">
        <v>975</v>
      </c>
      <c r="F636" s="672">
        <v>-109866.44</v>
      </c>
      <c r="G636" s="672">
        <v>0</v>
      </c>
      <c r="H636" s="672">
        <v>0</v>
      </c>
      <c r="I636" s="672">
        <v>0</v>
      </c>
      <c r="J636" s="672">
        <v>0</v>
      </c>
      <c r="K636" s="672">
        <v>0</v>
      </c>
      <c r="L636" s="672">
        <v>-109866.44</v>
      </c>
    </row>
    <row r="637" spans="2:12">
      <c r="B637" s="180" t="s">
        <v>1254</v>
      </c>
      <c r="C637" s="180" t="s">
        <v>1255</v>
      </c>
      <c r="D637" s="180" t="s">
        <v>993</v>
      </c>
      <c r="E637" s="180" t="s">
        <v>980</v>
      </c>
      <c r="F637" s="672">
        <v>153853.75</v>
      </c>
      <c r="G637" s="672">
        <v>2644.97</v>
      </c>
      <c r="H637" s="672">
        <v>2183.5700000000002</v>
      </c>
      <c r="I637" s="672">
        <v>2933.79</v>
      </c>
      <c r="J637" s="672">
        <v>2899.6</v>
      </c>
      <c r="K637" s="672">
        <v>53570.7</v>
      </c>
      <c r="L637" s="672">
        <v>89621.119999999995</v>
      </c>
    </row>
    <row r="638" spans="2:12">
      <c r="B638" s="180" t="s">
        <v>1738</v>
      </c>
      <c r="C638" s="180" t="s">
        <v>1739</v>
      </c>
      <c r="D638" s="180" t="s">
        <v>974</v>
      </c>
      <c r="E638" s="180" t="s">
        <v>990</v>
      </c>
      <c r="F638" s="672">
        <v>0</v>
      </c>
      <c r="G638" s="672">
        <v>0</v>
      </c>
      <c r="H638" s="672">
        <v>0</v>
      </c>
      <c r="I638" s="672">
        <v>0</v>
      </c>
      <c r="J638" s="672">
        <v>0</v>
      </c>
      <c r="K638" s="672">
        <v>0</v>
      </c>
      <c r="L638" s="672">
        <v>0</v>
      </c>
    </row>
    <row r="639" spans="2:12">
      <c r="B639" s="180" t="s">
        <v>1236</v>
      </c>
      <c r="C639" s="180" t="s">
        <v>1237</v>
      </c>
      <c r="D639" s="180" t="s">
        <v>993</v>
      </c>
      <c r="E639" s="180" t="s">
        <v>990</v>
      </c>
      <c r="F639" s="672">
        <v>0</v>
      </c>
      <c r="G639" s="672">
        <v>0</v>
      </c>
      <c r="H639" s="672">
        <v>0</v>
      </c>
      <c r="I639" s="672">
        <v>0</v>
      </c>
      <c r="J639" s="672">
        <v>0</v>
      </c>
      <c r="K639" s="672">
        <v>0</v>
      </c>
      <c r="L639" s="672">
        <v>0</v>
      </c>
    </row>
    <row r="640" spans="2:12">
      <c r="B640" s="180" t="s">
        <v>1565</v>
      </c>
      <c r="C640" s="180" t="s">
        <v>1566</v>
      </c>
      <c r="D640" s="180" t="s">
        <v>993</v>
      </c>
      <c r="E640" s="180" t="s">
        <v>990</v>
      </c>
      <c r="F640" s="672">
        <v>0</v>
      </c>
      <c r="G640" s="672">
        <v>0</v>
      </c>
      <c r="H640" s="672">
        <v>0</v>
      </c>
      <c r="I640" s="672">
        <v>0</v>
      </c>
      <c r="J640" s="672">
        <v>0</v>
      </c>
      <c r="K640" s="672">
        <v>0</v>
      </c>
      <c r="L640" s="672">
        <v>0</v>
      </c>
    </row>
    <row r="641" spans="2:12">
      <c r="B641" s="180" t="s">
        <v>1261</v>
      </c>
      <c r="C641" s="180" t="s">
        <v>1262</v>
      </c>
      <c r="D641" s="180" t="s">
        <v>974</v>
      </c>
      <c r="E641" s="180" t="s">
        <v>1034</v>
      </c>
      <c r="F641" s="672">
        <v>0</v>
      </c>
      <c r="G641" s="672">
        <v>0</v>
      </c>
      <c r="H641" s="672">
        <v>0</v>
      </c>
      <c r="I641" s="672">
        <v>0</v>
      </c>
      <c r="J641" s="672">
        <v>0</v>
      </c>
      <c r="K641" s="672">
        <v>0</v>
      </c>
      <c r="L641" s="672">
        <v>0</v>
      </c>
    </row>
    <row r="642" spans="2:12">
      <c r="B642" s="180" t="s">
        <v>1029</v>
      </c>
      <c r="C642" s="180" t="s">
        <v>1030</v>
      </c>
      <c r="D642" s="180" t="s">
        <v>993</v>
      </c>
      <c r="E642" s="180" t="s">
        <v>1078</v>
      </c>
      <c r="F642" s="672">
        <v>0</v>
      </c>
      <c r="G642" s="672">
        <v>-825</v>
      </c>
      <c r="H642" s="672">
        <v>0</v>
      </c>
      <c r="I642" s="672">
        <v>0</v>
      </c>
      <c r="J642" s="672">
        <v>0</v>
      </c>
      <c r="K642" s="672">
        <v>0</v>
      </c>
      <c r="L642" s="672">
        <v>825</v>
      </c>
    </row>
    <row r="643" spans="2:12">
      <c r="B643" s="180" t="s">
        <v>1740</v>
      </c>
      <c r="C643" s="180" t="s">
        <v>1741</v>
      </c>
      <c r="D643" s="180" t="s">
        <v>974</v>
      </c>
      <c r="E643" s="180" t="s">
        <v>980</v>
      </c>
      <c r="F643" s="672">
        <v>4062.45</v>
      </c>
      <c r="G643" s="672">
        <v>528.29</v>
      </c>
      <c r="H643" s="672">
        <v>1368.49</v>
      </c>
      <c r="I643" s="672">
        <v>-7545.41</v>
      </c>
      <c r="J643" s="672">
        <v>4740.62</v>
      </c>
      <c r="K643" s="672">
        <v>4349.8</v>
      </c>
      <c r="L643" s="672">
        <v>620.66</v>
      </c>
    </row>
    <row r="644" spans="2:12">
      <c r="B644" s="180" t="s">
        <v>1268</v>
      </c>
      <c r="C644" s="180" t="s">
        <v>1269</v>
      </c>
      <c r="D644" s="180" t="s">
        <v>974</v>
      </c>
      <c r="E644" s="180" t="s">
        <v>990</v>
      </c>
      <c r="F644" s="672">
        <v>0</v>
      </c>
      <c r="G644" s="672">
        <v>0</v>
      </c>
      <c r="H644" s="672">
        <v>0</v>
      </c>
      <c r="I644" s="672">
        <v>0</v>
      </c>
      <c r="J644" s="672">
        <v>0</v>
      </c>
      <c r="K644" s="672">
        <v>0</v>
      </c>
      <c r="L644" s="672">
        <v>0</v>
      </c>
    </row>
    <row r="645" spans="2:12">
      <c r="B645" s="180" t="s">
        <v>1122</v>
      </c>
      <c r="C645" s="180" t="s">
        <v>1123</v>
      </c>
      <c r="D645" s="180" t="s">
        <v>993</v>
      </c>
      <c r="E645" s="180" t="s">
        <v>975</v>
      </c>
      <c r="F645" s="672">
        <v>-17355.95</v>
      </c>
      <c r="G645" s="672">
        <v>0</v>
      </c>
      <c r="H645" s="672">
        <v>0</v>
      </c>
      <c r="I645" s="672">
        <v>0</v>
      </c>
      <c r="J645" s="672">
        <v>0</v>
      </c>
      <c r="K645" s="672">
        <v>-1067.95</v>
      </c>
      <c r="L645" s="672">
        <v>-16288</v>
      </c>
    </row>
    <row r="646" spans="2:12">
      <c r="B646" s="180" t="s">
        <v>1643</v>
      </c>
      <c r="C646" s="180" t="s">
        <v>1644</v>
      </c>
      <c r="D646" s="180" t="s">
        <v>974</v>
      </c>
      <c r="E646" s="180" t="s">
        <v>980</v>
      </c>
      <c r="F646" s="672">
        <v>347089.54</v>
      </c>
      <c r="G646" s="672">
        <v>748924.27</v>
      </c>
      <c r="H646" s="672">
        <v>-317909.14</v>
      </c>
      <c r="I646" s="672">
        <v>198078.24</v>
      </c>
      <c r="J646" s="672">
        <v>-283863.90000000002</v>
      </c>
      <c r="K646" s="672">
        <v>-657879.66</v>
      </c>
      <c r="L646" s="672">
        <v>659739.73</v>
      </c>
    </row>
    <row r="647" spans="2:12">
      <c r="B647" s="180" t="s">
        <v>1742</v>
      </c>
      <c r="C647" s="180" t="s">
        <v>1309</v>
      </c>
      <c r="D647" s="180" t="s">
        <v>993</v>
      </c>
      <c r="E647" s="180" t="s">
        <v>990</v>
      </c>
      <c r="F647" s="672">
        <v>0</v>
      </c>
      <c r="G647" s="672">
        <v>0</v>
      </c>
      <c r="H647" s="672">
        <v>0</v>
      </c>
      <c r="I647" s="672">
        <v>0</v>
      </c>
      <c r="J647" s="672">
        <v>0</v>
      </c>
      <c r="K647" s="672">
        <v>0</v>
      </c>
      <c r="L647" s="672">
        <v>0</v>
      </c>
    </row>
    <row r="648" spans="2:12">
      <c r="B648" s="180" t="s">
        <v>1685</v>
      </c>
      <c r="C648" s="180" t="s">
        <v>1686</v>
      </c>
      <c r="D648" s="180" t="s">
        <v>974</v>
      </c>
      <c r="E648" s="180" t="s">
        <v>990</v>
      </c>
      <c r="F648" s="672">
        <v>0</v>
      </c>
      <c r="G648" s="672">
        <v>0</v>
      </c>
      <c r="H648" s="672">
        <v>0</v>
      </c>
      <c r="I648" s="672">
        <v>0</v>
      </c>
      <c r="J648" s="672">
        <v>0</v>
      </c>
      <c r="K648" s="672">
        <v>0</v>
      </c>
      <c r="L648" s="672">
        <v>0</v>
      </c>
    </row>
    <row r="649" spans="2:12">
      <c r="B649" s="180" t="s">
        <v>1406</v>
      </c>
      <c r="C649" s="180" t="s">
        <v>1187</v>
      </c>
      <c r="D649" s="180" t="s">
        <v>993</v>
      </c>
      <c r="E649" s="180" t="s">
        <v>980</v>
      </c>
      <c r="F649" s="672">
        <v>900896.67</v>
      </c>
      <c r="G649" s="672">
        <v>16116.47</v>
      </c>
      <c r="H649" s="672">
        <v>19382.669999999998</v>
      </c>
      <c r="I649" s="672">
        <v>20559.759999999998</v>
      </c>
      <c r="J649" s="672">
        <v>20880.7</v>
      </c>
      <c r="K649" s="672">
        <v>157949.78</v>
      </c>
      <c r="L649" s="672">
        <v>666007.29</v>
      </c>
    </row>
    <row r="650" spans="2:12">
      <c r="B650" s="180" t="s">
        <v>1743</v>
      </c>
      <c r="C650" s="180" t="s">
        <v>1005</v>
      </c>
      <c r="D650" s="180" t="s">
        <v>993</v>
      </c>
      <c r="E650" s="180" t="s">
        <v>990</v>
      </c>
      <c r="F650" s="672">
        <v>0</v>
      </c>
      <c r="G650" s="672">
        <v>0</v>
      </c>
      <c r="H650" s="672">
        <v>0</v>
      </c>
      <c r="I650" s="672">
        <v>0</v>
      </c>
      <c r="J650" s="672">
        <v>0</v>
      </c>
      <c r="K650" s="672">
        <v>0</v>
      </c>
      <c r="L650" s="672">
        <v>0</v>
      </c>
    </row>
    <row r="651" spans="2:12">
      <c r="B651" s="180" t="s">
        <v>1744</v>
      </c>
      <c r="C651" s="180" t="s">
        <v>1307</v>
      </c>
      <c r="D651" s="180" t="s">
        <v>993</v>
      </c>
      <c r="E651" s="180" t="s">
        <v>990</v>
      </c>
      <c r="F651" s="672">
        <v>0</v>
      </c>
      <c r="G651" s="672">
        <v>0</v>
      </c>
      <c r="H651" s="672">
        <v>0</v>
      </c>
      <c r="I651" s="672">
        <v>0</v>
      </c>
      <c r="J651" s="672">
        <v>0</v>
      </c>
      <c r="K651" s="672">
        <v>0</v>
      </c>
      <c r="L651" s="672">
        <v>0</v>
      </c>
    </row>
    <row r="652" spans="2:12">
      <c r="B652" s="180" t="s">
        <v>1745</v>
      </c>
      <c r="C652" s="180" t="s">
        <v>1746</v>
      </c>
      <c r="D652" s="180" t="s">
        <v>974</v>
      </c>
      <c r="E652" s="180" t="s">
        <v>1022</v>
      </c>
      <c r="F652" s="672">
        <v>100</v>
      </c>
      <c r="G652" s="672">
        <v>0</v>
      </c>
      <c r="H652" s="672">
        <v>100</v>
      </c>
      <c r="I652" s="672">
        <v>0</v>
      </c>
      <c r="J652" s="672">
        <v>0</v>
      </c>
      <c r="K652" s="672">
        <v>0</v>
      </c>
      <c r="L652" s="672">
        <v>0</v>
      </c>
    </row>
    <row r="653" spans="2:12">
      <c r="B653" s="180" t="s">
        <v>1747</v>
      </c>
      <c r="C653" s="180" t="s">
        <v>1748</v>
      </c>
      <c r="D653" s="180" t="s">
        <v>974</v>
      </c>
      <c r="E653" s="180" t="s">
        <v>980</v>
      </c>
      <c r="F653" s="672">
        <v>2811526.95</v>
      </c>
      <c r="G653" s="672">
        <v>64295.82</v>
      </c>
      <c r="H653" s="672">
        <v>64217.66</v>
      </c>
      <c r="I653" s="672">
        <v>65048.86</v>
      </c>
      <c r="J653" s="672">
        <v>64925.14</v>
      </c>
      <c r="K653" s="672">
        <v>508522.22</v>
      </c>
      <c r="L653" s="672">
        <v>2044517.25</v>
      </c>
    </row>
    <row r="654" spans="2:12">
      <c r="B654" s="180" t="s">
        <v>1749</v>
      </c>
      <c r="C654" s="180" t="s">
        <v>1750</v>
      </c>
      <c r="D654" s="180" t="s">
        <v>974</v>
      </c>
      <c r="E654" s="180" t="s">
        <v>975</v>
      </c>
      <c r="F654" s="672">
        <v>-231906.95</v>
      </c>
      <c r="G654" s="672">
        <v>0</v>
      </c>
      <c r="H654" s="672">
        <v>0</v>
      </c>
      <c r="I654" s="672">
        <v>0</v>
      </c>
      <c r="J654" s="672">
        <v>0</v>
      </c>
      <c r="K654" s="672">
        <v>0</v>
      </c>
      <c r="L654" s="672">
        <v>-231906.95</v>
      </c>
    </row>
    <row r="655" spans="2:12">
      <c r="B655" s="180" t="s">
        <v>1654</v>
      </c>
      <c r="C655" s="180" t="s">
        <v>1488</v>
      </c>
      <c r="D655" s="180" t="s">
        <v>974</v>
      </c>
      <c r="E655" s="180" t="s">
        <v>975</v>
      </c>
      <c r="F655" s="672">
        <v>449439.26</v>
      </c>
      <c r="G655" s="672">
        <v>0</v>
      </c>
      <c r="H655" s="672">
        <v>0</v>
      </c>
      <c r="I655" s="672">
        <v>1633.6</v>
      </c>
      <c r="J655" s="672">
        <v>0</v>
      </c>
      <c r="K655" s="672">
        <v>120317.16</v>
      </c>
      <c r="L655" s="672">
        <v>327488.5</v>
      </c>
    </row>
    <row r="656" spans="2:12">
      <c r="B656" s="180" t="s">
        <v>1751</v>
      </c>
      <c r="C656" s="180" t="s">
        <v>1631</v>
      </c>
      <c r="D656" s="180" t="s">
        <v>993</v>
      </c>
      <c r="E656" s="180" t="s">
        <v>1075</v>
      </c>
      <c r="F656" s="672">
        <v>0</v>
      </c>
      <c r="G656" s="672">
        <v>0</v>
      </c>
      <c r="H656" s="672">
        <v>0</v>
      </c>
      <c r="I656" s="672">
        <v>0</v>
      </c>
      <c r="J656" s="672">
        <v>0</v>
      </c>
      <c r="K656" s="672">
        <v>0</v>
      </c>
      <c r="L656" s="672">
        <v>0</v>
      </c>
    </row>
    <row r="657" spans="2:12">
      <c r="B657" s="180" t="s">
        <v>1752</v>
      </c>
      <c r="C657" s="180" t="s">
        <v>1753</v>
      </c>
      <c r="D657" s="180" t="s">
        <v>974</v>
      </c>
      <c r="E657" s="180" t="s">
        <v>975</v>
      </c>
      <c r="F657" s="672">
        <v>0</v>
      </c>
      <c r="G657" s="672">
        <v>0</v>
      </c>
      <c r="H657" s="672">
        <v>0</v>
      </c>
      <c r="I657" s="672">
        <v>0</v>
      </c>
      <c r="J657" s="672">
        <v>0</v>
      </c>
      <c r="K657" s="672">
        <v>0</v>
      </c>
      <c r="L657" s="672">
        <v>0</v>
      </c>
    </row>
    <row r="658" spans="2:12">
      <c r="B658" s="180" t="s">
        <v>1754</v>
      </c>
      <c r="C658" s="180" t="s">
        <v>1009</v>
      </c>
      <c r="D658" s="180" t="s">
        <v>974</v>
      </c>
      <c r="E658" s="180" t="s">
        <v>990</v>
      </c>
      <c r="F658" s="672">
        <v>0</v>
      </c>
      <c r="G658" s="672">
        <v>0</v>
      </c>
      <c r="H658" s="672">
        <v>0</v>
      </c>
      <c r="I658" s="672">
        <v>0</v>
      </c>
      <c r="J658" s="672">
        <v>0</v>
      </c>
      <c r="K658" s="672">
        <v>0</v>
      </c>
      <c r="L658" s="672">
        <v>0</v>
      </c>
    </row>
    <row r="659" spans="2:12">
      <c r="B659" s="180" t="s">
        <v>1561</v>
      </c>
      <c r="C659" s="180" t="s">
        <v>1562</v>
      </c>
      <c r="D659" s="180" t="s">
        <v>993</v>
      </c>
      <c r="E659" s="180" t="s">
        <v>980</v>
      </c>
      <c r="F659" s="672">
        <v>51459.82</v>
      </c>
      <c r="G659" s="672">
        <v>586.66999999999996</v>
      </c>
      <c r="H659" s="672">
        <v>517.80999999999995</v>
      </c>
      <c r="I659" s="672">
        <v>596.33000000000004</v>
      </c>
      <c r="J659" s="672">
        <v>536.09</v>
      </c>
      <c r="K659" s="672">
        <v>8237.0400000000009</v>
      </c>
      <c r="L659" s="672">
        <v>40985.879999999997</v>
      </c>
    </row>
    <row r="660" spans="2:12">
      <c r="B660" s="180" t="s">
        <v>1483</v>
      </c>
      <c r="C660" s="180" t="s">
        <v>1094</v>
      </c>
      <c r="D660" s="180" t="s">
        <v>974</v>
      </c>
      <c r="E660" s="180" t="s">
        <v>990</v>
      </c>
      <c r="F660" s="672">
        <v>0</v>
      </c>
      <c r="G660" s="672">
        <v>0</v>
      </c>
      <c r="H660" s="672">
        <v>0</v>
      </c>
      <c r="I660" s="672">
        <v>0</v>
      </c>
      <c r="J660" s="672">
        <v>0</v>
      </c>
      <c r="K660" s="672">
        <v>0</v>
      </c>
      <c r="L660" s="672">
        <v>0</v>
      </c>
    </row>
    <row r="661" spans="2:12">
      <c r="B661" s="180" t="s">
        <v>1490</v>
      </c>
      <c r="C661" s="180" t="s">
        <v>1094</v>
      </c>
      <c r="D661" s="180" t="s">
        <v>974</v>
      </c>
      <c r="E661" s="180" t="s">
        <v>990</v>
      </c>
      <c r="F661" s="672">
        <v>0</v>
      </c>
      <c r="G661" s="672">
        <v>0</v>
      </c>
      <c r="H661" s="672">
        <v>0</v>
      </c>
      <c r="I661" s="672">
        <v>0</v>
      </c>
      <c r="J661" s="672">
        <v>0</v>
      </c>
      <c r="K661" s="672">
        <v>0</v>
      </c>
      <c r="L661" s="672">
        <v>0</v>
      </c>
    </row>
    <row r="662" spans="2:12">
      <c r="B662" s="180" t="s">
        <v>1755</v>
      </c>
      <c r="C662" s="180" t="s">
        <v>1756</v>
      </c>
      <c r="D662" s="180" t="s">
        <v>974</v>
      </c>
      <c r="E662" s="180" t="s">
        <v>980</v>
      </c>
      <c r="F662" s="672">
        <v>-27353.53</v>
      </c>
      <c r="G662" s="672">
        <v>-4957.5600000000004</v>
      </c>
      <c r="H662" s="672">
        <v>732.72</v>
      </c>
      <c r="I662" s="672">
        <v>1494.95</v>
      </c>
      <c r="J662" s="672">
        <v>-1827.15</v>
      </c>
      <c r="K662" s="672">
        <v>-54.74</v>
      </c>
      <c r="L662" s="672">
        <v>-22741.75</v>
      </c>
    </row>
    <row r="663" spans="2:12">
      <c r="B663" s="180" t="s">
        <v>1757</v>
      </c>
      <c r="C663" s="180" t="s">
        <v>1758</v>
      </c>
      <c r="D663" s="180" t="s">
        <v>974</v>
      </c>
      <c r="E663" s="180" t="s">
        <v>990</v>
      </c>
      <c r="F663" s="672">
        <v>0</v>
      </c>
      <c r="G663" s="672">
        <v>0</v>
      </c>
      <c r="H663" s="672">
        <v>0</v>
      </c>
      <c r="I663" s="672">
        <v>0</v>
      </c>
      <c r="J663" s="672">
        <v>0</v>
      </c>
      <c r="K663" s="672">
        <v>0</v>
      </c>
      <c r="L663" s="672">
        <v>0</v>
      </c>
    </row>
    <row r="664" spans="2:12">
      <c r="B664" s="180" t="s">
        <v>1759</v>
      </c>
      <c r="C664" s="180" t="s">
        <v>1267</v>
      </c>
      <c r="D664" s="180" t="s">
        <v>993</v>
      </c>
      <c r="E664" s="180" t="s">
        <v>990</v>
      </c>
      <c r="F664" s="672">
        <v>0</v>
      </c>
      <c r="G664" s="672">
        <v>0</v>
      </c>
      <c r="H664" s="672">
        <v>0</v>
      </c>
      <c r="I664" s="672">
        <v>0</v>
      </c>
      <c r="J664" s="672">
        <v>0</v>
      </c>
      <c r="K664" s="672">
        <v>0</v>
      </c>
      <c r="L664" s="672">
        <v>0</v>
      </c>
    </row>
    <row r="665" spans="2:12">
      <c r="B665" s="180" t="s">
        <v>1760</v>
      </c>
      <c r="C665" s="180" t="s">
        <v>1620</v>
      </c>
      <c r="D665" s="180" t="s">
        <v>993</v>
      </c>
      <c r="E665" s="180" t="s">
        <v>975</v>
      </c>
      <c r="F665" s="672">
        <v>-59220.77</v>
      </c>
      <c r="G665" s="672">
        <v>0</v>
      </c>
      <c r="H665" s="672">
        <v>0</v>
      </c>
      <c r="I665" s="672">
        <v>0</v>
      </c>
      <c r="J665" s="672">
        <v>0</v>
      </c>
      <c r="K665" s="672">
        <v>0</v>
      </c>
      <c r="L665" s="672">
        <v>-59220.77</v>
      </c>
    </row>
    <row r="666" spans="2:12">
      <c r="B666" s="180" t="s">
        <v>1761</v>
      </c>
      <c r="C666" s="180" t="s">
        <v>1762</v>
      </c>
      <c r="D666" s="180" t="s">
        <v>974</v>
      </c>
      <c r="E666" s="180" t="s">
        <v>980</v>
      </c>
      <c r="F666" s="672">
        <v>-423897.49</v>
      </c>
      <c r="G666" s="672">
        <v>17206.740000000002</v>
      </c>
      <c r="H666" s="672">
        <v>445191.96</v>
      </c>
      <c r="I666" s="672">
        <v>-100011.65</v>
      </c>
      <c r="J666" s="672">
        <v>-96310.86</v>
      </c>
      <c r="K666" s="672">
        <v>128444.14</v>
      </c>
      <c r="L666" s="672">
        <v>-818417.82</v>
      </c>
    </row>
    <row r="667" spans="2:12">
      <c r="B667" s="180" t="s">
        <v>1126</v>
      </c>
      <c r="C667" s="180" t="s">
        <v>1127</v>
      </c>
      <c r="D667" s="180" t="s">
        <v>974</v>
      </c>
      <c r="E667" s="180" t="s">
        <v>980</v>
      </c>
      <c r="F667" s="672">
        <v>307244.76</v>
      </c>
      <c r="G667" s="672">
        <v>7178.14</v>
      </c>
      <c r="H667" s="672">
        <v>7160.52</v>
      </c>
      <c r="I667" s="672">
        <v>7156.07</v>
      </c>
      <c r="J667" s="672">
        <v>7154.85</v>
      </c>
      <c r="K667" s="672">
        <v>56266.59</v>
      </c>
      <c r="L667" s="672">
        <v>222328.59</v>
      </c>
    </row>
    <row r="668" spans="2:12">
      <c r="B668" s="180" t="s">
        <v>1530</v>
      </c>
      <c r="C668" s="180" t="s">
        <v>1531</v>
      </c>
      <c r="D668" s="180" t="s">
        <v>974</v>
      </c>
      <c r="E668" s="180" t="s">
        <v>980</v>
      </c>
      <c r="F668" s="672">
        <v>-16691.62</v>
      </c>
      <c r="G668" s="672">
        <v>0</v>
      </c>
      <c r="H668" s="672">
        <v>0</v>
      </c>
      <c r="I668" s="672">
        <v>315069.86</v>
      </c>
      <c r="J668" s="672">
        <v>-14155.32</v>
      </c>
      <c r="K668" s="672">
        <v>38425.050000000003</v>
      </c>
      <c r="L668" s="672">
        <v>-356031.21</v>
      </c>
    </row>
    <row r="669" spans="2:12">
      <c r="B669" s="180" t="s">
        <v>1228</v>
      </c>
      <c r="C669" s="180" t="s">
        <v>989</v>
      </c>
      <c r="D669" s="180" t="s">
        <v>974</v>
      </c>
      <c r="E669" s="180" t="s">
        <v>990</v>
      </c>
      <c r="F669" s="672">
        <v>0</v>
      </c>
      <c r="G669" s="672">
        <v>0</v>
      </c>
      <c r="H669" s="672">
        <v>0</v>
      </c>
      <c r="I669" s="672">
        <v>0</v>
      </c>
      <c r="J669" s="672">
        <v>0</v>
      </c>
      <c r="K669" s="672">
        <v>0</v>
      </c>
      <c r="L669" s="672">
        <v>0</v>
      </c>
    </row>
    <row r="670" spans="2:12">
      <c r="B670" s="180" t="s">
        <v>1089</v>
      </c>
      <c r="C670" s="180" t="s">
        <v>1090</v>
      </c>
      <c r="D670" s="180" t="s">
        <v>974</v>
      </c>
      <c r="E670" s="180" t="s">
        <v>975</v>
      </c>
      <c r="F670" s="672">
        <v>120754.07</v>
      </c>
      <c r="G670" s="672">
        <v>0</v>
      </c>
      <c r="H670" s="672">
        <v>0</v>
      </c>
      <c r="I670" s="672">
        <v>0</v>
      </c>
      <c r="J670" s="672">
        <v>0</v>
      </c>
      <c r="K670" s="672">
        <v>0</v>
      </c>
      <c r="L670" s="672">
        <v>120754.07</v>
      </c>
    </row>
    <row r="671" spans="2:12">
      <c r="B671" s="180" t="s">
        <v>1166</v>
      </c>
      <c r="C671" s="180" t="s">
        <v>1167</v>
      </c>
      <c r="D671" s="180" t="s">
        <v>993</v>
      </c>
      <c r="E671" s="180" t="s">
        <v>980</v>
      </c>
      <c r="F671" s="672">
        <v>7671518.8200000003</v>
      </c>
      <c r="G671" s="672">
        <v>111404.76</v>
      </c>
      <c r="H671" s="672">
        <v>176752.46</v>
      </c>
      <c r="I671" s="672">
        <v>171923.18</v>
      </c>
      <c r="J671" s="672">
        <v>167542.69</v>
      </c>
      <c r="K671" s="672">
        <v>1981220.38</v>
      </c>
      <c r="L671" s="672">
        <v>5062675.3499999996</v>
      </c>
    </row>
    <row r="672" spans="2:12">
      <c r="B672" s="180" t="s">
        <v>1763</v>
      </c>
      <c r="C672" s="180" t="s">
        <v>1764</v>
      </c>
      <c r="D672" s="180" t="s">
        <v>974</v>
      </c>
      <c r="E672" s="180" t="s">
        <v>983</v>
      </c>
      <c r="F672" s="672">
        <v>153.88</v>
      </c>
      <c r="G672" s="672">
        <v>-174.07</v>
      </c>
      <c r="H672" s="672">
        <v>154.69</v>
      </c>
      <c r="I672" s="672">
        <v>2.15</v>
      </c>
      <c r="J672" s="672">
        <v>-15.37</v>
      </c>
      <c r="K672" s="672">
        <v>24.3</v>
      </c>
      <c r="L672" s="672">
        <v>162.18</v>
      </c>
    </row>
    <row r="673" spans="2:12">
      <c r="B673" s="180" t="s">
        <v>1000</v>
      </c>
      <c r="C673" s="180" t="s">
        <v>1001</v>
      </c>
      <c r="D673" s="180" t="s">
        <v>974</v>
      </c>
      <c r="E673" s="180" t="s">
        <v>983</v>
      </c>
      <c r="F673" s="672">
        <v>-3183</v>
      </c>
      <c r="G673" s="672">
        <v>0</v>
      </c>
      <c r="H673" s="672">
        <v>0</v>
      </c>
      <c r="I673" s="672">
        <v>0</v>
      </c>
      <c r="J673" s="672">
        <v>0</v>
      </c>
      <c r="K673" s="672">
        <v>0</v>
      </c>
      <c r="L673" s="672">
        <v>-3183</v>
      </c>
    </row>
    <row r="674" spans="2:12">
      <c r="B674" s="180" t="s">
        <v>1765</v>
      </c>
      <c r="C674" s="180" t="s">
        <v>1115</v>
      </c>
      <c r="D674" s="180" t="s">
        <v>974</v>
      </c>
      <c r="E674" s="180" t="s">
        <v>975</v>
      </c>
      <c r="F674" s="672">
        <v>221377.85</v>
      </c>
      <c r="G674" s="672">
        <v>0</v>
      </c>
      <c r="H674" s="672">
        <v>0</v>
      </c>
      <c r="I674" s="672">
        <v>9308.51</v>
      </c>
      <c r="J674" s="672">
        <v>14888.94</v>
      </c>
      <c r="K674" s="672">
        <v>69196.460000000006</v>
      </c>
      <c r="L674" s="672">
        <v>127983.94</v>
      </c>
    </row>
    <row r="675" spans="2:12">
      <c r="B675" s="180" t="s">
        <v>1694</v>
      </c>
      <c r="C675" s="180" t="s">
        <v>1695</v>
      </c>
      <c r="D675" s="180" t="s">
        <v>974</v>
      </c>
      <c r="E675" s="180" t="s">
        <v>980</v>
      </c>
      <c r="F675" s="672">
        <v>4816078.3899999997</v>
      </c>
      <c r="G675" s="672">
        <v>111983.91</v>
      </c>
      <c r="H675" s="672">
        <v>112147.4</v>
      </c>
      <c r="I675" s="672">
        <v>111977.60000000001</v>
      </c>
      <c r="J675" s="672">
        <v>112229.99</v>
      </c>
      <c r="K675" s="672">
        <v>879607.02</v>
      </c>
      <c r="L675" s="672">
        <v>3488132.47</v>
      </c>
    </row>
    <row r="676" spans="2:12">
      <c r="B676" s="180" t="s">
        <v>1696</v>
      </c>
      <c r="C676" s="180" t="s">
        <v>1697</v>
      </c>
      <c r="D676" s="180" t="s">
        <v>974</v>
      </c>
      <c r="E676" s="180" t="s">
        <v>983</v>
      </c>
      <c r="F676" s="672">
        <v>63.68</v>
      </c>
      <c r="G676" s="672">
        <v>4</v>
      </c>
      <c r="H676" s="672">
        <v>8</v>
      </c>
      <c r="I676" s="672">
        <v>0</v>
      </c>
      <c r="J676" s="672">
        <v>13.19</v>
      </c>
      <c r="K676" s="672">
        <v>38.49</v>
      </c>
      <c r="L676" s="672">
        <v>0</v>
      </c>
    </row>
    <row r="677" spans="2:12">
      <c r="B677" s="180" t="s">
        <v>1520</v>
      </c>
      <c r="C677" s="180" t="s">
        <v>1065</v>
      </c>
      <c r="D677" s="180" t="s">
        <v>993</v>
      </c>
      <c r="E677" s="180" t="s">
        <v>990</v>
      </c>
      <c r="F677" s="672">
        <v>0</v>
      </c>
      <c r="G677" s="672">
        <v>0</v>
      </c>
      <c r="H677" s="672">
        <v>0</v>
      </c>
      <c r="I677" s="672">
        <v>0</v>
      </c>
      <c r="J677" s="672">
        <v>0</v>
      </c>
      <c r="K677" s="672">
        <v>0</v>
      </c>
      <c r="L677" s="672">
        <v>0</v>
      </c>
    </row>
    <row r="678" spans="2:12">
      <c r="B678" s="180" t="s">
        <v>1263</v>
      </c>
      <c r="C678" s="180" t="s">
        <v>1032</v>
      </c>
      <c r="D678" s="180" t="s">
        <v>974</v>
      </c>
      <c r="E678" s="180" t="s">
        <v>975</v>
      </c>
      <c r="F678" s="672">
        <v>133603.70000000001</v>
      </c>
      <c r="G678" s="672">
        <v>0</v>
      </c>
      <c r="H678" s="672">
        <v>0</v>
      </c>
      <c r="I678" s="672">
        <v>0</v>
      </c>
      <c r="J678" s="672">
        <v>0</v>
      </c>
      <c r="K678" s="672">
        <v>-123.19</v>
      </c>
      <c r="L678" s="672">
        <v>133726.89000000001</v>
      </c>
    </row>
    <row r="679" spans="2:12">
      <c r="B679" s="180" t="s">
        <v>984</v>
      </c>
      <c r="C679" s="180" t="s">
        <v>985</v>
      </c>
      <c r="D679" s="180" t="s">
        <v>974</v>
      </c>
      <c r="E679" s="180" t="s">
        <v>990</v>
      </c>
      <c r="F679" s="672">
        <v>0</v>
      </c>
      <c r="G679" s="672">
        <v>0</v>
      </c>
      <c r="H679" s="672">
        <v>0</v>
      </c>
      <c r="I679" s="672">
        <v>0</v>
      </c>
      <c r="J679" s="672">
        <v>0</v>
      </c>
      <c r="K679" s="672">
        <v>0</v>
      </c>
      <c r="L679" s="672">
        <v>0</v>
      </c>
    </row>
    <row r="680" spans="2:12">
      <c r="B680" s="180" t="s">
        <v>1066</v>
      </c>
      <c r="C680" s="180" t="s">
        <v>1067</v>
      </c>
      <c r="D680" s="180" t="s">
        <v>993</v>
      </c>
      <c r="E680" s="180" t="s">
        <v>990</v>
      </c>
      <c r="F680" s="672">
        <v>0</v>
      </c>
      <c r="G680" s="672">
        <v>0</v>
      </c>
      <c r="H680" s="672">
        <v>0</v>
      </c>
      <c r="I680" s="672">
        <v>0</v>
      </c>
      <c r="J680" s="672">
        <v>0</v>
      </c>
      <c r="K680" s="672">
        <v>0</v>
      </c>
      <c r="L680" s="672">
        <v>0</v>
      </c>
    </row>
    <row r="681" spans="2:12">
      <c r="B681" s="180" t="s">
        <v>1124</v>
      </c>
      <c r="C681" s="180" t="s">
        <v>1125</v>
      </c>
      <c r="D681" s="180" t="s">
        <v>974</v>
      </c>
      <c r="E681" s="180" t="s">
        <v>990</v>
      </c>
      <c r="F681" s="672">
        <v>0</v>
      </c>
      <c r="G681" s="672">
        <v>0</v>
      </c>
      <c r="H681" s="672">
        <v>0</v>
      </c>
      <c r="I681" s="672">
        <v>0</v>
      </c>
      <c r="J681" s="672">
        <v>0</v>
      </c>
      <c r="K681" s="672">
        <v>0</v>
      </c>
      <c r="L681" s="672">
        <v>0</v>
      </c>
    </row>
    <row r="682" spans="2:12">
      <c r="B682" s="180" t="s">
        <v>1766</v>
      </c>
      <c r="C682" s="180" t="s">
        <v>1115</v>
      </c>
      <c r="D682" s="180" t="s">
        <v>974</v>
      </c>
      <c r="E682" s="180" t="s">
        <v>975</v>
      </c>
      <c r="F682" s="672">
        <v>4279969.74</v>
      </c>
      <c r="G682" s="672">
        <v>6259.84</v>
      </c>
      <c r="H682" s="672">
        <v>6904.89</v>
      </c>
      <c r="I682" s="672">
        <v>7303.89</v>
      </c>
      <c r="J682" s="672">
        <v>6760.78</v>
      </c>
      <c r="K682" s="672">
        <v>24804.1</v>
      </c>
      <c r="L682" s="672">
        <v>4227936.24</v>
      </c>
    </row>
    <row r="683" spans="2:12">
      <c r="B683" s="180" t="s">
        <v>1449</v>
      </c>
      <c r="C683" s="180" t="s">
        <v>1399</v>
      </c>
      <c r="D683" s="180" t="s">
        <v>993</v>
      </c>
      <c r="E683" s="180" t="s">
        <v>975</v>
      </c>
      <c r="F683" s="672">
        <v>-222.17</v>
      </c>
      <c r="G683" s="672">
        <v>0</v>
      </c>
      <c r="H683" s="672">
        <v>0</v>
      </c>
      <c r="I683" s="672">
        <v>0</v>
      </c>
      <c r="J683" s="672">
        <v>0</v>
      </c>
      <c r="K683" s="672">
        <v>0</v>
      </c>
      <c r="L683" s="672">
        <v>-222.17</v>
      </c>
    </row>
    <row r="684" spans="2:12">
      <c r="B684" s="180" t="s">
        <v>1533</v>
      </c>
      <c r="C684" s="180" t="s">
        <v>1534</v>
      </c>
      <c r="D684" s="180" t="s">
        <v>974</v>
      </c>
      <c r="E684" s="180" t="s">
        <v>990</v>
      </c>
      <c r="F684" s="672">
        <v>0</v>
      </c>
      <c r="G684" s="672">
        <v>0</v>
      </c>
      <c r="H684" s="672">
        <v>0</v>
      </c>
      <c r="I684" s="672">
        <v>0</v>
      </c>
      <c r="J684" s="672">
        <v>0</v>
      </c>
      <c r="K684" s="672">
        <v>235.93</v>
      </c>
      <c r="L684" s="672">
        <v>-235.93</v>
      </c>
    </row>
    <row r="685" spans="2:12">
      <c r="B685" s="180" t="s">
        <v>1767</v>
      </c>
      <c r="C685" s="180" t="s">
        <v>1768</v>
      </c>
      <c r="D685" s="180" t="s">
        <v>974</v>
      </c>
      <c r="E685" s="180" t="s">
        <v>980</v>
      </c>
      <c r="F685" s="672">
        <v>1402439.6799999999</v>
      </c>
      <c r="G685" s="672">
        <v>32681.83</v>
      </c>
      <c r="H685" s="672">
        <v>32660.23</v>
      </c>
      <c r="I685" s="672">
        <v>32651.97</v>
      </c>
      <c r="J685" s="672">
        <v>32691.07</v>
      </c>
      <c r="K685" s="672">
        <v>258935.39</v>
      </c>
      <c r="L685" s="672">
        <v>1012819.19</v>
      </c>
    </row>
    <row r="686" spans="2:12">
      <c r="B686" s="180" t="s">
        <v>1769</v>
      </c>
      <c r="C686" s="180" t="s">
        <v>1770</v>
      </c>
      <c r="D686" s="180" t="s">
        <v>974</v>
      </c>
      <c r="E686" s="180" t="s">
        <v>983</v>
      </c>
      <c r="F686" s="672">
        <v>3288.01</v>
      </c>
      <c r="G686" s="672">
        <v>80.41</v>
      </c>
      <c r="H686" s="672">
        <v>80.41</v>
      </c>
      <c r="I686" s="672">
        <v>73.180000000000007</v>
      </c>
      <c r="J686" s="672">
        <v>72.150000000000006</v>
      </c>
      <c r="K686" s="672">
        <v>3294.62</v>
      </c>
      <c r="L686" s="672">
        <v>-312.76</v>
      </c>
    </row>
    <row r="687" spans="2:12">
      <c r="B687" s="180" t="s">
        <v>1771</v>
      </c>
      <c r="C687" s="180" t="s">
        <v>1772</v>
      </c>
      <c r="D687" s="180" t="s">
        <v>974</v>
      </c>
      <c r="E687" s="180" t="s">
        <v>980</v>
      </c>
      <c r="F687" s="672">
        <v>-375716.44</v>
      </c>
      <c r="G687" s="672">
        <v>18164.93</v>
      </c>
      <c r="H687" s="672">
        <v>143336.41</v>
      </c>
      <c r="I687" s="672">
        <v>-25064.79</v>
      </c>
      <c r="J687" s="672">
        <v>14632.43</v>
      </c>
      <c r="K687" s="672">
        <v>13589.51</v>
      </c>
      <c r="L687" s="672">
        <v>-540374.93000000005</v>
      </c>
    </row>
    <row r="688" spans="2:12">
      <c r="B688" s="180" t="s">
        <v>1773</v>
      </c>
      <c r="C688" s="180" t="s">
        <v>1737</v>
      </c>
      <c r="D688" s="180" t="s">
        <v>993</v>
      </c>
      <c r="E688" s="180" t="s">
        <v>980</v>
      </c>
      <c r="F688" s="672">
        <v>31575</v>
      </c>
      <c r="G688" s="672">
        <v>832.81</v>
      </c>
      <c r="H688" s="672">
        <v>958.93</v>
      </c>
      <c r="I688" s="672">
        <v>1108.2</v>
      </c>
      <c r="J688" s="672">
        <v>1124.49</v>
      </c>
      <c r="K688" s="672">
        <v>6174.88</v>
      </c>
      <c r="L688" s="672">
        <v>21375.69</v>
      </c>
    </row>
    <row r="689" spans="2:12">
      <c r="B689" s="180" t="s">
        <v>1774</v>
      </c>
      <c r="C689" s="180" t="s">
        <v>1775</v>
      </c>
      <c r="D689" s="180" t="s">
        <v>974</v>
      </c>
      <c r="E689" s="180" t="s">
        <v>980</v>
      </c>
      <c r="F689" s="672">
        <v>1515.96</v>
      </c>
      <c r="G689" s="672">
        <v>460.1</v>
      </c>
      <c r="H689" s="672">
        <v>491.08</v>
      </c>
      <c r="I689" s="672">
        <v>316.60000000000002</v>
      </c>
      <c r="J689" s="672">
        <v>88.67</v>
      </c>
      <c r="K689" s="672">
        <v>194.51</v>
      </c>
      <c r="L689" s="672">
        <v>-35</v>
      </c>
    </row>
    <row r="690" spans="2:12">
      <c r="B690" s="180" t="s">
        <v>1264</v>
      </c>
      <c r="C690" s="180" t="s">
        <v>1265</v>
      </c>
      <c r="D690" s="180" t="s">
        <v>974</v>
      </c>
      <c r="E690" s="180" t="s">
        <v>975</v>
      </c>
      <c r="F690" s="672">
        <v>-379148.69</v>
      </c>
      <c r="G690" s="672">
        <v>0</v>
      </c>
      <c r="H690" s="672">
        <v>0</v>
      </c>
      <c r="I690" s="672">
        <v>0</v>
      </c>
      <c r="J690" s="672">
        <v>0</v>
      </c>
      <c r="K690" s="672">
        <v>-11422.4</v>
      </c>
      <c r="L690" s="672">
        <v>-367726.29</v>
      </c>
    </row>
    <row r="691" spans="2:12">
      <c r="B691" s="180" t="s">
        <v>1776</v>
      </c>
      <c r="C691" s="180" t="s">
        <v>1009</v>
      </c>
      <c r="D691" s="180" t="s">
        <v>974</v>
      </c>
      <c r="E691" s="180" t="s">
        <v>975</v>
      </c>
      <c r="F691" s="672">
        <v>42877.45</v>
      </c>
      <c r="G691" s="672">
        <v>0</v>
      </c>
      <c r="H691" s="672">
        <v>0</v>
      </c>
      <c r="I691" s="672">
        <v>0</v>
      </c>
      <c r="J691" s="672">
        <v>39214.01</v>
      </c>
      <c r="K691" s="672">
        <v>0</v>
      </c>
      <c r="L691" s="672">
        <v>3663.44</v>
      </c>
    </row>
    <row r="692" spans="2:12">
      <c r="B692" s="180" t="s">
        <v>1270</v>
      </c>
      <c r="C692" s="180" t="s">
        <v>1271</v>
      </c>
      <c r="D692" s="180" t="s">
        <v>974</v>
      </c>
      <c r="E692" s="180" t="s">
        <v>990</v>
      </c>
      <c r="F692" s="672">
        <v>0</v>
      </c>
      <c r="G692" s="672">
        <v>0</v>
      </c>
      <c r="H692" s="672">
        <v>0</v>
      </c>
      <c r="I692" s="672">
        <v>0</v>
      </c>
      <c r="J692" s="672">
        <v>0</v>
      </c>
      <c r="K692" s="672">
        <v>0</v>
      </c>
      <c r="L692" s="672">
        <v>0</v>
      </c>
    </row>
    <row r="693" spans="2:12">
      <c r="B693" s="180" t="s">
        <v>1296</v>
      </c>
      <c r="C693" s="180" t="s">
        <v>1021</v>
      </c>
      <c r="D693" s="180" t="s">
        <v>993</v>
      </c>
      <c r="E693" s="180" t="s">
        <v>983</v>
      </c>
      <c r="F693" s="672">
        <v>2657.14</v>
      </c>
      <c r="G693" s="672">
        <v>571.97</v>
      </c>
      <c r="H693" s="672">
        <v>831.6</v>
      </c>
      <c r="I693" s="672">
        <v>397.11</v>
      </c>
      <c r="J693" s="672">
        <v>455.39</v>
      </c>
      <c r="K693" s="672">
        <v>401.07</v>
      </c>
      <c r="L693" s="672">
        <v>0</v>
      </c>
    </row>
    <row r="694" spans="2:12">
      <c r="B694" s="180" t="s">
        <v>1777</v>
      </c>
      <c r="C694" s="180" t="s">
        <v>1778</v>
      </c>
      <c r="D694" s="180" t="s">
        <v>974</v>
      </c>
      <c r="E694" s="180" t="s">
        <v>990</v>
      </c>
      <c r="F694" s="672">
        <v>0</v>
      </c>
      <c r="G694" s="672">
        <v>0</v>
      </c>
      <c r="H694" s="672">
        <v>0</v>
      </c>
      <c r="I694" s="672">
        <v>0</v>
      </c>
      <c r="J694" s="672">
        <v>0</v>
      </c>
      <c r="K694" s="672">
        <v>0</v>
      </c>
      <c r="L694" s="672">
        <v>0</v>
      </c>
    </row>
    <row r="695" spans="2:12">
      <c r="B695" s="180" t="s">
        <v>1779</v>
      </c>
      <c r="C695" s="180" t="s">
        <v>1269</v>
      </c>
      <c r="D695" s="180" t="s">
        <v>974</v>
      </c>
      <c r="E695" s="180" t="s">
        <v>980</v>
      </c>
      <c r="F695" s="672">
        <v>-6907378.1399999997</v>
      </c>
      <c r="G695" s="672">
        <v>53409</v>
      </c>
      <c r="H695" s="672">
        <v>-153738.13</v>
      </c>
      <c r="I695" s="672">
        <v>-195412.82</v>
      </c>
      <c r="J695" s="672">
        <v>-146800.95999999999</v>
      </c>
      <c r="K695" s="672">
        <v>-813698.6</v>
      </c>
      <c r="L695" s="672">
        <v>-5651136.6299999999</v>
      </c>
    </row>
    <row r="696" spans="2:12">
      <c r="B696" s="180" t="s">
        <v>1780</v>
      </c>
      <c r="C696" s="180" t="s">
        <v>1781</v>
      </c>
      <c r="D696" s="180" t="s">
        <v>993</v>
      </c>
      <c r="E696" s="180" t="s">
        <v>990</v>
      </c>
      <c r="F696" s="672">
        <v>0</v>
      </c>
      <c r="G696" s="672">
        <v>0</v>
      </c>
      <c r="H696" s="672">
        <v>0</v>
      </c>
      <c r="I696" s="672">
        <v>0</v>
      </c>
      <c r="J696" s="672">
        <v>0</v>
      </c>
      <c r="K696" s="672">
        <v>0</v>
      </c>
      <c r="L696" s="672">
        <v>0</v>
      </c>
    </row>
    <row r="697" spans="2:12">
      <c r="B697" s="180" t="s">
        <v>1143</v>
      </c>
      <c r="C697" s="180" t="s">
        <v>1144</v>
      </c>
      <c r="D697" s="180" t="s">
        <v>974</v>
      </c>
      <c r="E697" s="180" t="s">
        <v>975</v>
      </c>
      <c r="F697" s="672">
        <v>28073.41</v>
      </c>
      <c r="G697" s="672">
        <v>0</v>
      </c>
      <c r="H697" s="672">
        <v>0</v>
      </c>
      <c r="I697" s="672">
        <v>0</v>
      </c>
      <c r="J697" s="672">
        <v>0</v>
      </c>
      <c r="K697" s="672">
        <v>0</v>
      </c>
      <c r="L697" s="672">
        <v>28073.41</v>
      </c>
    </row>
    <row r="698" spans="2:12">
      <c r="B698" s="180" t="s">
        <v>1473</v>
      </c>
      <c r="C698" s="180" t="s">
        <v>1325</v>
      </c>
      <c r="D698" s="180" t="s">
        <v>993</v>
      </c>
      <c r="E698" s="180" t="s">
        <v>980</v>
      </c>
      <c r="F698" s="672">
        <v>108292.55</v>
      </c>
      <c r="G698" s="672">
        <v>2678.63</v>
      </c>
      <c r="H698" s="672">
        <v>3026.65</v>
      </c>
      <c r="I698" s="672">
        <v>3139.98</v>
      </c>
      <c r="J698" s="672">
        <v>2328.21</v>
      </c>
      <c r="K698" s="672">
        <v>21252.55</v>
      </c>
      <c r="L698" s="672">
        <v>75866.53</v>
      </c>
    </row>
    <row r="699" spans="2:12">
      <c r="B699" s="180" t="s">
        <v>1782</v>
      </c>
      <c r="C699" s="180" t="s">
        <v>1133</v>
      </c>
      <c r="D699" s="180" t="s">
        <v>993</v>
      </c>
      <c r="E699" s="180" t="s">
        <v>990</v>
      </c>
      <c r="F699" s="672">
        <v>0</v>
      </c>
      <c r="G699" s="672">
        <v>0</v>
      </c>
      <c r="H699" s="672">
        <v>0</v>
      </c>
      <c r="I699" s="672">
        <v>0</v>
      </c>
      <c r="J699" s="672">
        <v>0</v>
      </c>
      <c r="K699" s="672">
        <v>0</v>
      </c>
      <c r="L699" s="672">
        <v>0</v>
      </c>
    </row>
    <row r="700" spans="2:12">
      <c r="B700" s="180" t="s">
        <v>1783</v>
      </c>
      <c r="C700" s="180" t="s">
        <v>1701</v>
      </c>
      <c r="D700" s="180" t="s">
        <v>974</v>
      </c>
      <c r="E700" s="180" t="s">
        <v>980</v>
      </c>
      <c r="F700" s="672">
        <v>0</v>
      </c>
      <c r="G700" s="672">
        <v>0</v>
      </c>
      <c r="H700" s="672">
        <v>0.83</v>
      </c>
      <c r="I700" s="672">
        <v>-0.83</v>
      </c>
      <c r="J700" s="672">
        <v>0</v>
      </c>
      <c r="K700" s="672">
        <v>864.66</v>
      </c>
      <c r="L700" s="672">
        <v>-864.66</v>
      </c>
    </row>
    <row r="701" spans="2:12">
      <c r="B701" s="180" t="s">
        <v>1603</v>
      </c>
      <c r="C701" s="180" t="s">
        <v>1604</v>
      </c>
      <c r="D701" s="180" t="s">
        <v>974</v>
      </c>
      <c r="E701" s="180" t="s">
        <v>975</v>
      </c>
      <c r="F701" s="672">
        <v>3.03</v>
      </c>
      <c r="G701" s="672">
        <v>0</v>
      </c>
      <c r="H701" s="672">
        <v>0</v>
      </c>
      <c r="I701" s="672">
        <v>0</v>
      </c>
      <c r="J701" s="672">
        <v>0</v>
      </c>
      <c r="K701" s="672">
        <v>0</v>
      </c>
      <c r="L701" s="672">
        <v>3.03</v>
      </c>
    </row>
    <row r="702" spans="2:12">
      <c r="B702" s="180" t="s">
        <v>1784</v>
      </c>
      <c r="C702" s="180" t="s">
        <v>1287</v>
      </c>
      <c r="D702" s="180" t="s">
        <v>974</v>
      </c>
      <c r="E702" s="180" t="s">
        <v>980</v>
      </c>
      <c r="F702" s="672">
        <v>-47137.1</v>
      </c>
      <c r="G702" s="672">
        <v>23168.560000000001</v>
      </c>
      <c r="H702" s="672">
        <v>-20769</v>
      </c>
      <c r="I702" s="672">
        <v>10246.879999999999</v>
      </c>
      <c r="J702" s="672">
        <v>40694.43</v>
      </c>
      <c r="K702" s="672">
        <v>-18056.080000000002</v>
      </c>
      <c r="L702" s="672">
        <v>-82421.89</v>
      </c>
    </row>
    <row r="703" spans="2:12">
      <c r="B703" s="180" t="s">
        <v>1785</v>
      </c>
      <c r="C703" s="180" t="s">
        <v>1707</v>
      </c>
      <c r="D703" s="180" t="s">
        <v>993</v>
      </c>
      <c r="E703" s="180" t="s">
        <v>990</v>
      </c>
      <c r="F703" s="672">
        <v>0</v>
      </c>
      <c r="G703" s="672">
        <v>0</v>
      </c>
      <c r="H703" s="672">
        <v>0</v>
      </c>
      <c r="I703" s="672">
        <v>0</v>
      </c>
      <c r="J703" s="672">
        <v>0</v>
      </c>
      <c r="K703" s="672">
        <v>0</v>
      </c>
      <c r="L703" s="672">
        <v>0</v>
      </c>
    </row>
    <row r="704" spans="2:12">
      <c r="B704" s="180" t="s">
        <v>1542</v>
      </c>
      <c r="C704" s="180" t="s">
        <v>1543</v>
      </c>
      <c r="D704" s="180" t="s">
        <v>974</v>
      </c>
      <c r="E704" s="180" t="s">
        <v>980</v>
      </c>
      <c r="F704" s="672">
        <v>-177.07</v>
      </c>
      <c r="G704" s="672">
        <v>0</v>
      </c>
      <c r="H704" s="672">
        <v>0</v>
      </c>
      <c r="I704" s="672">
        <v>0</v>
      </c>
      <c r="J704" s="672">
        <v>0</v>
      </c>
      <c r="K704" s="672">
        <v>0</v>
      </c>
      <c r="L704" s="672">
        <v>-177.07</v>
      </c>
    </row>
    <row r="705" spans="2:12">
      <c r="B705" s="180" t="s">
        <v>1375</v>
      </c>
      <c r="C705" s="180" t="s">
        <v>1376</v>
      </c>
      <c r="D705" s="180" t="s">
        <v>974</v>
      </c>
      <c r="E705" s="180" t="s">
        <v>1363</v>
      </c>
      <c r="F705" s="672">
        <v>203048.67</v>
      </c>
      <c r="G705" s="672">
        <v>0</v>
      </c>
      <c r="H705" s="672">
        <v>0</v>
      </c>
      <c r="I705" s="672">
        <v>0</v>
      </c>
      <c r="J705" s="672">
        <v>0</v>
      </c>
      <c r="K705" s="672">
        <v>-21507.17</v>
      </c>
      <c r="L705" s="672">
        <v>224555.84</v>
      </c>
    </row>
    <row r="706" spans="2:12">
      <c r="B706" s="180" t="s">
        <v>1730</v>
      </c>
      <c r="C706" s="180" t="s">
        <v>1220</v>
      </c>
      <c r="D706" s="180" t="s">
        <v>974</v>
      </c>
      <c r="E706" s="180" t="s">
        <v>975</v>
      </c>
      <c r="F706" s="672">
        <v>207783.04000000001</v>
      </c>
      <c r="G706" s="672">
        <v>0</v>
      </c>
      <c r="H706" s="672">
        <v>0</v>
      </c>
      <c r="I706" s="672">
        <v>0</v>
      </c>
      <c r="J706" s="672">
        <v>0</v>
      </c>
      <c r="K706" s="672">
        <v>55262.09</v>
      </c>
      <c r="L706" s="672">
        <v>152520.95000000001</v>
      </c>
    </row>
    <row r="707" spans="2:12">
      <c r="B707" s="180" t="s">
        <v>1002</v>
      </c>
      <c r="C707" s="180" t="s">
        <v>1003</v>
      </c>
      <c r="D707" s="180" t="s">
        <v>974</v>
      </c>
      <c r="E707" s="180" t="s">
        <v>990</v>
      </c>
      <c r="F707" s="672">
        <v>0</v>
      </c>
      <c r="G707" s="672">
        <v>0</v>
      </c>
      <c r="H707" s="672">
        <v>0</v>
      </c>
      <c r="I707" s="672">
        <v>0</v>
      </c>
      <c r="J707" s="672">
        <v>0</v>
      </c>
      <c r="K707" s="672">
        <v>0</v>
      </c>
      <c r="L707" s="672">
        <v>0</v>
      </c>
    </row>
    <row r="708" spans="2:12">
      <c r="B708" s="180" t="s">
        <v>1786</v>
      </c>
      <c r="C708" s="180" t="s">
        <v>1787</v>
      </c>
      <c r="D708" s="180" t="s">
        <v>974</v>
      </c>
      <c r="E708" s="180" t="s">
        <v>1034</v>
      </c>
      <c r="F708" s="672">
        <v>0</v>
      </c>
      <c r="G708" s="672">
        <v>0</v>
      </c>
      <c r="H708" s="672">
        <v>0</v>
      </c>
      <c r="I708" s="672">
        <v>0</v>
      </c>
      <c r="J708" s="672">
        <v>0</v>
      </c>
      <c r="K708" s="672">
        <v>0</v>
      </c>
      <c r="L708" s="672">
        <v>0</v>
      </c>
    </row>
    <row r="709" spans="2:12">
      <c r="B709" s="180" t="s">
        <v>1340</v>
      </c>
      <c r="C709" s="180" t="s">
        <v>1341</v>
      </c>
      <c r="D709" s="180" t="s">
        <v>974</v>
      </c>
      <c r="E709" s="180" t="s">
        <v>1363</v>
      </c>
      <c r="F709" s="672">
        <v>633609.32999999996</v>
      </c>
      <c r="G709" s="672">
        <v>-17864.93</v>
      </c>
      <c r="H709" s="672">
        <v>-9227.5</v>
      </c>
      <c r="I709" s="672">
        <v>-13075.01</v>
      </c>
      <c r="J709" s="672">
        <v>-31292.28</v>
      </c>
      <c r="K709" s="672">
        <v>-152447.4</v>
      </c>
      <c r="L709" s="672">
        <v>857516.45</v>
      </c>
    </row>
    <row r="710" spans="2:12">
      <c r="B710" s="180" t="s">
        <v>1788</v>
      </c>
      <c r="C710" s="180" t="s">
        <v>1167</v>
      </c>
      <c r="D710" s="180" t="s">
        <v>993</v>
      </c>
      <c r="E710" s="180" t="s">
        <v>990</v>
      </c>
      <c r="F710" s="672">
        <v>5.48</v>
      </c>
      <c r="G710" s="672">
        <v>0</v>
      </c>
      <c r="H710" s="672">
        <v>0</v>
      </c>
      <c r="I710" s="672">
        <v>0</v>
      </c>
      <c r="J710" s="672">
        <v>0</v>
      </c>
      <c r="K710" s="672">
        <v>26.97</v>
      </c>
      <c r="L710" s="672">
        <v>-21.49</v>
      </c>
    </row>
    <row r="711" spans="2:12">
      <c r="B711" s="180" t="s">
        <v>1789</v>
      </c>
      <c r="C711" s="180" t="s">
        <v>1781</v>
      </c>
      <c r="D711" s="180" t="s">
        <v>993</v>
      </c>
      <c r="E711" s="180" t="s">
        <v>975</v>
      </c>
      <c r="F711" s="672">
        <v>-8622.52</v>
      </c>
      <c r="G711" s="672">
        <v>0</v>
      </c>
      <c r="H711" s="672">
        <v>0</v>
      </c>
      <c r="I711" s="672">
        <v>0</v>
      </c>
      <c r="J711" s="672">
        <v>0</v>
      </c>
      <c r="K711" s="672">
        <v>0</v>
      </c>
      <c r="L711" s="672">
        <v>-8622.52</v>
      </c>
    </row>
    <row r="712" spans="2:12">
      <c r="B712" s="180" t="s">
        <v>1153</v>
      </c>
      <c r="C712" s="180" t="s">
        <v>989</v>
      </c>
      <c r="D712" s="180" t="s">
        <v>974</v>
      </c>
      <c r="E712" s="180" t="s">
        <v>980</v>
      </c>
      <c r="F712" s="672">
        <v>-269120.46999999997</v>
      </c>
      <c r="G712" s="672">
        <v>-336.27</v>
      </c>
      <c r="H712" s="672">
        <v>-447.65</v>
      </c>
      <c r="I712" s="672">
        <v>-635.67999999999995</v>
      </c>
      <c r="J712" s="672">
        <v>-487.8</v>
      </c>
      <c r="K712" s="672">
        <v>70515.899999999994</v>
      </c>
      <c r="L712" s="672">
        <v>-337728.97</v>
      </c>
    </row>
    <row r="713" spans="2:12">
      <c r="B713" s="180" t="s">
        <v>1563</v>
      </c>
      <c r="C713" s="180" t="s">
        <v>1564</v>
      </c>
      <c r="D713" s="180" t="s">
        <v>974</v>
      </c>
      <c r="E713" s="180" t="s">
        <v>975</v>
      </c>
      <c r="F713" s="672">
        <v>41760.730000000003</v>
      </c>
      <c r="G713" s="672">
        <v>0</v>
      </c>
      <c r="H713" s="672">
        <v>0</v>
      </c>
      <c r="I713" s="672">
        <v>0</v>
      </c>
      <c r="J713" s="672">
        <v>0</v>
      </c>
      <c r="K713" s="672">
        <v>0</v>
      </c>
      <c r="L713" s="672">
        <v>41760.730000000003</v>
      </c>
    </row>
    <row r="714" spans="2:12">
      <c r="B714" s="180" t="s">
        <v>1499</v>
      </c>
      <c r="C714" s="180" t="s">
        <v>1500</v>
      </c>
      <c r="D714" s="180" t="s">
        <v>993</v>
      </c>
      <c r="E714" s="180" t="s">
        <v>1702</v>
      </c>
      <c r="F714" s="672">
        <v>0</v>
      </c>
      <c r="G714" s="672">
        <v>0</v>
      </c>
      <c r="H714" s="672">
        <v>0</v>
      </c>
      <c r="I714" s="672">
        <v>0</v>
      </c>
      <c r="J714" s="672">
        <v>0</v>
      </c>
      <c r="K714" s="672">
        <v>0</v>
      </c>
      <c r="L714" s="672">
        <v>0</v>
      </c>
    </row>
    <row r="715" spans="2:12">
      <c r="B715" s="180" t="s">
        <v>1440</v>
      </c>
      <c r="C715" s="180" t="s">
        <v>1441</v>
      </c>
      <c r="D715" s="180" t="s">
        <v>974</v>
      </c>
      <c r="E715" s="180" t="s">
        <v>983</v>
      </c>
      <c r="F715" s="672">
        <v>4583.5200000000004</v>
      </c>
      <c r="G715" s="672">
        <v>115.45</v>
      </c>
      <c r="H715" s="672">
        <v>116.5</v>
      </c>
      <c r="I715" s="672">
        <v>107.73</v>
      </c>
      <c r="J715" s="672">
        <v>104.38</v>
      </c>
      <c r="K715" s="672">
        <v>837.94</v>
      </c>
      <c r="L715" s="672">
        <v>3301.52</v>
      </c>
    </row>
    <row r="716" spans="2:12">
      <c r="B716" s="180" t="s">
        <v>1790</v>
      </c>
      <c r="C716" s="180" t="s">
        <v>1791</v>
      </c>
      <c r="D716" s="180" t="s">
        <v>974</v>
      </c>
      <c r="E716" s="180" t="s">
        <v>980</v>
      </c>
      <c r="F716" s="672">
        <v>-27471.07</v>
      </c>
      <c r="G716" s="672">
        <v>-2695.15</v>
      </c>
      <c r="H716" s="672">
        <v>-37074.620000000003</v>
      </c>
      <c r="I716" s="672">
        <v>33769.69</v>
      </c>
      <c r="J716" s="672">
        <v>5357.3</v>
      </c>
      <c r="K716" s="672">
        <v>-651.20000000000005</v>
      </c>
      <c r="L716" s="672">
        <v>-26177.09</v>
      </c>
    </row>
    <row r="717" spans="2:12">
      <c r="B717" s="180" t="s">
        <v>1570</v>
      </c>
      <c r="C717" s="180" t="s">
        <v>1133</v>
      </c>
      <c r="D717" s="180" t="s">
        <v>993</v>
      </c>
      <c r="E717" s="180" t="s">
        <v>980</v>
      </c>
      <c r="F717" s="672">
        <v>163551.43</v>
      </c>
      <c r="G717" s="672">
        <v>3532.46</v>
      </c>
      <c r="H717" s="672">
        <v>4128.29</v>
      </c>
      <c r="I717" s="672">
        <v>22345.66</v>
      </c>
      <c r="J717" s="672">
        <v>-4316.6000000000004</v>
      </c>
      <c r="K717" s="672">
        <v>26449.599999999999</v>
      </c>
      <c r="L717" s="672">
        <v>111412.02</v>
      </c>
    </row>
    <row r="718" spans="2:12">
      <c r="B718" s="180" t="s">
        <v>1366</v>
      </c>
      <c r="C718" s="180" t="s">
        <v>1367</v>
      </c>
      <c r="D718" s="180" t="s">
        <v>993</v>
      </c>
      <c r="E718" s="180" t="s">
        <v>980</v>
      </c>
      <c r="F718" s="672">
        <v>302591.28000000003</v>
      </c>
      <c r="G718" s="672">
        <v>6178.63</v>
      </c>
      <c r="H718" s="672">
        <v>6950.51</v>
      </c>
      <c r="I718" s="672">
        <v>6794.72</v>
      </c>
      <c r="J718" s="672">
        <v>6599.43</v>
      </c>
      <c r="K718" s="672">
        <v>127202.97</v>
      </c>
      <c r="L718" s="672">
        <v>148865.01999999999</v>
      </c>
    </row>
    <row r="719" spans="2:12">
      <c r="B719" s="180" t="s">
        <v>1792</v>
      </c>
      <c r="C719" s="180" t="s">
        <v>989</v>
      </c>
      <c r="D719" s="180" t="s">
        <v>974</v>
      </c>
      <c r="E719" s="180" t="s">
        <v>975</v>
      </c>
      <c r="F719" s="672">
        <v>371375.93</v>
      </c>
      <c r="G719" s="672">
        <v>0</v>
      </c>
      <c r="H719" s="672">
        <v>0</v>
      </c>
      <c r="I719" s="672">
        <v>0</v>
      </c>
      <c r="J719" s="672">
        <v>0</v>
      </c>
      <c r="K719" s="672">
        <v>0</v>
      </c>
      <c r="L719" s="672">
        <v>371375.93</v>
      </c>
    </row>
    <row r="720" spans="2:12">
      <c r="B720" s="180" t="s">
        <v>1721</v>
      </c>
      <c r="C720" s="180" t="s">
        <v>1237</v>
      </c>
      <c r="D720" s="180" t="s">
        <v>993</v>
      </c>
      <c r="E720" s="180" t="s">
        <v>983</v>
      </c>
      <c r="F720" s="672">
        <v>0</v>
      </c>
      <c r="G720" s="672">
        <v>0</v>
      </c>
      <c r="H720" s="672">
        <v>0</v>
      </c>
      <c r="I720" s="672">
        <v>0</v>
      </c>
      <c r="J720" s="672">
        <v>0</v>
      </c>
      <c r="K720" s="672">
        <v>0</v>
      </c>
      <c r="L720" s="672">
        <v>0</v>
      </c>
    </row>
    <row r="721" spans="2:12">
      <c r="B721" s="180" t="s">
        <v>1586</v>
      </c>
      <c r="C721" s="180" t="s">
        <v>1587</v>
      </c>
      <c r="D721" s="180" t="s">
        <v>974</v>
      </c>
      <c r="E721" s="180" t="s">
        <v>990</v>
      </c>
      <c r="F721" s="672">
        <v>0</v>
      </c>
      <c r="G721" s="672">
        <v>0</v>
      </c>
      <c r="H721" s="672">
        <v>0</v>
      </c>
      <c r="I721" s="672">
        <v>0</v>
      </c>
      <c r="J721" s="672">
        <v>0</v>
      </c>
      <c r="K721" s="672">
        <v>0</v>
      </c>
      <c r="L721" s="672">
        <v>0</v>
      </c>
    </row>
    <row r="722" spans="2:12">
      <c r="B722" s="180" t="s">
        <v>1793</v>
      </c>
      <c r="C722" s="180" t="s">
        <v>1707</v>
      </c>
      <c r="D722" s="180" t="s">
        <v>993</v>
      </c>
      <c r="E722" s="180" t="s">
        <v>980</v>
      </c>
      <c r="F722" s="672">
        <v>873768.2</v>
      </c>
      <c r="G722" s="672">
        <v>17650.02</v>
      </c>
      <c r="H722" s="672">
        <v>54771.77</v>
      </c>
      <c r="I722" s="672">
        <v>1615.15</v>
      </c>
      <c r="J722" s="672">
        <v>14422.95</v>
      </c>
      <c r="K722" s="672">
        <v>109236.34</v>
      </c>
      <c r="L722" s="672">
        <v>676071.97</v>
      </c>
    </row>
    <row r="723" spans="2:12">
      <c r="B723" s="180" t="s">
        <v>1035</v>
      </c>
      <c r="C723" s="180" t="s">
        <v>1036</v>
      </c>
      <c r="D723" s="180" t="s">
        <v>993</v>
      </c>
      <c r="E723" s="180" t="s">
        <v>980</v>
      </c>
      <c r="F723" s="672">
        <v>511560.94</v>
      </c>
      <c r="G723" s="672">
        <v>13715.78</v>
      </c>
      <c r="H723" s="672">
        <v>16834.36</v>
      </c>
      <c r="I723" s="672">
        <v>6053.45</v>
      </c>
      <c r="J723" s="672">
        <v>7949.7</v>
      </c>
      <c r="K723" s="672">
        <v>111622.14</v>
      </c>
      <c r="L723" s="672">
        <v>355385.51</v>
      </c>
    </row>
    <row r="724" spans="2:12">
      <c r="B724" s="180" t="s">
        <v>1353</v>
      </c>
      <c r="C724" s="180" t="s">
        <v>1354</v>
      </c>
      <c r="D724" s="180" t="s">
        <v>974</v>
      </c>
      <c r="E724" s="180" t="s">
        <v>990</v>
      </c>
      <c r="F724" s="672">
        <v>0</v>
      </c>
      <c r="G724" s="672">
        <v>0</v>
      </c>
      <c r="H724" s="672">
        <v>0</v>
      </c>
      <c r="I724" s="672">
        <v>0</v>
      </c>
      <c r="J724" s="672">
        <v>0</v>
      </c>
      <c r="K724" s="672">
        <v>0</v>
      </c>
      <c r="L724" s="672">
        <v>0</v>
      </c>
    </row>
    <row r="725" spans="2:12">
      <c r="B725" s="180" t="s">
        <v>1794</v>
      </c>
      <c r="C725" s="180" t="s">
        <v>995</v>
      </c>
      <c r="D725" s="180" t="s">
        <v>993</v>
      </c>
      <c r="E725" s="180" t="s">
        <v>983</v>
      </c>
      <c r="F725" s="672">
        <v>76192.3</v>
      </c>
      <c r="G725" s="672">
        <v>1204.1099999999999</v>
      </c>
      <c r="H725" s="672">
        <v>1257.4100000000001</v>
      </c>
      <c r="I725" s="672">
        <v>1143.71</v>
      </c>
      <c r="J725" s="672">
        <v>3093.92</v>
      </c>
      <c r="K725" s="672">
        <v>60430.41</v>
      </c>
      <c r="L725" s="672">
        <v>9062.74</v>
      </c>
    </row>
    <row r="726" spans="2:12">
      <c r="B726" s="180" t="s">
        <v>1795</v>
      </c>
      <c r="C726" s="180" t="s">
        <v>1796</v>
      </c>
      <c r="D726" s="180" t="s">
        <v>974</v>
      </c>
      <c r="E726" s="180" t="s">
        <v>975</v>
      </c>
      <c r="F726" s="672">
        <v>-3933.13</v>
      </c>
      <c r="G726" s="672">
        <v>0</v>
      </c>
      <c r="H726" s="672">
        <v>0</v>
      </c>
      <c r="I726" s="672">
        <v>0</v>
      </c>
      <c r="J726" s="672">
        <v>0</v>
      </c>
      <c r="K726" s="672">
        <v>0</v>
      </c>
      <c r="L726" s="672">
        <v>-3933.13</v>
      </c>
    </row>
    <row r="727" spans="2:12">
      <c r="B727" s="180" t="s">
        <v>1797</v>
      </c>
      <c r="C727" s="180" t="s">
        <v>1798</v>
      </c>
      <c r="D727" s="180" t="s">
        <v>974</v>
      </c>
      <c r="E727" s="180" t="s">
        <v>990</v>
      </c>
      <c r="F727" s="672">
        <v>0</v>
      </c>
      <c r="G727" s="672">
        <v>0</v>
      </c>
      <c r="H727" s="672">
        <v>0</v>
      </c>
      <c r="I727" s="672">
        <v>0</v>
      </c>
      <c r="J727" s="672">
        <v>0</v>
      </c>
      <c r="K727" s="672">
        <v>0</v>
      </c>
      <c r="L727" s="672">
        <v>0</v>
      </c>
    </row>
    <row r="728" spans="2:12">
      <c r="B728" s="180" t="s">
        <v>1749</v>
      </c>
      <c r="C728" s="180" t="s">
        <v>1750</v>
      </c>
      <c r="D728" s="180" t="s">
        <v>974</v>
      </c>
      <c r="E728" s="180" t="s">
        <v>983</v>
      </c>
      <c r="F728" s="672">
        <v>2568.44</v>
      </c>
      <c r="G728" s="672">
        <v>146.63999999999999</v>
      </c>
      <c r="H728" s="672">
        <v>0</v>
      </c>
      <c r="I728" s="672">
        <v>0</v>
      </c>
      <c r="J728" s="672">
        <v>0</v>
      </c>
      <c r="K728" s="672">
        <v>2421.8000000000002</v>
      </c>
      <c r="L728" s="672">
        <v>0</v>
      </c>
    </row>
    <row r="729" spans="2:12">
      <c r="B729" s="180" t="s">
        <v>1799</v>
      </c>
      <c r="C729" s="180" t="s">
        <v>1800</v>
      </c>
      <c r="D729" s="180" t="s">
        <v>974</v>
      </c>
      <c r="E729" s="180" t="s">
        <v>980</v>
      </c>
      <c r="F729" s="672">
        <v>-44035.31</v>
      </c>
      <c r="G729" s="672">
        <v>-2396.65</v>
      </c>
      <c r="H729" s="672">
        <v>-1073.94</v>
      </c>
      <c r="I729" s="672">
        <v>1315.99</v>
      </c>
      <c r="J729" s="672">
        <v>-3450.14</v>
      </c>
      <c r="K729" s="672">
        <v>-3501.87</v>
      </c>
      <c r="L729" s="672">
        <v>-34928.699999999997</v>
      </c>
    </row>
    <row r="730" spans="2:12">
      <c r="B730" s="180" t="s">
        <v>1280</v>
      </c>
      <c r="C730" s="180" t="s">
        <v>1281</v>
      </c>
      <c r="D730" s="180" t="s">
        <v>993</v>
      </c>
      <c r="E730" s="180" t="s">
        <v>980</v>
      </c>
      <c r="F730" s="672">
        <v>3679600.35</v>
      </c>
      <c r="G730" s="672">
        <v>121083.77</v>
      </c>
      <c r="H730" s="672">
        <v>85053.62</v>
      </c>
      <c r="I730" s="672">
        <v>84833.59</v>
      </c>
      <c r="J730" s="672">
        <v>90728.71</v>
      </c>
      <c r="K730" s="672">
        <v>941870.23</v>
      </c>
      <c r="L730" s="672">
        <v>2356030.4300000002</v>
      </c>
    </row>
    <row r="731" spans="2:12">
      <c r="B731" s="180" t="s">
        <v>1801</v>
      </c>
      <c r="C731" s="180" t="s">
        <v>1378</v>
      </c>
      <c r="D731" s="180" t="s">
        <v>974</v>
      </c>
      <c r="E731" s="180" t="s">
        <v>990</v>
      </c>
      <c r="F731" s="672">
        <v>0</v>
      </c>
      <c r="G731" s="672">
        <v>0</v>
      </c>
      <c r="H731" s="672">
        <v>0</v>
      </c>
      <c r="I731" s="672">
        <v>0</v>
      </c>
      <c r="J731" s="672">
        <v>0</v>
      </c>
      <c r="K731" s="672">
        <v>0</v>
      </c>
      <c r="L731" s="672">
        <v>0</v>
      </c>
    </row>
    <row r="732" spans="2:12">
      <c r="B732" s="180" t="s">
        <v>1802</v>
      </c>
      <c r="C732" s="180" t="s">
        <v>1803</v>
      </c>
      <c r="D732" s="180" t="s">
        <v>974</v>
      </c>
      <c r="E732" s="180" t="s">
        <v>975</v>
      </c>
      <c r="F732" s="672">
        <v>6405.98</v>
      </c>
      <c r="G732" s="672">
        <v>0</v>
      </c>
      <c r="H732" s="672">
        <v>0</v>
      </c>
      <c r="I732" s="672">
        <v>0</v>
      </c>
      <c r="J732" s="672">
        <v>0</v>
      </c>
      <c r="K732" s="672">
        <v>0</v>
      </c>
      <c r="L732" s="672">
        <v>6405.98</v>
      </c>
    </row>
    <row r="733" spans="2:12">
      <c r="B733" s="180" t="s">
        <v>1474</v>
      </c>
      <c r="C733" s="180" t="s">
        <v>1475</v>
      </c>
      <c r="D733" s="180" t="s">
        <v>974</v>
      </c>
      <c r="E733" s="180" t="s">
        <v>975</v>
      </c>
      <c r="F733" s="672">
        <v>25421.72</v>
      </c>
      <c r="G733" s="672">
        <v>0</v>
      </c>
      <c r="H733" s="672">
        <v>0</v>
      </c>
      <c r="I733" s="672">
        <v>0</v>
      </c>
      <c r="J733" s="672">
        <v>0</v>
      </c>
      <c r="K733" s="672">
        <v>25421.72</v>
      </c>
      <c r="L733" s="672">
        <v>0</v>
      </c>
    </row>
    <row r="734" spans="2:12">
      <c r="B734" s="180" t="s">
        <v>1804</v>
      </c>
      <c r="C734" s="180" t="s">
        <v>1529</v>
      </c>
      <c r="D734" s="180" t="s">
        <v>974</v>
      </c>
      <c r="E734" s="180" t="s">
        <v>975</v>
      </c>
      <c r="F734" s="672">
        <v>342743.26</v>
      </c>
      <c r="G734" s="672">
        <v>4018.36</v>
      </c>
      <c r="H734" s="672">
        <v>0</v>
      </c>
      <c r="I734" s="672">
        <v>0</v>
      </c>
      <c r="J734" s="672">
        <v>0</v>
      </c>
      <c r="K734" s="672">
        <v>27960.52</v>
      </c>
      <c r="L734" s="672">
        <v>310764.38</v>
      </c>
    </row>
    <row r="735" spans="2:12">
      <c r="B735" s="180" t="s">
        <v>1417</v>
      </c>
      <c r="C735" s="180" t="s">
        <v>1418</v>
      </c>
      <c r="D735" s="180" t="s">
        <v>974</v>
      </c>
      <c r="E735" s="180" t="s">
        <v>1075</v>
      </c>
      <c r="F735" s="672">
        <v>0</v>
      </c>
      <c r="G735" s="672">
        <v>0</v>
      </c>
      <c r="H735" s="672">
        <v>0</v>
      </c>
      <c r="I735" s="672">
        <v>0</v>
      </c>
      <c r="J735" s="672">
        <v>0</v>
      </c>
      <c r="K735" s="672">
        <v>0</v>
      </c>
      <c r="L735" s="672">
        <v>0</v>
      </c>
    </row>
    <row r="736" spans="2:12">
      <c r="B736" s="180" t="s">
        <v>1703</v>
      </c>
      <c r="C736" s="180" t="s">
        <v>1080</v>
      </c>
      <c r="D736" s="180" t="s">
        <v>974</v>
      </c>
      <c r="E736" s="180" t="s">
        <v>980</v>
      </c>
      <c r="F736" s="672">
        <v>9497.73</v>
      </c>
      <c r="G736" s="672">
        <v>974.65</v>
      </c>
      <c r="H736" s="672">
        <v>876.64</v>
      </c>
      <c r="I736" s="672">
        <v>916.21</v>
      </c>
      <c r="J736" s="672">
        <v>842.2</v>
      </c>
      <c r="K736" s="672">
        <v>-3796.75</v>
      </c>
      <c r="L736" s="672">
        <v>9684.7800000000007</v>
      </c>
    </row>
    <row r="737" spans="2:12">
      <c r="B737" s="180" t="s">
        <v>1623</v>
      </c>
      <c r="C737" s="180" t="s">
        <v>1624</v>
      </c>
      <c r="D737" s="180" t="s">
        <v>974</v>
      </c>
      <c r="E737" s="180" t="s">
        <v>980</v>
      </c>
      <c r="F737" s="672">
        <v>-43398.68</v>
      </c>
      <c r="G737" s="672">
        <v>-1100.17</v>
      </c>
      <c r="H737" s="672">
        <v>0</v>
      </c>
      <c r="I737" s="672">
        <v>-1439.09</v>
      </c>
      <c r="J737" s="672">
        <v>-1638.08</v>
      </c>
      <c r="K737" s="672">
        <v>-22094.44</v>
      </c>
      <c r="L737" s="672">
        <v>-17126.900000000001</v>
      </c>
    </row>
    <row r="738" spans="2:12">
      <c r="B738" s="180" t="s">
        <v>1805</v>
      </c>
      <c r="C738" s="180" t="s">
        <v>982</v>
      </c>
      <c r="D738" s="180" t="s">
        <v>974</v>
      </c>
      <c r="E738" s="180" t="s">
        <v>1075</v>
      </c>
      <c r="F738" s="672">
        <v>0</v>
      </c>
      <c r="G738" s="672">
        <v>0</v>
      </c>
      <c r="H738" s="672">
        <v>0</v>
      </c>
      <c r="I738" s="672">
        <v>0</v>
      </c>
      <c r="J738" s="672">
        <v>0</v>
      </c>
      <c r="K738" s="672">
        <v>0</v>
      </c>
      <c r="L738" s="672">
        <v>0</v>
      </c>
    </row>
    <row r="739" spans="2:12">
      <c r="B739" s="180" t="s">
        <v>1806</v>
      </c>
      <c r="C739" s="180" t="s">
        <v>1735</v>
      </c>
      <c r="D739" s="180" t="s">
        <v>993</v>
      </c>
      <c r="E739" s="180" t="s">
        <v>975</v>
      </c>
      <c r="F739" s="672">
        <v>-71090.92</v>
      </c>
      <c r="G739" s="672">
        <v>0</v>
      </c>
      <c r="H739" s="672">
        <v>0</v>
      </c>
      <c r="I739" s="672">
        <v>0</v>
      </c>
      <c r="J739" s="672">
        <v>0</v>
      </c>
      <c r="K739" s="672">
        <v>-144.81</v>
      </c>
      <c r="L739" s="672">
        <v>-70946.11</v>
      </c>
    </row>
    <row r="740" spans="2:12">
      <c r="B740" s="180" t="s">
        <v>1491</v>
      </c>
      <c r="C740" s="180" t="s">
        <v>1492</v>
      </c>
      <c r="D740" s="180" t="s">
        <v>974</v>
      </c>
      <c r="E740" s="180" t="s">
        <v>975</v>
      </c>
      <c r="F740" s="672">
        <v>0</v>
      </c>
      <c r="G740" s="672">
        <v>0</v>
      </c>
      <c r="H740" s="672">
        <v>0</v>
      </c>
      <c r="I740" s="672">
        <v>0</v>
      </c>
      <c r="J740" s="672">
        <v>0</v>
      </c>
      <c r="K740" s="672">
        <v>0</v>
      </c>
      <c r="L740" s="672">
        <v>0</v>
      </c>
    </row>
    <row r="741" spans="2:12">
      <c r="B741" s="180" t="s">
        <v>1617</v>
      </c>
      <c r="C741" s="180" t="s">
        <v>1412</v>
      </c>
      <c r="D741" s="180" t="s">
        <v>993</v>
      </c>
      <c r="E741" s="180" t="s">
        <v>980</v>
      </c>
      <c r="F741" s="672">
        <v>4619707.8099999996</v>
      </c>
      <c r="G741" s="672">
        <v>65263.75</v>
      </c>
      <c r="H741" s="672">
        <v>70247.94</v>
      </c>
      <c r="I741" s="672">
        <v>66600.929999999993</v>
      </c>
      <c r="J741" s="672">
        <v>57118.720000000001</v>
      </c>
      <c r="K741" s="672">
        <v>468812.79999999999</v>
      </c>
      <c r="L741" s="672">
        <v>3891663.67</v>
      </c>
    </row>
    <row r="742" spans="2:12">
      <c r="B742" s="180" t="s">
        <v>1807</v>
      </c>
      <c r="C742" s="180" t="s">
        <v>1062</v>
      </c>
      <c r="D742" s="180" t="s">
        <v>993</v>
      </c>
      <c r="E742" s="180" t="s">
        <v>980</v>
      </c>
      <c r="F742" s="672">
        <v>2575487.38</v>
      </c>
      <c r="G742" s="672">
        <v>56159.66</v>
      </c>
      <c r="H742" s="672">
        <v>63380.74</v>
      </c>
      <c r="I742" s="672">
        <v>66263.58</v>
      </c>
      <c r="J742" s="672">
        <v>66519.05</v>
      </c>
      <c r="K742" s="672">
        <v>468352.23</v>
      </c>
      <c r="L742" s="672">
        <v>1854812.12</v>
      </c>
    </row>
    <row r="743" spans="2:12">
      <c r="B743" s="180" t="s">
        <v>1628</v>
      </c>
      <c r="C743" s="180" t="s">
        <v>1629</v>
      </c>
      <c r="D743" s="180" t="s">
        <v>974</v>
      </c>
      <c r="E743" s="180" t="s">
        <v>990</v>
      </c>
      <c r="F743" s="672">
        <v>0</v>
      </c>
      <c r="G743" s="672">
        <v>0</v>
      </c>
      <c r="H743" s="672">
        <v>0</v>
      </c>
      <c r="I743" s="672">
        <v>0</v>
      </c>
      <c r="J743" s="672">
        <v>0</v>
      </c>
      <c r="K743" s="672">
        <v>0</v>
      </c>
      <c r="L743" s="672">
        <v>0</v>
      </c>
    </row>
    <row r="744" spans="2:12">
      <c r="B744" s="180" t="s">
        <v>1292</v>
      </c>
      <c r="C744" s="180" t="s">
        <v>1293</v>
      </c>
      <c r="D744" s="180" t="s">
        <v>974</v>
      </c>
      <c r="E744" s="180" t="s">
        <v>980</v>
      </c>
      <c r="F744" s="672">
        <v>3733388.47</v>
      </c>
      <c r="G744" s="672">
        <v>87811.05</v>
      </c>
      <c r="H744" s="672">
        <v>87661.29</v>
      </c>
      <c r="I744" s="672">
        <v>87502.75</v>
      </c>
      <c r="J744" s="672">
        <v>87480.94</v>
      </c>
      <c r="K744" s="672">
        <v>683311.82</v>
      </c>
      <c r="L744" s="672">
        <v>2699620.62</v>
      </c>
    </row>
    <row r="745" spans="2:12">
      <c r="B745" s="180" t="s">
        <v>1696</v>
      </c>
      <c r="C745" s="180" t="s">
        <v>1697</v>
      </c>
      <c r="D745" s="180" t="s">
        <v>974</v>
      </c>
      <c r="E745" s="180" t="s">
        <v>990</v>
      </c>
      <c r="F745" s="672">
        <v>0</v>
      </c>
      <c r="G745" s="672">
        <v>0</v>
      </c>
      <c r="H745" s="672">
        <v>0</v>
      </c>
      <c r="I745" s="672">
        <v>0</v>
      </c>
      <c r="J745" s="672">
        <v>0</v>
      </c>
      <c r="K745" s="672">
        <v>0</v>
      </c>
      <c r="L745" s="672">
        <v>0</v>
      </c>
    </row>
    <row r="746" spans="2:12">
      <c r="B746" s="180" t="s">
        <v>1774</v>
      </c>
      <c r="C746" s="180" t="s">
        <v>1775</v>
      </c>
      <c r="D746" s="180" t="s">
        <v>974</v>
      </c>
      <c r="E746" s="180" t="s">
        <v>990</v>
      </c>
      <c r="F746" s="672">
        <v>0</v>
      </c>
      <c r="G746" s="672">
        <v>0</v>
      </c>
      <c r="H746" s="672">
        <v>0</v>
      </c>
      <c r="I746" s="672">
        <v>0</v>
      </c>
      <c r="J746" s="672">
        <v>0</v>
      </c>
      <c r="K746" s="672">
        <v>0</v>
      </c>
      <c r="L746" s="672">
        <v>0</v>
      </c>
    </row>
    <row r="747" spans="2:12">
      <c r="B747" s="180" t="s">
        <v>1240</v>
      </c>
      <c r="C747" s="180" t="s">
        <v>1241</v>
      </c>
      <c r="D747" s="180" t="s">
        <v>974</v>
      </c>
      <c r="E747" s="180" t="s">
        <v>975</v>
      </c>
      <c r="F747" s="672">
        <v>-1039.56</v>
      </c>
      <c r="G747" s="672">
        <v>0</v>
      </c>
      <c r="H747" s="672">
        <v>0</v>
      </c>
      <c r="I747" s="672">
        <v>0</v>
      </c>
      <c r="J747" s="672">
        <v>0</v>
      </c>
      <c r="K747" s="672">
        <v>0</v>
      </c>
      <c r="L747" s="672">
        <v>-1039.56</v>
      </c>
    </row>
    <row r="748" spans="2:12">
      <c r="B748" s="180" t="s">
        <v>1249</v>
      </c>
      <c r="C748" s="180" t="s">
        <v>1250</v>
      </c>
      <c r="D748" s="180" t="s">
        <v>974</v>
      </c>
      <c r="E748" s="180" t="s">
        <v>980</v>
      </c>
      <c r="F748" s="672">
        <v>44867.47</v>
      </c>
      <c r="G748" s="672">
        <v>22172.5</v>
      </c>
      <c r="H748" s="672">
        <v>-22076.6</v>
      </c>
      <c r="I748" s="672">
        <v>21158.94</v>
      </c>
      <c r="J748" s="672">
        <v>225.14</v>
      </c>
      <c r="K748" s="672">
        <v>-52706.26</v>
      </c>
      <c r="L748" s="672">
        <v>76093.75</v>
      </c>
    </row>
    <row r="749" spans="2:12">
      <c r="B749" s="180" t="s">
        <v>1632</v>
      </c>
      <c r="C749" s="180" t="s">
        <v>1633</v>
      </c>
      <c r="D749" s="180" t="s">
        <v>974</v>
      </c>
      <c r="E749" s="180" t="s">
        <v>975</v>
      </c>
      <c r="F749" s="672">
        <v>36698.92</v>
      </c>
      <c r="G749" s="672">
        <v>0</v>
      </c>
      <c r="H749" s="672">
        <v>0</v>
      </c>
      <c r="I749" s="672">
        <v>0</v>
      </c>
      <c r="J749" s="672">
        <v>0</v>
      </c>
      <c r="K749" s="672">
        <v>-5</v>
      </c>
      <c r="L749" s="672">
        <v>36703.919999999998</v>
      </c>
    </row>
    <row r="750" spans="2:12">
      <c r="B750" s="180" t="s">
        <v>1808</v>
      </c>
      <c r="C750" s="180" t="s">
        <v>1809</v>
      </c>
      <c r="D750" s="180" t="s">
        <v>974</v>
      </c>
      <c r="E750" s="180" t="s">
        <v>980</v>
      </c>
      <c r="F750" s="672">
        <v>-7939.95</v>
      </c>
      <c r="G750" s="672">
        <v>-1535.55</v>
      </c>
      <c r="H750" s="672">
        <v>-1541.69</v>
      </c>
      <c r="I750" s="672">
        <v>-1564.06</v>
      </c>
      <c r="J750" s="672">
        <v>-1552.88</v>
      </c>
      <c r="K750" s="672">
        <v>-237915.98</v>
      </c>
      <c r="L750" s="672">
        <v>236170.21</v>
      </c>
    </row>
    <row r="751" spans="2:12">
      <c r="B751" s="180" t="s">
        <v>1522</v>
      </c>
      <c r="C751" s="180" t="s">
        <v>1523</v>
      </c>
      <c r="D751" s="180" t="s">
        <v>974</v>
      </c>
      <c r="E751" s="180" t="s">
        <v>990</v>
      </c>
      <c r="F751" s="672">
        <v>0</v>
      </c>
      <c r="G751" s="672">
        <v>0</v>
      </c>
      <c r="H751" s="672">
        <v>0</v>
      </c>
      <c r="I751" s="672">
        <v>0</v>
      </c>
      <c r="J751" s="672">
        <v>0</v>
      </c>
      <c r="K751" s="672">
        <v>0</v>
      </c>
      <c r="L751" s="672">
        <v>0</v>
      </c>
    </row>
    <row r="752" spans="2:12">
      <c r="B752" s="180" t="s">
        <v>1733</v>
      </c>
      <c r="C752" s="180" t="s">
        <v>1174</v>
      </c>
      <c r="D752" s="180" t="s">
        <v>993</v>
      </c>
      <c r="E752" s="180" t="s">
        <v>980</v>
      </c>
      <c r="F752" s="672">
        <v>537918.41</v>
      </c>
      <c r="G752" s="672">
        <v>12323.18</v>
      </c>
      <c r="H752" s="672">
        <v>13791.63</v>
      </c>
      <c r="I752" s="672">
        <v>15336.04</v>
      </c>
      <c r="J752" s="672">
        <v>15748.69</v>
      </c>
      <c r="K752" s="672">
        <v>107678.92</v>
      </c>
      <c r="L752" s="672">
        <v>373039.95</v>
      </c>
    </row>
    <row r="753" spans="2:12">
      <c r="B753" s="180" t="s">
        <v>1023</v>
      </c>
      <c r="C753" s="180" t="s">
        <v>1024</v>
      </c>
      <c r="D753" s="180" t="s">
        <v>974</v>
      </c>
      <c r="E753" s="180" t="s">
        <v>1075</v>
      </c>
      <c r="F753" s="672">
        <v>0</v>
      </c>
      <c r="G753" s="672">
        <v>0</v>
      </c>
      <c r="H753" s="672">
        <v>0</v>
      </c>
      <c r="I753" s="672">
        <v>0</v>
      </c>
      <c r="J753" s="672">
        <v>0</v>
      </c>
      <c r="K753" s="672">
        <v>0</v>
      </c>
      <c r="L753" s="672">
        <v>0</v>
      </c>
    </row>
    <row r="754" spans="2:12">
      <c r="B754" s="180" t="s">
        <v>1810</v>
      </c>
      <c r="C754" s="180" t="s">
        <v>1672</v>
      </c>
      <c r="D754" s="180" t="s">
        <v>993</v>
      </c>
      <c r="E754" s="180" t="s">
        <v>990</v>
      </c>
      <c r="F754" s="672">
        <v>-16.97</v>
      </c>
      <c r="G754" s="672">
        <v>0</v>
      </c>
      <c r="H754" s="672">
        <v>0</v>
      </c>
      <c r="I754" s="672">
        <v>0</v>
      </c>
      <c r="J754" s="672">
        <v>0</v>
      </c>
      <c r="K754" s="672">
        <v>0</v>
      </c>
      <c r="L754" s="672">
        <v>-16.97</v>
      </c>
    </row>
    <row r="755" spans="2:12">
      <c r="B755" s="180" t="s">
        <v>1276</v>
      </c>
      <c r="C755" s="180" t="s">
        <v>1277</v>
      </c>
      <c r="D755" s="180" t="s">
        <v>993</v>
      </c>
      <c r="E755" s="180" t="s">
        <v>975</v>
      </c>
      <c r="F755" s="672">
        <v>-102257.02</v>
      </c>
      <c r="G755" s="672">
        <v>0</v>
      </c>
      <c r="H755" s="672">
        <v>0</v>
      </c>
      <c r="I755" s="672">
        <v>0</v>
      </c>
      <c r="J755" s="672">
        <v>0</v>
      </c>
      <c r="K755" s="672">
        <v>-160.41999999999999</v>
      </c>
      <c r="L755" s="672">
        <v>-102096.6</v>
      </c>
    </row>
    <row r="756" spans="2:12">
      <c r="B756" s="180" t="s">
        <v>1811</v>
      </c>
      <c r="C756" s="180" t="s">
        <v>1525</v>
      </c>
      <c r="D756" s="180" t="s">
        <v>993</v>
      </c>
      <c r="E756" s="180" t="s">
        <v>1078</v>
      </c>
      <c r="F756" s="672">
        <v>0</v>
      </c>
      <c r="G756" s="672">
        <v>-990</v>
      </c>
      <c r="H756" s="672">
        <v>0</v>
      </c>
      <c r="I756" s="672">
        <v>0</v>
      </c>
      <c r="J756" s="672">
        <v>0</v>
      </c>
      <c r="K756" s="672">
        <v>0</v>
      </c>
      <c r="L756" s="672">
        <v>990</v>
      </c>
    </row>
    <row r="757" spans="2:12">
      <c r="B757" s="180" t="s">
        <v>1795</v>
      </c>
      <c r="C757" s="180" t="s">
        <v>1796</v>
      </c>
      <c r="D757" s="180" t="s">
        <v>974</v>
      </c>
      <c r="E757" s="180" t="s">
        <v>1034</v>
      </c>
      <c r="F757" s="672">
        <v>0</v>
      </c>
      <c r="G757" s="672">
        <v>0</v>
      </c>
      <c r="H757" s="672">
        <v>0</v>
      </c>
      <c r="I757" s="672">
        <v>0</v>
      </c>
      <c r="J757" s="672">
        <v>0</v>
      </c>
      <c r="K757" s="672">
        <v>0</v>
      </c>
      <c r="L757" s="672">
        <v>0</v>
      </c>
    </row>
    <row r="758" spans="2:12">
      <c r="B758" s="180" t="s">
        <v>1211</v>
      </c>
      <c r="C758" s="180" t="s">
        <v>1212</v>
      </c>
      <c r="D758" s="180" t="s">
        <v>974</v>
      </c>
      <c r="E758" s="180" t="s">
        <v>990</v>
      </c>
      <c r="F758" s="672">
        <v>0</v>
      </c>
      <c r="G758" s="672">
        <v>0</v>
      </c>
      <c r="H758" s="672">
        <v>0</v>
      </c>
      <c r="I758" s="672">
        <v>0</v>
      </c>
      <c r="J758" s="672">
        <v>0</v>
      </c>
      <c r="K758" s="672">
        <v>0</v>
      </c>
      <c r="L758" s="672">
        <v>0</v>
      </c>
    </row>
    <row r="759" spans="2:12">
      <c r="B759" s="180" t="s">
        <v>1812</v>
      </c>
      <c r="C759" s="180" t="s">
        <v>1813</v>
      </c>
      <c r="D759" s="180" t="s">
        <v>974</v>
      </c>
      <c r="E759" s="180" t="s">
        <v>980</v>
      </c>
      <c r="F759" s="672">
        <v>505207.4</v>
      </c>
      <c r="G759" s="672">
        <v>15635.91</v>
      </c>
      <c r="H759" s="672">
        <v>-542555.32999999996</v>
      </c>
      <c r="I759" s="672">
        <v>-30888.47</v>
      </c>
      <c r="J759" s="672">
        <v>-776.75</v>
      </c>
      <c r="K759" s="672">
        <v>1185561.17</v>
      </c>
      <c r="L759" s="672">
        <v>-121769.13</v>
      </c>
    </row>
    <row r="760" spans="2:12">
      <c r="B760" s="180" t="s">
        <v>1049</v>
      </c>
      <c r="C760" s="180" t="s">
        <v>1050</v>
      </c>
      <c r="D760" s="180" t="s">
        <v>974</v>
      </c>
      <c r="E760" s="180" t="s">
        <v>990</v>
      </c>
      <c r="F760" s="672">
        <v>0</v>
      </c>
      <c r="G760" s="672">
        <v>0</v>
      </c>
      <c r="H760" s="672">
        <v>0</v>
      </c>
      <c r="I760" s="672">
        <v>0</v>
      </c>
      <c r="J760" s="672">
        <v>0</v>
      </c>
      <c r="K760" s="672">
        <v>0</v>
      </c>
      <c r="L760" s="672">
        <v>0</v>
      </c>
    </row>
    <row r="761" spans="2:12">
      <c r="B761" s="180" t="s">
        <v>1558</v>
      </c>
      <c r="C761" s="180" t="s">
        <v>1009</v>
      </c>
      <c r="D761" s="180" t="s">
        <v>974</v>
      </c>
      <c r="E761" s="180" t="s">
        <v>975</v>
      </c>
      <c r="F761" s="672">
        <v>72091.03</v>
      </c>
      <c r="G761" s="672">
        <v>0</v>
      </c>
      <c r="H761" s="672">
        <v>0</v>
      </c>
      <c r="I761" s="672">
        <v>0</v>
      </c>
      <c r="J761" s="672">
        <v>0</v>
      </c>
      <c r="K761" s="672">
        <v>26555.75</v>
      </c>
      <c r="L761" s="672">
        <v>45535.28</v>
      </c>
    </row>
    <row r="762" spans="2:12">
      <c r="B762" s="180" t="s">
        <v>988</v>
      </c>
      <c r="C762" s="180" t="s">
        <v>989</v>
      </c>
      <c r="D762" s="180" t="s">
        <v>974</v>
      </c>
      <c r="E762" s="180" t="s">
        <v>980</v>
      </c>
      <c r="F762" s="672">
        <v>-28317.59</v>
      </c>
      <c r="G762" s="672">
        <v>4263.51</v>
      </c>
      <c r="H762" s="672">
        <v>-2308.98</v>
      </c>
      <c r="I762" s="672">
        <v>-2273.87</v>
      </c>
      <c r="J762" s="672">
        <v>1915.39</v>
      </c>
      <c r="K762" s="672">
        <v>56880.1</v>
      </c>
      <c r="L762" s="672">
        <v>-86793.74</v>
      </c>
    </row>
    <row r="763" spans="2:12">
      <c r="B763" s="180" t="s">
        <v>1229</v>
      </c>
      <c r="C763" s="180" t="s">
        <v>1230</v>
      </c>
      <c r="D763" s="180" t="s">
        <v>974</v>
      </c>
      <c r="E763" s="180" t="s">
        <v>975</v>
      </c>
      <c r="F763" s="672">
        <v>-120371.52</v>
      </c>
      <c r="G763" s="672">
        <v>0</v>
      </c>
      <c r="H763" s="672">
        <v>0</v>
      </c>
      <c r="I763" s="672">
        <v>0</v>
      </c>
      <c r="J763" s="672">
        <v>0</v>
      </c>
      <c r="K763" s="672">
        <v>0</v>
      </c>
      <c r="L763" s="672">
        <v>-120371.52</v>
      </c>
    </row>
    <row r="764" spans="2:12">
      <c r="B764" s="180" t="s">
        <v>1814</v>
      </c>
      <c r="C764" s="180" t="s">
        <v>1300</v>
      </c>
      <c r="D764" s="180" t="s">
        <v>993</v>
      </c>
      <c r="E764" s="180" t="s">
        <v>990</v>
      </c>
      <c r="F764" s="672">
        <v>0</v>
      </c>
      <c r="G764" s="672">
        <v>0</v>
      </c>
      <c r="H764" s="672">
        <v>0</v>
      </c>
      <c r="I764" s="672">
        <v>0</v>
      </c>
      <c r="J764" s="672">
        <v>0</v>
      </c>
      <c r="K764" s="672">
        <v>0</v>
      </c>
      <c r="L764" s="672">
        <v>0</v>
      </c>
    </row>
    <row r="765" spans="2:12">
      <c r="B765" s="180" t="s">
        <v>1448</v>
      </c>
      <c r="C765" s="180" t="s">
        <v>1333</v>
      </c>
      <c r="D765" s="180" t="s">
        <v>993</v>
      </c>
      <c r="E765" s="180" t="s">
        <v>983</v>
      </c>
      <c r="F765" s="672">
        <v>4077.74</v>
      </c>
      <c r="G765" s="672">
        <v>0</v>
      </c>
      <c r="H765" s="672">
        <v>0</v>
      </c>
      <c r="I765" s="672">
        <v>0</v>
      </c>
      <c r="J765" s="672">
        <v>0</v>
      </c>
      <c r="K765" s="672">
        <v>4077.74</v>
      </c>
      <c r="L765" s="672">
        <v>0</v>
      </c>
    </row>
    <row r="766" spans="2:12">
      <c r="B766" s="180" t="s">
        <v>1815</v>
      </c>
      <c r="C766" s="180" t="s">
        <v>1816</v>
      </c>
      <c r="D766" s="180" t="s">
        <v>974</v>
      </c>
      <c r="E766" s="180" t="s">
        <v>990</v>
      </c>
      <c r="F766" s="672">
        <v>0</v>
      </c>
      <c r="G766" s="672">
        <v>0</v>
      </c>
      <c r="H766" s="672">
        <v>0</v>
      </c>
      <c r="I766" s="672">
        <v>0</v>
      </c>
      <c r="J766" s="672">
        <v>0</v>
      </c>
      <c r="K766" s="672">
        <v>0</v>
      </c>
      <c r="L766" s="672">
        <v>0</v>
      </c>
    </row>
    <row r="767" spans="2:12">
      <c r="B767" s="180" t="s">
        <v>1563</v>
      </c>
      <c r="C767" s="180" t="s">
        <v>1564</v>
      </c>
      <c r="D767" s="180" t="s">
        <v>974</v>
      </c>
      <c r="E767" s="180" t="s">
        <v>990</v>
      </c>
      <c r="F767" s="672">
        <v>0</v>
      </c>
      <c r="G767" s="672">
        <v>0</v>
      </c>
      <c r="H767" s="672">
        <v>0</v>
      </c>
      <c r="I767" s="672">
        <v>0</v>
      </c>
      <c r="J767" s="672">
        <v>0</v>
      </c>
      <c r="K767" s="672">
        <v>0</v>
      </c>
      <c r="L767" s="672">
        <v>0</v>
      </c>
    </row>
    <row r="768" spans="2:12">
      <c r="B768" s="180" t="s">
        <v>1817</v>
      </c>
      <c r="C768" s="180" t="s">
        <v>1631</v>
      </c>
      <c r="D768" s="180" t="s">
        <v>993</v>
      </c>
      <c r="E768" s="180" t="s">
        <v>990</v>
      </c>
      <c r="F768" s="672">
        <v>0</v>
      </c>
      <c r="G768" s="672">
        <v>0</v>
      </c>
      <c r="H768" s="672">
        <v>0</v>
      </c>
      <c r="I768" s="672">
        <v>0</v>
      </c>
      <c r="J768" s="672">
        <v>0</v>
      </c>
      <c r="K768" s="672">
        <v>0</v>
      </c>
      <c r="L768" s="672">
        <v>0</v>
      </c>
    </row>
    <row r="769" spans="2:12">
      <c r="B769" s="180" t="s">
        <v>1047</v>
      </c>
      <c r="C769" s="180" t="s">
        <v>1048</v>
      </c>
      <c r="D769" s="180" t="s">
        <v>993</v>
      </c>
      <c r="E769" s="180" t="s">
        <v>980</v>
      </c>
      <c r="F769" s="672">
        <v>830438.16</v>
      </c>
      <c r="G769" s="672">
        <v>1996.19</v>
      </c>
      <c r="H769" s="672">
        <v>1953.79</v>
      </c>
      <c r="I769" s="672">
        <v>1759.52</v>
      </c>
      <c r="J769" s="672">
        <v>1636.44</v>
      </c>
      <c r="K769" s="672">
        <v>125098.77</v>
      </c>
      <c r="L769" s="672">
        <v>697993.45</v>
      </c>
    </row>
    <row r="770" spans="2:12">
      <c r="B770" s="180" t="s">
        <v>1355</v>
      </c>
      <c r="C770" s="180" t="s">
        <v>1356</v>
      </c>
      <c r="D770" s="180" t="s">
        <v>974</v>
      </c>
      <c r="E770" s="180" t="s">
        <v>980</v>
      </c>
      <c r="F770" s="672">
        <v>1663728.78</v>
      </c>
      <c r="G770" s="672">
        <v>38811.31</v>
      </c>
      <c r="H770" s="672">
        <v>38766.79</v>
      </c>
      <c r="I770" s="672">
        <v>38694.870000000003</v>
      </c>
      <c r="J770" s="672">
        <v>38691.35</v>
      </c>
      <c r="K770" s="672">
        <v>304626.86</v>
      </c>
      <c r="L770" s="672">
        <v>1204137.6000000001</v>
      </c>
    </row>
    <row r="771" spans="2:12">
      <c r="B771" s="180" t="s">
        <v>1818</v>
      </c>
      <c r="C771" s="180" t="s">
        <v>1819</v>
      </c>
      <c r="D771" s="180" t="s">
        <v>974</v>
      </c>
      <c r="E771" s="180" t="s">
        <v>980</v>
      </c>
      <c r="F771" s="672">
        <v>2854.17</v>
      </c>
      <c r="G771" s="672">
        <v>253.76</v>
      </c>
      <c r="H771" s="672">
        <v>3749.87</v>
      </c>
      <c r="I771" s="672">
        <v>-1229.83</v>
      </c>
      <c r="J771" s="672">
        <v>3241.23</v>
      </c>
      <c r="K771" s="672">
        <v>1437.2</v>
      </c>
      <c r="L771" s="672">
        <v>-4598.0600000000004</v>
      </c>
    </row>
    <row r="772" spans="2:12">
      <c r="B772" s="180" t="s">
        <v>1820</v>
      </c>
      <c r="C772" s="180" t="s">
        <v>1302</v>
      </c>
      <c r="D772" s="180" t="s">
        <v>993</v>
      </c>
      <c r="E772" s="180" t="s">
        <v>980</v>
      </c>
      <c r="F772" s="672">
        <v>1428410.86</v>
      </c>
      <c r="G772" s="672">
        <v>31050.77</v>
      </c>
      <c r="H772" s="672">
        <v>55579.17</v>
      </c>
      <c r="I772" s="672">
        <v>33992.080000000002</v>
      </c>
      <c r="J772" s="672">
        <v>33839.99</v>
      </c>
      <c r="K772" s="672">
        <v>307098.62</v>
      </c>
      <c r="L772" s="672">
        <v>966850.23</v>
      </c>
    </row>
    <row r="773" spans="2:12">
      <c r="B773" s="180" t="s">
        <v>1064</v>
      </c>
      <c r="C773" s="180" t="s">
        <v>1065</v>
      </c>
      <c r="D773" s="180" t="s">
        <v>993</v>
      </c>
      <c r="E773" s="180" t="s">
        <v>980</v>
      </c>
      <c r="F773" s="672">
        <v>87251.42</v>
      </c>
      <c r="G773" s="672">
        <v>1734.95</v>
      </c>
      <c r="H773" s="672">
        <v>1799.35</v>
      </c>
      <c r="I773" s="672">
        <v>1743.2</v>
      </c>
      <c r="J773" s="672">
        <v>1895.75</v>
      </c>
      <c r="K773" s="672">
        <v>12718.81</v>
      </c>
      <c r="L773" s="672">
        <v>67359.360000000001</v>
      </c>
    </row>
    <row r="774" spans="2:12">
      <c r="B774" s="180" t="s">
        <v>1670</v>
      </c>
      <c r="C774" s="180" t="s">
        <v>1302</v>
      </c>
      <c r="D774" s="180" t="s">
        <v>993</v>
      </c>
      <c r="E774" s="180" t="s">
        <v>975</v>
      </c>
      <c r="F774" s="672">
        <v>-100634.28</v>
      </c>
      <c r="G774" s="672">
        <v>-35093.97</v>
      </c>
      <c r="H774" s="672">
        <v>35093.97</v>
      </c>
      <c r="I774" s="672">
        <v>0</v>
      </c>
      <c r="J774" s="672">
        <v>0</v>
      </c>
      <c r="K774" s="672">
        <v>-92952.01</v>
      </c>
      <c r="L774" s="672">
        <v>-7682.27</v>
      </c>
    </row>
    <row r="775" spans="2:12">
      <c r="B775" s="180" t="s">
        <v>1821</v>
      </c>
      <c r="C775" s="180" t="s">
        <v>1822</v>
      </c>
      <c r="D775" s="180" t="s">
        <v>974</v>
      </c>
      <c r="E775" s="180" t="s">
        <v>975</v>
      </c>
      <c r="F775" s="672">
        <v>6165.97</v>
      </c>
      <c r="G775" s="672">
        <v>0</v>
      </c>
      <c r="H775" s="672">
        <v>0</v>
      </c>
      <c r="I775" s="672">
        <v>0</v>
      </c>
      <c r="J775" s="672">
        <v>0</v>
      </c>
      <c r="K775" s="672">
        <v>0</v>
      </c>
      <c r="L775" s="672">
        <v>6165.97</v>
      </c>
    </row>
    <row r="776" spans="2:12">
      <c r="B776" s="180" t="s">
        <v>1642</v>
      </c>
      <c r="C776" s="180" t="s">
        <v>1106</v>
      </c>
      <c r="D776" s="180" t="s">
        <v>993</v>
      </c>
      <c r="E776" s="180" t="s">
        <v>980</v>
      </c>
      <c r="F776" s="672">
        <v>1716581.94</v>
      </c>
      <c r="G776" s="672">
        <v>60246.31</v>
      </c>
      <c r="H776" s="672">
        <v>44144.49</v>
      </c>
      <c r="I776" s="672">
        <v>31801.279999999999</v>
      </c>
      <c r="J776" s="672">
        <v>43400.42</v>
      </c>
      <c r="K776" s="672">
        <v>252826.85</v>
      </c>
      <c r="L776" s="672">
        <v>1284162.5900000001</v>
      </c>
    </row>
    <row r="777" spans="2:12">
      <c r="B777" s="180" t="s">
        <v>1014</v>
      </c>
      <c r="C777" s="180" t="s">
        <v>1015</v>
      </c>
      <c r="D777" s="180" t="s">
        <v>974</v>
      </c>
      <c r="E777" s="180" t="s">
        <v>975</v>
      </c>
      <c r="F777" s="672">
        <v>268154.51</v>
      </c>
      <c r="G777" s="672">
        <v>0</v>
      </c>
      <c r="H777" s="672">
        <v>0</v>
      </c>
      <c r="I777" s="672">
        <v>0</v>
      </c>
      <c r="J777" s="672">
        <v>0</v>
      </c>
      <c r="K777" s="672">
        <v>0</v>
      </c>
      <c r="L777" s="672">
        <v>268154.51</v>
      </c>
    </row>
    <row r="778" spans="2:12">
      <c r="B778" s="180" t="s">
        <v>1823</v>
      </c>
      <c r="C778" s="180" t="s">
        <v>1753</v>
      </c>
      <c r="D778" s="180" t="s">
        <v>974</v>
      </c>
      <c r="E778" s="180" t="s">
        <v>975</v>
      </c>
      <c r="F778" s="672">
        <v>469.97</v>
      </c>
      <c r="G778" s="672">
        <v>0</v>
      </c>
      <c r="H778" s="672">
        <v>0</v>
      </c>
      <c r="I778" s="672">
        <v>0</v>
      </c>
      <c r="J778" s="672">
        <v>0</v>
      </c>
      <c r="K778" s="672">
        <v>0</v>
      </c>
      <c r="L778" s="672">
        <v>469.97</v>
      </c>
    </row>
    <row r="779" spans="2:12">
      <c r="B779" s="180" t="s">
        <v>1407</v>
      </c>
      <c r="C779" s="180" t="s">
        <v>1056</v>
      </c>
      <c r="D779" s="180" t="s">
        <v>993</v>
      </c>
      <c r="E779" s="180" t="s">
        <v>990</v>
      </c>
      <c r="F779" s="672">
        <v>0</v>
      </c>
      <c r="G779" s="672">
        <v>0</v>
      </c>
      <c r="H779" s="672">
        <v>0</v>
      </c>
      <c r="I779" s="672">
        <v>0</v>
      </c>
      <c r="J779" s="672">
        <v>0</v>
      </c>
      <c r="K779" s="672">
        <v>0</v>
      </c>
      <c r="L779" s="672">
        <v>0</v>
      </c>
    </row>
    <row r="780" spans="2:12">
      <c r="B780" s="180" t="s">
        <v>1053</v>
      </c>
      <c r="C780" s="180" t="s">
        <v>1054</v>
      </c>
      <c r="D780" s="180" t="s">
        <v>974</v>
      </c>
      <c r="E780" s="180" t="s">
        <v>975</v>
      </c>
      <c r="F780" s="672">
        <v>1435103.59</v>
      </c>
      <c r="G780" s="672">
        <v>0</v>
      </c>
      <c r="H780" s="672">
        <v>0</v>
      </c>
      <c r="I780" s="672">
        <v>0</v>
      </c>
      <c r="J780" s="672">
        <v>0</v>
      </c>
      <c r="K780" s="672">
        <v>-3693.85</v>
      </c>
      <c r="L780" s="672">
        <v>1438797.44</v>
      </c>
    </row>
    <row r="781" spans="2:12">
      <c r="B781" s="180" t="s">
        <v>1274</v>
      </c>
      <c r="C781" s="180" t="s">
        <v>1275</v>
      </c>
      <c r="D781" s="180" t="s">
        <v>974</v>
      </c>
      <c r="E781" s="180" t="s">
        <v>980</v>
      </c>
      <c r="F781" s="672">
        <v>782047.14</v>
      </c>
      <c r="G781" s="672">
        <v>44163.29</v>
      </c>
      <c r="H781" s="672">
        <v>-34924.15</v>
      </c>
      <c r="I781" s="672">
        <v>347770.95</v>
      </c>
      <c r="J781" s="672">
        <v>-290899.7</v>
      </c>
      <c r="K781" s="672">
        <v>-87386.81</v>
      </c>
      <c r="L781" s="672">
        <v>803323.56</v>
      </c>
    </row>
    <row r="782" spans="2:12">
      <c r="B782" s="180" t="s">
        <v>1485</v>
      </c>
      <c r="C782" s="180" t="s">
        <v>1486</v>
      </c>
      <c r="D782" s="180" t="s">
        <v>974</v>
      </c>
      <c r="E782" s="180" t="s">
        <v>980</v>
      </c>
      <c r="F782" s="672">
        <v>-56234.32</v>
      </c>
      <c r="G782" s="672">
        <v>2860</v>
      </c>
      <c r="H782" s="672">
        <v>-4231.8999999999996</v>
      </c>
      <c r="I782" s="672">
        <v>-1099.33</v>
      </c>
      <c r="J782" s="672">
        <v>5086.4799999999996</v>
      </c>
      <c r="K782" s="672">
        <v>-3039.68</v>
      </c>
      <c r="L782" s="672">
        <v>-55809.89</v>
      </c>
    </row>
    <row r="783" spans="2:12">
      <c r="B783" s="180" t="s">
        <v>1824</v>
      </c>
      <c r="C783" s="180" t="s">
        <v>1825</v>
      </c>
      <c r="D783" s="180" t="s">
        <v>974</v>
      </c>
      <c r="E783" s="180" t="s">
        <v>990</v>
      </c>
      <c r="F783" s="672">
        <v>0</v>
      </c>
      <c r="G783" s="672">
        <v>0</v>
      </c>
      <c r="H783" s="672">
        <v>0</v>
      </c>
      <c r="I783" s="672">
        <v>0</v>
      </c>
      <c r="J783" s="672">
        <v>0</v>
      </c>
      <c r="K783" s="672">
        <v>0</v>
      </c>
      <c r="L783" s="672">
        <v>0</v>
      </c>
    </row>
    <row r="784" spans="2:12">
      <c r="B784" s="180" t="s">
        <v>1826</v>
      </c>
      <c r="C784" s="180" t="s">
        <v>1525</v>
      </c>
      <c r="D784" s="180" t="s">
        <v>993</v>
      </c>
      <c r="E784" s="180" t="s">
        <v>990</v>
      </c>
      <c r="F784" s="672">
        <v>0</v>
      </c>
      <c r="G784" s="672">
        <v>0</v>
      </c>
      <c r="H784" s="672">
        <v>0</v>
      </c>
      <c r="I784" s="672">
        <v>0</v>
      </c>
      <c r="J784" s="672">
        <v>0</v>
      </c>
      <c r="K784" s="672">
        <v>0</v>
      </c>
      <c r="L784" s="672">
        <v>0</v>
      </c>
    </row>
    <row r="785" spans="2:12">
      <c r="B785" s="180" t="s">
        <v>1708</v>
      </c>
      <c r="C785" s="180" t="s">
        <v>1277</v>
      </c>
      <c r="D785" s="180" t="s">
        <v>993</v>
      </c>
      <c r="E785" s="180" t="s">
        <v>990</v>
      </c>
      <c r="F785" s="672">
        <v>0</v>
      </c>
      <c r="G785" s="672">
        <v>0</v>
      </c>
      <c r="H785" s="672">
        <v>0</v>
      </c>
      <c r="I785" s="672">
        <v>0</v>
      </c>
      <c r="J785" s="672">
        <v>0</v>
      </c>
      <c r="K785" s="672">
        <v>0</v>
      </c>
      <c r="L785" s="672">
        <v>0</v>
      </c>
    </row>
    <row r="786" spans="2:12">
      <c r="B786" s="180" t="s">
        <v>1827</v>
      </c>
      <c r="C786" s="180" t="s">
        <v>1828</v>
      </c>
      <c r="D786" s="180" t="s">
        <v>974</v>
      </c>
      <c r="E786" s="180" t="s">
        <v>975</v>
      </c>
      <c r="F786" s="672">
        <v>113650.44</v>
      </c>
      <c r="G786" s="672">
        <v>0</v>
      </c>
      <c r="H786" s="672">
        <v>0</v>
      </c>
      <c r="I786" s="672">
        <v>0</v>
      </c>
      <c r="J786" s="672">
        <v>0</v>
      </c>
      <c r="K786" s="672">
        <v>0</v>
      </c>
      <c r="L786" s="672">
        <v>113650.44</v>
      </c>
    </row>
    <row r="787" spans="2:12">
      <c r="B787" s="180" t="s">
        <v>1726</v>
      </c>
      <c r="C787" s="180" t="s">
        <v>1255</v>
      </c>
      <c r="D787" s="180" t="s">
        <v>993</v>
      </c>
      <c r="E787" s="180" t="s">
        <v>990</v>
      </c>
      <c r="F787" s="672">
        <v>0</v>
      </c>
      <c r="G787" s="672">
        <v>0</v>
      </c>
      <c r="H787" s="672">
        <v>0</v>
      </c>
      <c r="I787" s="672">
        <v>0</v>
      </c>
      <c r="J787" s="672">
        <v>0</v>
      </c>
      <c r="K787" s="672">
        <v>0</v>
      </c>
      <c r="L787" s="672">
        <v>0</v>
      </c>
    </row>
    <row r="788" spans="2:12">
      <c r="B788" s="180" t="s">
        <v>1229</v>
      </c>
      <c r="C788" s="180" t="s">
        <v>1230</v>
      </c>
      <c r="D788" s="180" t="s">
        <v>974</v>
      </c>
      <c r="E788" s="180" t="s">
        <v>980</v>
      </c>
      <c r="F788" s="672">
        <v>-68850.81</v>
      </c>
      <c r="G788" s="672">
        <v>-6500.7</v>
      </c>
      <c r="H788" s="672">
        <v>3954.5</v>
      </c>
      <c r="I788" s="672">
        <v>28037.43</v>
      </c>
      <c r="J788" s="672">
        <v>-10898.45</v>
      </c>
      <c r="K788" s="672">
        <v>-2618.67</v>
      </c>
      <c r="L788" s="672">
        <v>-80824.92</v>
      </c>
    </row>
    <row r="789" spans="2:12">
      <c r="B789" s="180" t="s">
        <v>1002</v>
      </c>
      <c r="C789" s="180" t="s">
        <v>1003</v>
      </c>
      <c r="D789" s="180" t="s">
        <v>974</v>
      </c>
      <c r="E789" s="180" t="s">
        <v>980</v>
      </c>
      <c r="F789" s="672">
        <v>-27971.58</v>
      </c>
      <c r="G789" s="672">
        <v>-2329.23</v>
      </c>
      <c r="H789" s="672">
        <v>-2339.36</v>
      </c>
      <c r="I789" s="672">
        <v>800.35</v>
      </c>
      <c r="J789" s="672">
        <v>-1699</v>
      </c>
      <c r="K789" s="672">
        <v>-22103.75</v>
      </c>
      <c r="L789" s="672">
        <v>-300.58999999999997</v>
      </c>
    </row>
    <row r="790" spans="2:12">
      <c r="B790" s="180" t="s">
        <v>1829</v>
      </c>
      <c r="C790" s="180" t="s">
        <v>1369</v>
      </c>
      <c r="D790" s="180" t="s">
        <v>993</v>
      </c>
      <c r="E790" s="180" t="s">
        <v>983</v>
      </c>
      <c r="F790" s="672">
        <v>4185.1400000000003</v>
      </c>
      <c r="G790" s="672">
        <v>769.76</v>
      </c>
      <c r="H790" s="672">
        <v>1490.58</v>
      </c>
      <c r="I790" s="672">
        <v>494.83</v>
      </c>
      <c r="J790" s="672">
        <v>489.53</v>
      </c>
      <c r="K790" s="672">
        <v>940.44</v>
      </c>
      <c r="L790" s="672">
        <v>0</v>
      </c>
    </row>
    <row r="791" spans="2:12">
      <c r="B791" s="180" t="s">
        <v>1830</v>
      </c>
      <c r="C791" s="180" t="s">
        <v>1831</v>
      </c>
      <c r="D791" s="180" t="s">
        <v>974</v>
      </c>
      <c r="E791" s="180" t="s">
        <v>990</v>
      </c>
      <c r="F791" s="672">
        <v>0</v>
      </c>
      <c r="G791" s="672">
        <v>0</v>
      </c>
      <c r="H791" s="672">
        <v>0</v>
      </c>
      <c r="I791" s="672">
        <v>0</v>
      </c>
      <c r="J791" s="672">
        <v>0</v>
      </c>
      <c r="K791" s="672">
        <v>0</v>
      </c>
      <c r="L791" s="672">
        <v>0</v>
      </c>
    </row>
    <row r="792" spans="2:12">
      <c r="B792" s="180" t="s">
        <v>1415</v>
      </c>
      <c r="C792" s="180" t="s">
        <v>1416</v>
      </c>
      <c r="D792" s="180" t="s">
        <v>974</v>
      </c>
      <c r="E792" s="180" t="s">
        <v>975</v>
      </c>
      <c r="F792" s="672">
        <v>-1238.99</v>
      </c>
      <c r="G792" s="672">
        <v>0</v>
      </c>
      <c r="H792" s="672">
        <v>0</v>
      </c>
      <c r="I792" s="672">
        <v>0</v>
      </c>
      <c r="J792" s="672">
        <v>0</v>
      </c>
      <c r="K792" s="672">
        <v>0</v>
      </c>
      <c r="L792" s="672">
        <v>-1238.99</v>
      </c>
    </row>
    <row r="793" spans="2:12">
      <c r="B793" s="180" t="s">
        <v>1618</v>
      </c>
      <c r="C793" s="180" t="s">
        <v>1098</v>
      </c>
      <c r="D793" s="180" t="s">
        <v>993</v>
      </c>
      <c r="E793" s="180" t="s">
        <v>990</v>
      </c>
      <c r="F793" s="672">
        <v>0</v>
      </c>
      <c r="G793" s="672">
        <v>0</v>
      </c>
      <c r="H793" s="672">
        <v>0</v>
      </c>
      <c r="I793" s="672">
        <v>0</v>
      </c>
      <c r="J793" s="672">
        <v>0</v>
      </c>
      <c r="K793" s="672">
        <v>0</v>
      </c>
      <c r="L793" s="672">
        <v>0</v>
      </c>
    </row>
    <row r="794" spans="2:12">
      <c r="B794" s="180" t="s">
        <v>1609</v>
      </c>
      <c r="C794" s="180" t="s">
        <v>1610</v>
      </c>
      <c r="D794" s="180" t="s">
        <v>974</v>
      </c>
      <c r="E794" s="180" t="s">
        <v>983</v>
      </c>
      <c r="F794" s="672">
        <v>3804.11</v>
      </c>
      <c r="G794" s="672">
        <v>1777.54</v>
      </c>
      <c r="H794" s="672">
        <v>-21921.51</v>
      </c>
      <c r="I794" s="672">
        <v>23948.080000000002</v>
      </c>
      <c r="J794" s="672">
        <v>0</v>
      </c>
      <c r="K794" s="672">
        <v>0</v>
      </c>
      <c r="L794" s="672">
        <v>0</v>
      </c>
    </row>
    <row r="795" spans="2:12">
      <c r="B795" s="180" t="s">
        <v>1832</v>
      </c>
      <c r="C795" s="180" t="s">
        <v>1030</v>
      </c>
      <c r="D795" s="180" t="s">
        <v>993</v>
      </c>
      <c r="E795" s="180" t="s">
        <v>1078</v>
      </c>
      <c r="F795" s="672">
        <v>-12650</v>
      </c>
      <c r="G795" s="672">
        <v>-12650</v>
      </c>
      <c r="H795" s="672">
        <v>0</v>
      </c>
      <c r="I795" s="672">
        <v>0</v>
      </c>
      <c r="J795" s="672">
        <v>0</v>
      </c>
      <c r="K795" s="672">
        <v>0</v>
      </c>
      <c r="L795" s="672">
        <v>0</v>
      </c>
    </row>
    <row r="796" spans="2:12">
      <c r="B796" s="180" t="s">
        <v>1717</v>
      </c>
      <c r="C796" s="180" t="s">
        <v>1718</v>
      </c>
      <c r="D796" s="180" t="s">
        <v>974</v>
      </c>
      <c r="E796" s="180" t="s">
        <v>975</v>
      </c>
      <c r="F796" s="672">
        <v>53.04</v>
      </c>
      <c r="G796" s="672">
        <v>0</v>
      </c>
      <c r="H796" s="672">
        <v>0</v>
      </c>
      <c r="I796" s="672">
        <v>0</v>
      </c>
      <c r="J796" s="672">
        <v>0</v>
      </c>
      <c r="K796" s="672">
        <v>0.3</v>
      </c>
      <c r="L796" s="672">
        <v>52.74</v>
      </c>
    </row>
    <row r="797" spans="2:12">
      <c r="B797" s="180" t="s">
        <v>1833</v>
      </c>
      <c r="C797" s="180" t="s">
        <v>1246</v>
      </c>
      <c r="D797" s="180" t="s">
        <v>974</v>
      </c>
      <c r="E797" s="180" t="s">
        <v>990</v>
      </c>
      <c r="F797" s="672">
        <v>0</v>
      </c>
      <c r="G797" s="672">
        <v>0</v>
      </c>
      <c r="H797" s="672">
        <v>0</v>
      </c>
      <c r="I797" s="672">
        <v>0</v>
      </c>
      <c r="J797" s="672">
        <v>0</v>
      </c>
      <c r="K797" s="672">
        <v>0</v>
      </c>
      <c r="L797" s="672">
        <v>0</v>
      </c>
    </row>
    <row r="798" spans="2:12">
      <c r="B798" s="180" t="s">
        <v>1834</v>
      </c>
      <c r="C798" s="180" t="s">
        <v>1835</v>
      </c>
      <c r="D798" s="180" t="s">
        <v>974</v>
      </c>
      <c r="E798" s="180" t="s">
        <v>980</v>
      </c>
      <c r="F798" s="672">
        <v>47246.39</v>
      </c>
      <c r="G798" s="672">
        <v>-14270.91</v>
      </c>
      <c r="H798" s="672">
        <v>6484.99</v>
      </c>
      <c r="I798" s="672">
        <v>-1748.28</v>
      </c>
      <c r="J798" s="672">
        <v>-63518.71</v>
      </c>
      <c r="K798" s="672">
        <v>220125.34</v>
      </c>
      <c r="L798" s="672">
        <v>-99826.04</v>
      </c>
    </row>
    <row r="799" spans="2:12">
      <c r="B799" s="180" t="s">
        <v>1836</v>
      </c>
      <c r="C799" s="180" t="s">
        <v>1837</v>
      </c>
      <c r="D799" s="180" t="s">
        <v>974</v>
      </c>
      <c r="E799" s="180" t="s">
        <v>990</v>
      </c>
      <c r="F799" s="672">
        <v>0</v>
      </c>
      <c r="G799" s="672">
        <v>0</v>
      </c>
      <c r="H799" s="672">
        <v>0</v>
      </c>
      <c r="I799" s="672">
        <v>0</v>
      </c>
      <c r="J799" s="672">
        <v>0</v>
      </c>
      <c r="K799" s="672">
        <v>0</v>
      </c>
      <c r="L799" s="672">
        <v>0</v>
      </c>
    </row>
    <row r="800" spans="2:12">
      <c r="B800" s="180" t="s">
        <v>1296</v>
      </c>
      <c r="C800" s="180" t="s">
        <v>1021</v>
      </c>
      <c r="D800" s="180" t="s">
        <v>993</v>
      </c>
      <c r="E800" s="180" t="s">
        <v>990</v>
      </c>
      <c r="F800" s="672">
        <v>0</v>
      </c>
      <c r="G800" s="672">
        <v>0</v>
      </c>
      <c r="H800" s="672">
        <v>0</v>
      </c>
      <c r="I800" s="672">
        <v>0</v>
      </c>
      <c r="J800" s="672">
        <v>0</v>
      </c>
      <c r="K800" s="672">
        <v>0</v>
      </c>
      <c r="L800" s="672">
        <v>0</v>
      </c>
    </row>
    <row r="801" spans="2:12">
      <c r="B801" s="180" t="s">
        <v>1838</v>
      </c>
      <c r="C801" s="180" t="s">
        <v>1629</v>
      </c>
      <c r="D801" s="180" t="s">
        <v>974</v>
      </c>
      <c r="E801" s="180" t="s">
        <v>975</v>
      </c>
      <c r="F801" s="672">
        <v>183921.97</v>
      </c>
      <c r="G801" s="672">
        <v>0</v>
      </c>
      <c r="H801" s="672">
        <v>0</v>
      </c>
      <c r="I801" s="672">
        <v>0</v>
      </c>
      <c r="J801" s="672">
        <v>0</v>
      </c>
      <c r="K801" s="672">
        <v>0</v>
      </c>
      <c r="L801" s="672">
        <v>183921.97</v>
      </c>
    </row>
    <row r="802" spans="2:12">
      <c r="B802" s="180" t="s">
        <v>1338</v>
      </c>
      <c r="C802" s="180" t="s">
        <v>1339</v>
      </c>
      <c r="D802" s="180" t="s">
        <v>974</v>
      </c>
      <c r="E802" s="180" t="s">
        <v>1034</v>
      </c>
      <c r="F802" s="672">
        <v>0</v>
      </c>
      <c r="G802" s="672">
        <v>0</v>
      </c>
      <c r="H802" s="672">
        <v>0</v>
      </c>
      <c r="I802" s="672">
        <v>0</v>
      </c>
      <c r="J802" s="672">
        <v>0</v>
      </c>
      <c r="K802" s="672">
        <v>0</v>
      </c>
      <c r="L802" s="672">
        <v>0</v>
      </c>
    </row>
    <row r="803" spans="2:12">
      <c r="B803" s="180" t="s">
        <v>1773</v>
      </c>
      <c r="C803" s="180" t="s">
        <v>1737</v>
      </c>
      <c r="D803" s="180" t="s">
        <v>993</v>
      </c>
      <c r="E803" s="180" t="s">
        <v>990</v>
      </c>
      <c r="F803" s="672">
        <v>0</v>
      </c>
      <c r="G803" s="672">
        <v>0</v>
      </c>
      <c r="H803" s="672">
        <v>0</v>
      </c>
      <c r="I803" s="672">
        <v>0</v>
      </c>
      <c r="J803" s="672">
        <v>0</v>
      </c>
      <c r="K803" s="672">
        <v>0</v>
      </c>
      <c r="L803" s="672">
        <v>0</v>
      </c>
    </row>
    <row r="804" spans="2:12">
      <c r="B804" s="180" t="s">
        <v>1329</v>
      </c>
      <c r="C804" s="180" t="s">
        <v>1330</v>
      </c>
      <c r="D804" s="180" t="s">
        <v>993</v>
      </c>
      <c r="E804" s="180" t="s">
        <v>983</v>
      </c>
      <c r="F804" s="672">
        <v>831.45</v>
      </c>
      <c r="G804" s="672">
        <v>216.66</v>
      </c>
      <c r="H804" s="672">
        <v>0</v>
      </c>
      <c r="I804" s="672">
        <v>118.91</v>
      </c>
      <c r="J804" s="672">
        <v>328.21</v>
      </c>
      <c r="K804" s="672">
        <v>20</v>
      </c>
      <c r="L804" s="672">
        <v>147.66999999999999</v>
      </c>
    </row>
    <row r="805" spans="2:12">
      <c r="B805" s="180" t="s">
        <v>1839</v>
      </c>
      <c r="C805" s="180" t="s">
        <v>1840</v>
      </c>
      <c r="D805" s="180" t="s">
        <v>974</v>
      </c>
      <c r="E805" s="180" t="s">
        <v>975</v>
      </c>
      <c r="F805" s="672">
        <v>2123105.9500000002</v>
      </c>
      <c r="G805" s="672">
        <v>0</v>
      </c>
      <c r="H805" s="672">
        <v>0</v>
      </c>
      <c r="I805" s="672">
        <v>0</v>
      </c>
      <c r="J805" s="672">
        <v>0</v>
      </c>
      <c r="K805" s="672">
        <v>-3470.33</v>
      </c>
      <c r="L805" s="672">
        <v>2126576.2799999998</v>
      </c>
    </row>
    <row r="806" spans="2:12">
      <c r="B806" s="180" t="s">
        <v>1091</v>
      </c>
      <c r="C806" s="180" t="s">
        <v>1092</v>
      </c>
      <c r="D806" s="180" t="s">
        <v>974</v>
      </c>
      <c r="E806" s="180" t="s">
        <v>975</v>
      </c>
      <c r="F806" s="672">
        <v>113154.08</v>
      </c>
      <c r="G806" s="672">
        <v>0</v>
      </c>
      <c r="H806" s="672">
        <v>0</v>
      </c>
      <c r="I806" s="672">
        <v>0</v>
      </c>
      <c r="J806" s="672">
        <v>0</v>
      </c>
      <c r="K806" s="672">
        <v>0</v>
      </c>
      <c r="L806" s="672">
        <v>113154.08</v>
      </c>
    </row>
    <row r="807" spans="2:12">
      <c r="B807" s="180" t="s">
        <v>1841</v>
      </c>
      <c r="C807" s="180" t="s">
        <v>1106</v>
      </c>
      <c r="D807" s="180" t="s">
        <v>993</v>
      </c>
      <c r="E807" s="180" t="s">
        <v>990</v>
      </c>
      <c r="F807" s="672">
        <v>0</v>
      </c>
      <c r="G807" s="672">
        <v>0</v>
      </c>
      <c r="H807" s="672">
        <v>0</v>
      </c>
      <c r="I807" s="672">
        <v>0</v>
      </c>
      <c r="J807" s="672">
        <v>0</v>
      </c>
      <c r="K807" s="672">
        <v>0</v>
      </c>
      <c r="L807" s="672">
        <v>0</v>
      </c>
    </row>
    <row r="808" spans="2:12">
      <c r="B808" s="180" t="s">
        <v>1033</v>
      </c>
      <c r="C808" s="180" t="s">
        <v>999</v>
      </c>
      <c r="D808" s="180" t="s">
        <v>974</v>
      </c>
      <c r="E808" s="180" t="s">
        <v>975</v>
      </c>
      <c r="F808" s="672">
        <v>495502.05</v>
      </c>
      <c r="G808" s="672">
        <v>0</v>
      </c>
      <c r="H808" s="672">
        <v>0</v>
      </c>
      <c r="I808" s="672">
        <v>0</v>
      </c>
      <c r="J808" s="672">
        <v>0</v>
      </c>
      <c r="K808" s="672">
        <v>374781</v>
      </c>
      <c r="L808" s="672">
        <v>120721.05</v>
      </c>
    </row>
    <row r="809" spans="2:12">
      <c r="B809" s="180" t="s">
        <v>1380</v>
      </c>
      <c r="C809" s="180" t="s">
        <v>1381</v>
      </c>
      <c r="D809" s="180" t="s">
        <v>974</v>
      </c>
      <c r="E809" s="180" t="s">
        <v>980</v>
      </c>
      <c r="F809" s="672">
        <v>605489.48</v>
      </c>
      <c r="G809" s="672">
        <v>-14880.62</v>
      </c>
      <c r="H809" s="672">
        <v>-23288.240000000002</v>
      </c>
      <c r="I809" s="672">
        <v>-12277.39</v>
      </c>
      <c r="J809" s="672">
        <v>-209108.71</v>
      </c>
      <c r="K809" s="672">
        <v>263195.21999999997</v>
      </c>
      <c r="L809" s="672">
        <v>601849.22</v>
      </c>
    </row>
    <row r="810" spans="2:12">
      <c r="B810" s="180" t="s">
        <v>1513</v>
      </c>
      <c r="C810" s="180" t="s">
        <v>1488</v>
      </c>
      <c r="D810" s="180" t="s">
        <v>974</v>
      </c>
      <c r="E810" s="180" t="s">
        <v>980</v>
      </c>
      <c r="F810" s="672">
        <v>-7762.77</v>
      </c>
      <c r="G810" s="672">
        <v>1908.4</v>
      </c>
      <c r="H810" s="672">
        <v>-73.72</v>
      </c>
      <c r="I810" s="672">
        <v>-16.260000000000002</v>
      </c>
      <c r="J810" s="672">
        <v>-3.91</v>
      </c>
      <c r="K810" s="672">
        <v>-2251.33</v>
      </c>
      <c r="L810" s="672">
        <v>-7325.95</v>
      </c>
    </row>
    <row r="811" spans="2:12">
      <c r="B811" s="180" t="s">
        <v>1842</v>
      </c>
      <c r="C811" s="180" t="s">
        <v>1389</v>
      </c>
      <c r="D811" s="180" t="s">
        <v>993</v>
      </c>
      <c r="E811" s="180" t="s">
        <v>990</v>
      </c>
      <c r="F811" s="672">
        <v>0</v>
      </c>
      <c r="G811" s="672">
        <v>0</v>
      </c>
      <c r="H811" s="672">
        <v>0</v>
      </c>
      <c r="I811" s="672">
        <v>0</v>
      </c>
      <c r="J811" s="672">
        <v>0</v>
      </c>
      <c r="K811" s="672">
        <v>0</v>
      </c>
      <c r="L811" s="672">
        <v>0</v>
      </c>
    </row>
    <row r="812" spans="2:12">
      <c r="B812" s="180" t="s">
        <v>1450</v>
      </c>
      <c r="C812" s="180" t="s">
        <v>1451</v>
      </c>
      <c r="D812" s="180" t="s">
        <v>974</v>
      </c>
      <c r="E812" s="180" t="s">
        <v>990</v>
      </c>
      <c r="F812" s="672">
        <v>0</v>
      </c>
      <c r="G812" s="672">
        <v>0</v>
      </c>
      <c r="H812" s="672">
        <v>0</v>
      </c>
      <c r="I812" s="672">
        <v>0</v>
      </c>
      <c r="J812" s="672">
        <v>0</v>
      </c>
      <c r="K812" s="672">
        <v>0</v>
      </c>
      <c r="L812" s="672">
        <v>0</v>
      </c>
    </row>
    <row r="813" spans="2:12">
      <c r="B813" s="180" t="s">
        <v>1843</v>
      </c>
      <c r="C813" s="180" t="s">
        <v>1844</v>
      </c>
      <c r="D813" s="180" t="s">
        <v>974</v>
      </c>
      <c r="E813" s="180" t="s">
        <v>980</v>
      </c>
      <c r="F813" s="672">
        <v>15156.61</v>
      </c>
      <c r="G813" s="672">
        <v>-16529.43</v>
      </c>
      <c r="H813" s="672">
        <v>15573.24</v>
      </c>
      <c r="I813" s="672">
        <v>-15883.76</v>
      </c>
      <c r="J813" s="672">
        <v>15902.84</v>
      </c>
      <c r="K813" s="672">
        <v>-17347.580000000002</v>
      </c>
      <c r="L813" s="672">
        <v>33441.300000000003</v>
      </c>
    </row>
    <row r="814" spans="2:12">
      <c r="B814" s="180" t="s">
        <v>976</v>
      </c>
      <c r="C814" s="180" t="s">
        <v>977</v>
      </c>
      <c r="D814" s="180" t="s">
        <v>974</v>
      </c>
      <c r="E814" s="180" t="s">
        <v>983</v>
      </c>
      <c r="F814" s="672">
        <v>5308.7</v>
      </c>
      <c r="G814" s="672">
        <v>3287.66</v>
      </c>
      <c r="H814" s="672">
        <v>2021.04</v>
      </c>
      <c r="I814" s="672">
        <v>0</v>
      </c>
      <c r="J814" s="672">
        <v>0</v>
      </c>
      <c r="K814" s="672">
        <v>0</v>
      </c>
      <c r="L814" s="672">
        <v>0</v>
      </c>
    </row>
    <row r="815" spans="2:12">
      <c r="B815" s="180" t="s">
        <v>1373</v>
      </c>
      <c r="C815" s="180" t="s">
        <v>1374</v>
      </c>
      <c r="D815" s="180" t="s">
        <v>974</v>
      </c>
      <c r="E815" s="180" t="s">
        <v>983</v>
      </c>
      <c r="F815" s="672">
        <v>-10.1</v>
      </c>
      <c r="G815" s="672">
        <v>0</v>
      </c>
      <c r="H815" s="672">
        <v>0</v>
      </c>
      <c r="I815" s="672">
        <v>0</v>
      </c>
      <c r="J815" s="672">
        <v>0</v>
      </c>
      <c r="K815" s="672">
        <v>-112.12</v>
      </c>
      <c r="L815" s="672">
        <v>102.02</v>
      </c>
    </row>
    <row r="816" spans="2:12">
      <c r="B816" s="180" t="s">
        <v>1845</v>
      </c>
      <c r="C816" s="180" t="s">
        <v>1846</v>
      </c>
      <c r="D816" s="180" t="s">
        <v>974</v>
      </c>
      <c r="E816" s="180" t="s">
        <v>980</v>
      </c>
      <c r="F816" s="672">
        <v>-115540.39</v>
      </c>
      <c r="G816" s="672">
        <v>132.12</v>
      </c>
      <c r="H816" s="672">
        <v>3207.83</v>
      </c>
      <c r="I816" s="672">
        <v>-8045.4</v>
      </c>
      <c r="J816" s="672">
        <v>16098.61</v>
      </c>
      <c r="K816" s="672">
        <v>-59808.480000000003</v>
      </c>
      <c r="L816" s="672">
        <v>-67125.070000000007</v>
      </c>
    </row>
    <row r="817" spans="2:12">
      <c r="B817" s="180" t="s">
        <v>1847</v>
      </c>
      <c r="C817" s="180" t="s">
        <v>1848</v>
      </c>
      <c r="D817" s="180" t="s">
        <v>974</v>
      </c>
      <c r="E817" s="180" t="s">
        <v>990</v>
      </c>
      <c r="F817" s="672">
        <v>0</v>
      </c>
      <c r="G817" s="672">
        <v>0</v>
      </c>
      <c r="H817" s="672">
        <v>0</v>
      </c>
      <c r="I817" s="672">
        <v>0</v>
      </c>
      <c r="J817" s="672">
        <v>0</v>
      </c>
      <c r="K817" s="672">
        <v>0</v>
      </c>
      <c r="L817" s="672">
        <v>0</v>
      </c>
    </row>
    <row r="818" spans="2:12">
      <c r="B818" s="180" t="s">
        <v>1849</v>
      </c>
      <c r="C818" s="180" t="s">
        <v>1850</v>
      </c>
      <c r="D818" s="180" t="s">
        <v>974</v>
      </c>
      <c r="E818" s="180" t="s">
        <v>975</v>
      </c>
      <c r="F818" s="672">
        <v>14684.56</v>
      </c>
      <c r="G818" s="672">
        <v>0</v>
      </c>
      <c r="H818" s="672">
        <v>0</v>
      </c>
      <c r="I818" s="672">
        <v>0</v>
      </c>
      <c r="J818" s="672">
        <v>0</v>
      </c>
      <c r="K818" s="672">
        <v>0</v>
      </c>
      <c r="L818" s="672">
        <v>14684.56</v>
      </c>
    </row>
    <row r="819" spans="2:12">
      <c r="B819" s="180" t="s">
        <v>1851</v>
      </c>
      <c r="C819" s="180" t="s">
        <v>1287</v>
      </c>
      <c r="D819" s="180" t="s">
        <v>974</v>
      </c>
      <c r="E819" s="180" t="s">
        <v>980</v>
      </c>
      <c r="F819" s="672">
        <v>288563.21000000002</v>
      </c>
      <c r="G819" s="672">
        <v>-1776.4</v>
      </c>
      <c r="H819" s="672">
        <v>23543.33</v>
      </c>
      <c r="I819" s="672">
        <v>-1273.9100000000001</v>
      </c>
      <c r="J819" s="672">
        <v>6376.75</v>
      </c>
      <c r="K819" s="672">
        <v>120874.48</v>
      </c>
      <c r="L819" s="672">
        <v>140818.96</v>
      </c>
    </row>
    <row r="820" spans="2:12">
      <c r="B820" s="180" t="s">
        <v>1852</v>
      </c>
      <c r="C820" s="180" t="s">
        <v>1853</v>
      </c>
      <c r="D820" s="180" t="s">
        <v>974</v>
      </c>
      <c r="E820" s="180" t="s">
        <v>980</v>
      </c>
      <c r="F820" s="672">
        <v>-1796.18</v>
      </c>
      <c r="G820" s="672">
        <v>-133.80000000000001</v>
      </c>
      <c r="H820" s="672">
        <v>-78.430000000000007</v>
      </c>
      <c r="I820" s="672">
        <v>-566.39</v>
      </c>
      <c r="J820" s="672">
        <v>-108.1</v>
      </c>
      <c r="K820" s="672">
        <v>846.54</v>
      </c>
      <c r="L820" s="672">
        <v>-1756</v>
      </c>
    </row>
    <row r="821" spans="2:12">
      <c r="B821" s="180" t="s">
        <v>1555</v>
      </c>
      <c r="C821" s="180" t="s">
        <v>1325</v>
      </c>
      <c r="D821" s="180" t="s">
        <v>993</v>
      </c>
      <c r="E821" s="180" t="s">
        <v>975</v>
      </c>
      <c r="F821" s="672">
        <v>-79419.42</v>
      </c>
      <c r="G821" s="672">
        <v>0</v>
      </c>
      <c r="H821" s="672">
        <v>0</v>
      </c>
      <c r="I821" s="672">
        <v>0</v>
      </c>
      <c r="J821" s="672">
        <v>0</v>
      </c>
      <c r="K821" s="672">
        <v>0</v>
      </c>
      <c r="L821" s="672">
        <v>-79419.42</v>
      </c>
    </row>
    <row r="822" spans="2:12">
      <c r="B822" s="180" t="s">
        <v>1501</v>
      </c>
      <c r="C822" s="180" t="s">
        <v>1502</v>
      </c>
      <c r="D822" s="180" t="s">
        <v>993</v>
      </c>
      <c r="E822" s="180" t="s">
        <v>1111</v>
      </c>
      <c r="F822" s="672">
        <v>50554.7</v>
      </c>
      <c r="G822" s="672">
        <v>0</v>
      </c>
      <c r="H822" s="672">
        <v>0</v>
      </c>
      <c r="I822" s="672">
        <v>0</v>
      </c>
      <c r="J822" s="672">
        <v>0</v>
      </c>
      <c r="K822" s="672">
        <v>50554.7</v>
      </c>
      <c r="L822" s="672">
        <v>0</v>
      </c>
    </row>
    <row r="823" spans="2:12">
      <c r="B823" s="180" t="s">
        <v>1568</v>
      </c>
      <c r="C823" s="180" t="s">
        <v>1569</v>
      </c>
      <c r="D823" s="180" t="s">
        <v>974</v>
      </c>
      <c r="E823" s="180" t="s">
        <v>990</v>
      </c>
      <c r="F823" s="672">
        <v>0</v>
      </c>
      <c r="G823" s="672">
        <v>0</v>
      </c>
      <c r="H823" s="672">
        <v>0</v>
      </c>
      <c r="I823" s="672">
        <v>0</v>
      </c>
      <c r="J823" s="672">
        <v>0</v>
      </c>
      <c r="K823" s="672">
        <v>0</v>
      </c>
      <c r="L823" s="672">
        <v>0</v>
      </c>
    </row>
    <row r="824" spans="2:12">
      <c r="B824" s="180" t="s">
        <v>1722</v>
      </c>
      <c r="C824" s="180" t="s">
        <v>1723</v>
      </c>
      <c r="D824" s="180" t="s">
        <v>974</v>
      </c>
      <c r="E824" s="180" t="s">
        <v>980</v>
      </c>
      <c r="F824" s="672">
        <v>2542531.39</v>
      </c>
      <c r="G824" s="672">
        <v>60318.13</v>
      </c>
      <c r="H824" s="672">
        <v>60156.2</v>
      </c>
      <c r="I824" s="672">
        <v>60104.88</v>
      </c>
      <c r="J824" s="672">
        <v>60179.21</v>
      </c>
      <c r="K824" s="672">
        <v>470268.12</v>
      </c>
      <c r="L824" s="672">
        <v>1831504.85</v>
      </c>
    </row>
    <row r="825" spans="2:12">
      <c r="B825" s="180" t="s">
        <v>1854</v>
      </c>
      <c r="C825" s="180" t="s">
        <v>1855</v>
      </c>
      <c r="D825" s="180" t="s">
        <v>974</v>
      </c>
      <c r="E825" s="180" t="s">
        <v>975</v>
      </c>
      <c r="F825" s="672">
        <v>-136.44999999999999</v>
      </c>
      <c r="G825" s="672">
        <v>0</v>
      </c>
      <c r="H825" s="672">
        <v>0</v>
      </c>
      <c r="I825" s="672">
        <v>0</v>
      </c>
      <c r="J825" s="672">
        <v>0</v>
      </c>
      <c r="K825" s="672">
        <v>0</v>
      </c>
      <c r="L825" s="672">
        <v>-136.44999999999999</v>
      </c>
    </row>
    <row r="826" spans="2:12">
      <c r="B826" s="180" t="s">
        <v>1749</v>
      </c>
      <c r="C826" s="180" t="s">
        <v>1750</v>
      </c>
      <c r="D826" s="180" t="s">
        <v>974</v>
      </c>
      <c r="E826" s="180" t="s">
        <v>980</v>
      </c>
      <c r="F826" s="672">
        <v>2952961.19</v>
      </c>
      <c r="G826" s="672">
        <v>78954.95</v>
      </c>
      <c r="H826" s="672">
        <v>83349.66</v>
      </c>
      <c r="I826" s="672">
        <v>79640.679999999993</v>
      </c>
      <c r="J826" s="672">
        <v>68033.919999999998</v>
      </c>
      <c r="K826" s="672">
        <v>842131.08</v>
      </c>
      <c r="L826" s="672">
        <v>1800850.9</v>
      </c>
    </row>
    <row r="827" spans="2:12">
      <c r="B827" s="180" t="s">
        <v>1799</v>
      </c>
      <c r="C827" s="180" t="s">
        <v>1800</v>
      </c>
      <c r="D827" s="180" t="s">
        <v>974</v>
      </c>
      <c r="E827" s="180" t="s">
        <v>975</v>
      </c>
      <c r="F827" s="672">
        <v>2356.73</v>
      </c>
      <c r="G827" s="672">
        <v>0</v>
      </c>
      <c r="H827" s="672">
        <v>0</v>
      </c>
      <c r="I827" s="672">
        <v>0</v>
      </c>
      <c r="J827" s="672">
        <v>934.38</v>
      </c>
      <c r="K827" s="672">
        <v>1422.35</v>
      </c>
      <c r="L827" s="672">
        <v>0</v>
      </c>
    </row>
    <row r="828" spans="2:12">
      <c r="B828" s="180" t="s">
        <v>1856</v>
      </c>
      <c r="C828" s="180" t="s">
        <v>1857</v>
      </c>
      <c r="D828" s="180" t="s">
        <v>974</v>
      </c>
      <c r="E828" s="180" t="s">
        <v>990</v>
      </c>
      <c r="F828" s="672">
        <v>0</v>
      </c>
      <c r="G828" s="672">
        <v>0</v>
      </c>
      <c r="H828" s="672">
        <v>0</v>
      </c>
      <c r="I828" s="672">
        <v>0</v>
      </c>
      <c r="J828" s="672">
        <v>0</v>
      </c>
      <c r="K828" s="672">
        <v>0</v>
      </c>
      <c r="L828" s="672">
        <v>0</v>
      </c>
    </row>
    <row r="829" spans="2:12">
      <c r="B829" s="180" t="s">
        <v>1792</v>
      </c>
      <c r="C829" s="180" t="s">
        <v>989</v>
      </c>
      <c r="D829" s="180" t="s">
        <v>974</v>
      </c>
      <c r="E829" s="180" t="s">
        <v>980</v>
      </c>
      <c r="F829" s="672">
        <v>-3655.57</v>
      </c>
      <c r="G829" s="672">
        <v>-1963.66</v>
      </c>
      <c r="H829" s="672">
        <v>859.38</v>
      </c>
      <c r="I829" s="672">
        <v>-1628.71</v>
      </c>
      <c r="J829" s="672">
        <v>-922.58</v>
      </c>
      <c r="K829" s="672">
        <v>7259.51</v>
      </c>
      <c r="L829" s="672">
        <v>-7259.51</v>
      </c>
    </row>
    <row r="830" spans="2:12">
      <c r="B830" s="180" t="s">
        <v>1019</v>
      </c>
      <c r="C830" s="180" t="s">
        <v>999</v>
      </c>
      <c r="D830" s="180" t="s">
        <v>974</v>
      </c>
      <c r="E830" s="180" t="s">
        <v>980</v>
      </c>
      <c r="F830" s="672">
        <v>-10032667.279999999</v>
      </c>
      <c r="G830" s="672">
        <v>0</v>
      </c>
      <c r="H830" s="672">
        <v>0</v>
      </c>
      <c r="I830" s="672">
        <v>0</v>
      </c>
      <c r="J830" s="672">
        <v>0</v>
      </c>
      <c r="K830" s="672">
        <v>0</v>
      </c>
      <c r="L830" s="672">
        <v>-10032667.279999999</v>
      </c>
    </row>
    <row r="831" spans="2:12">
      <c r="B831" s="180" t="s">
        <v>1645</v>
      </c>
      <c r="C831" s="180" t="s">
        <v>1062</v>
      </c>
      <c r="D831" s="180" t="s">
        <v>993</v>
      </c>
      <c r="E831" s="180" t="s">
        <v>990</v>
      </c>
      <c r="F831" s="672">
        <v>0</v>
      </c>
      <c r="G831" s="672">
        <v>0</v>
      </c>
      <c r="H831" s="672">
        <v>0</v>
      </c>
      <c r="I831" s="672">
        <v>0</v>
      </c>
      <c r="J831" s="672">
        <v>0</v>
      </c>
      <c r="K831" s="672">
        <v>0</v>
      </c>
      <c r="L831" s="672">
        <v>0</v>
      </c>
    </row>
    <row r="832" spans="2:12">
      <c r="B832" s="180" t="s">
        <v>1806</v>
      </c>
      <c r="C832" s="180" t="s">
        <v>1735</v>
      </c>
      <c r="D832" s="180" t="s">
        <v>993</v>
      </c>
      <c r="E832" s="180" t="s">
        <v>980</v>
      </c>
      <c r="F832" s="672">
        <v>1311233.8600000001</v>
      </c>
      <c r="G832" s="672">
        <v>28639.77</v>
      </c>
      <c r="H832" s="672">
        <v>32180.62</v>
      </c>
      <c r="I832" s="672">
        <v>155621.46</v>
      </c>
      <c r="J832" s="672">
        <v>26878.86</v>
      </c>
      <c r="K832" s="672">
        <v>191513.92</v>
      </c>
      <c r="L832" s="672">
        <v>876399.23</v>
      </c>
    </row>
    <row r="833" spans="2:12">
      <c r="B833" s="180" t="s">
        <v>1858</v>
      </c>
      <c r="C833" s="180" t="s">
        <v>1009</v>
      </c>
      <c r="D833" s="180" t="s">
        <v>974</v>
      </c>
      <c r="E833" s="180" t="s">
        <v>975</v>
      </c>
      <c r="F833" s="672">
        <v>127987.48</v>
      </c>
      <c r="G833" s="672">
        <v>0</v>
      </c>
      <c r="H833" s="672">
        <v>0</v>
      </c>
      <c r="I833" s="672">
        <v>0</v>
      </c>
      <c r="J833" s="672">
        <v>0</v>
      </c>
      <c r="K833" s="672">
        <v>83236.5</v>
      </c>
      <c r="L833" s="672">
        <v>44750.98</v>
      </c>
    </row>
    <row r="834" spans="2:12">
      <c r="B834" s="180" t="s">
        <v>1205</v>
      </c>
      <c r="C834" s="180" t="s">
        <v>1206</v>
      </c>
      <c r="D834" s="180" t="s">
        <v>974</v>
      </c>
      <c r="E834" s="180" t="s">
        <v>990</v>
      </c>
      <c r="F834" s="672">
        <v>0</v>
      </c>
      <c r="G834" s="672">
        <v>0</v>
      </c>
      <c r="H834" s="672">
        <v>0</v>
      </c>
      <c r="I834" s="672">
        <v>0</v>
      </c>
      <c r="J834" s="672">
        <v>0</v>
      </c>
      <c r="K834" s="672">
        <v>0</v>
      </c>
      <c r="L834" s="672">
        <v>0</v>
      </c>
    </row>
    <row r="835" spans="2:12">
      <c r="B835" s="180" t="s">
        <v>1859</v>
      </c>
      <c r="C835" s="180" t="s">
        <v>1208</v>
      </c>
      <c r="D835" s="180" t="s">
        <v>993</v>
      </c>
      <c r="E835" s="180" t="s">
        <v>980</v>
      </c>
      <c r="F835" s="672">
        <v>13240064.970000001</v>
      </c>
      <c r="G835" s="672">
        <v>324483.03000000003</v>
      </c>
      <c r="H835" s="672">
        <v>344976.02</v>
      </c>
      <c r="I835" s="672">
        <v>386709.81</v>
      </c>
      <c r="J835" s="672">
        <v>417426.6</v>
      </c>
      <c r="K835" s="672">
        <v>3608850.92</v>
      </c>
      <c r="L835" s="672">
        <v>8157618.5899999999</v>
      </c>
    </row>
    <row r="836" spans="2:12">
      <c r="B836" s="180" t="s">
        <v>1745</v>
      </c>
      <c r="C836" s="180" t="s">
        <v>1746</v>
      </c>
      <c r="D836" s="180" t="s">
        <v>974</v>
      </c>
      <c r="E836" s="180" t="s">
        <v>990</v>
      </c>
      <c r="F836" s="672">
        <v>0</v>
      </c>
      <c r="G836" s="672">
        <v>0</v>
      </c>
      <c r="H836" s="672">
        <v>0</v>
      </c>
      <c r="I836" s="672">
        <v>0</v>
      </c>
      <c r="J836" s="672">
        <v>0</v>
      </c>
      <c r="K836" s="672">
        <v>0</v>
      </c>
      <c r="L836" s="672">
        <v>0</v>
      </c>
    </row>
    <row r="837" spans="2:12">
      <c r="B837" s="180" t="s">
        <v>1679</v>
      </c>
      <c r="C837" s="180" t="s">
        <v>1680</v>
      </c>
      <c r="D837" s="180" t="s">
        <v>974</v>
      </c>
      <c r="E837" s="180" t="s">
        <v>1078</v>
      </c>
      <c r="F837" s="672">
        <v>1900</v>
      </c>
      <c r="G837" s="672">
        <v>0</v>
      </c>
      <c r="H837" s="672">
        <v>0</v>
      </c>
      <c r="I837" s="672">
        <v>0</v>
      </c>
      <c r="J837" s="672">
        <v>0</v>
      </c>
      <c r="K837" s="672">
        <v>0</v>
      </c>
      <c r="L837" s="672">
        <v>1900</v>
      </c>
    </row>
    <row r="838" spans="2:12">
      <c r="B838" s="180" t="s">
        <v>1662</v>
      </c>
      <c r="C838" s="180" t="s">
        <v>1072</v>
      </c>
      <c r="D838" s="180" t="s">
        <v>993</v>
      </c>
      <c r="E838" s="180" t="s">
        <v>980</v>
      </c>
      <c r="F838" s="672">
        <v>2394.79</v>
      </c>
      <c r="G838" s="672">
        <v>444.7</v>
      </c>
      <c r="H838" s="672">
        <v>75.099999999999994</v>
      </c>
      <c r="I838" s="672">
        <v>72.2</v>
      </c>
      <c r="J838" s="672">
        <v>56.57</v>
      </c>
      <c r="K838" s="672">
        <v>526.51</v>
      </c>
      <c r="L838" s="672">
        <v>1219.71</v>
      </c>
    </row>
    <row r="839" spans="2:12">
      <c r="B839" s="180" t="s">
        <v>1860</v>
      </c>
      <c r="C839" s="180" t="s">
        <v>1861</v>
      </c>
      <c r="D839" s="180" t="s">
        <v>974</v>
      </c>
      <c r="E839" s="180" t="s">
        <v>990</v>
      </c>
      <c r="F839" s="672">
        <v>0</v>
      </c>
      <c r="G839" s="672">
        <v>0</v>
      </c>
      <c r="H839" s="672">
        <v>0</v>
      </c>
      <c r="I839" s="672">
        <v>0</v>
      </c>
      <c r="J839" s="672">
        <v>0</v>
      </c>
      <c r="K839" s="672">
        <v>0</v>
      </c>
      <c r="L839" s="672">
        <v>0</v>
      </c>
    </row>
    <row r="840" spans="2:12">
      <c r="B840" s="180" t="s">
        <v>1128</v>
      </c>
      <c r="C840" s="180" t="s">
        <v>1129</v>
      </c>
      <c r="D840" s="180" t="s">
        <v>974</v>
      </c>
      <c r="E840" s="180" t="s">
        <v>975</v>
      </c>
      <c r="F840" s="672">
        <v>18281.45</v>
      </c>
      <c r="G840" s="672">
        <v>0</v>
      </c>
      <c r="H840" s="672">
        <v>0</v>
      </c>
      <c r="I840" s="672">
        <v>0</v>
      </c>
      <c r="J840" s="672">
        <v>0</v>
      </c>
      <c r="K840" s="672">
        <v>18281.45</v>
      </c>
      <c r="L840" s="672">
        <v>0</v>
      </c>
    </row>
    <row r="841" spans="2:12">
      <c r="B841" s="180" t="s">
        <v>1653</v>
      </c>
      <c r="C841" s="180" t="s">
        <v>1246</v>
      </c>
      <c r="D841" s="180" t="s">
        <v>974</v>
      </c>
      <c r="E841" s="180" t="s">
        <v>990</v>
      </c>
      <c r="F841" s="672">
        <v>0</v>
      </c>
      <c r="G841" s="672">
        <v>0</v>
      </c>
      <c r="H841" s="672">
        <v>0</v>
      </c>
      <c r="I841" s="672">
        <v>0</v>
      </c>
      <c r="J841" s="672">
        <v>0</v>
      </c>
      <c r="K841" s="672">
        <v>0</v>
      </c>
      <c r="L841" s="672">
        <v>0</v>
      </c>
    </row>
    <row r="842" spans="2:12">
      <c r="B842" s="180" t="s">
        <v>1862</v>
      </c>
      <c r="C842" s="180" t="s">
        <v>1102</v>
      </c>
      <c r="D842" s="180" t="s">
        <v>993</v>
      </c>
      <c r="E842" s="180" t="s">
        <v>975</v>
      </c>
      <c r="F842" s="672">
        <v>-286.02999999999997</v>
      </c>
      <c r="G842" s="672">
        <v>0</v>
      </c>
      <c r="H842" s="672">
        <v>0</v>
      </c>
      <c r="I842" s="672">
        <v>0</v>
      </c>
      <c r="J842" s="672">
        <v>0</v>
      </c>
      <c r="K842" s="672">
        <v>-286.02999999999997</v>
      </c>
      <c r="L842" s="672">
        <v>0</v>
      </c>
    </row>
    <row r="843" spans="2:12">
      <c r="B843" s="180" t="s">
        <v>1622</v>
      </c>
      <c r="C843" s="180" t="s">
        <v>1302</v>
      </c>
      <c r="D843" s="180" t="s">
        <v>993</v>
      </c>
      <c r="E843" s="180" t="s">
        <v>990</v>
      </c>
      <c r="F843" s="672">
        <v>431.02</v>
      </c>
      <c r="G843" s="672">
        <v>0</v>
      </c>
      <c r="H843" s="672">
        <v>0</v>
      </c>
      <c r="I843" s="672">
        <v>0</v>
      </c>
      <c r="J843" s="672">
        <v>454.04</v>
      </c>
      <c r="K843" s="672">
        <v>0</v>
      </c>
      <c r="L843" s="672">
        <v>-23.02</v>
      </c>
    </row>
    <row r="844" spans="2:12">
      <c r="B844" s="180" t="s">
        <v>1622</v>
      </c>
      <c r="C844" s="180" t="s">
        <v>1302</v>
      </c>
      <c r="D844" s="180" t="s">
        <v>993</v>
      </c>
      <c r="E844" s="180" t="s">
        <v>1075</v>
      </c>
      <c r="F844" s="672">
        <v>0</v>
      </c>
      <c r="G844" s="672">
        <v>0</v>
      </c>
      <c r="H844" s="672">
        <v>0</v>
      </c>
      <c r="I844" s="672">
        <v>0</v>
      </c>
      <c r="J844" s="672">
        <v>0</v>
      </c>
      <c r="K844" s="672">
        <v>0</v>
      </c>
      <c r="L844" s="672">
        <v>0</v>
      </c>
    </row>
    <row r="845" spans="2:12">
      <c r="B845" s="180" t="s">
        <v>1765</v>
      </c>
      <c r="C845" s="180" t="s">
        <v>1115</v>
      </c>
      <c r="D845" s="180" t="s">
        <v>974</v>
      </c>
      <c r="E845" s="180" t="s">
        <v>980</v>
      </c>
      <c r="F845" s="672">
        <v>-9850.83</v>
      </c>
      <c r="G845" s="672">
        <v>13340.19</v>
      </c>
      <c r="H845" s="672">
        <v>15508.58</v>
      </c>
      <c r="I845" s="672">
        <v>7638.12</v>
      </c>
      <c r="J845" s="672">
        <v>2303.48</v>
      </c>
      <c r="K845" s="672">
        <v>34076.9</v>
      </c>
      <c r="L845" s="672">
        <v>-82718.100000000006</v>
      </c>
    </row>
    <row r="846" spans="2:12">
      <c r="B846" s="180" t="s">
        <v>1593</v>
      </c>
      <c r="C846" s="180" t="s">
        <v>1302</v>
      </c>
      <c r="D846" s="180" t="s">
        <v>993</v>
      </c>
      <c r="E846" s="180" t="s">
        <v>980</v>
      </c>
      <c r="F846" s="672">
        <v>878654.05</v>
      </c>
      <c r="G846" s="672">
        <v>18938.04</v>
      </c>
      <c r="H846" s="672">
        <v>18217.16</v>
      </c>
      <c r="I846" s="672">
        <v>21406</v>
      </c>
      <c r="J846" s="672">
        <v>39455.39</v>
      </c>
      <c r="K846" s="672">
        <v>156192.65</v>
      </c>
      <c r="L846" s="672">
        <v>624444.81000000006</v>
      </c>
    </row>
    <row r="847" spans="2:12">
      <c r="B847" s="180" t="s">
        <v>1158</v>
      </c>
      <c r="C847" s="180" t="s">
        <v>1159</v>
      </c>
      <c r="D847" s="180" t="s">
        <v>993</v>
      </c>
      <c r="E847" s="180" t="s">
        <v>980</v>
      </c>
      <c r="F847" s="672">
        <v>1079524.23</v>
      </c>
      <c r="G847" s="672">
        <v>6309.95</v>
      </c>
      <c r="H847" s="672">
        <v>6754.6</v>
      </c>
      <c r="I847" s="672">
        <v>18166.599999999999</v>
      </c>
      <c r="J847" s="672">
        <v>21807.54</v>
      </c>
      <c r="K847" s="672">
        <v>229450.52</v>
      </c>
      <c r="L847" s="672">
        <v>797035.02</v>
      </c>
    </row>
    <row r="848" spans="2:12">
      <c r="B848" s="180" t="s">
        <v>1722</v>
      </c>
      <c r="C848" s="180" t="s">
        <v>1723</v>
      </c>
      <c r="D848" s="180" t="s">
        <v>974</v>
      </c>
      <c r="E848" s="180" t="s">
        <v>975</v>
      </c>
      <c r="F848" s="672">
        <v>-264.43</v>
      </c>
      <c r="G848" s="672">
        <v>0</v>
      </c>
      <c r="H848" s="672">
        <v>0</v>
      </c>
      <c r="I848" s="672">
        <v>0</v>
      </c>
      <c r="J848" s="672">
        <v>0</v>
      </c>
      <c r="K848" s="672">
        <v>0</v>
      </c>
      <c r="L848" s="672">
        <v>-264.43</v>
      </c>
    </row>
    <row r="849" spans="2:12">
      <c r="B849" s="180" t="s">
        <v>1249</v>
      </c>
      <c r="C849" s="180" t="s">
        <v>1250</v>
      </c>
      <c r="D849" s="180" t="s">
        <v>974</v>
      </c>
      <c r="E849" s="180" t="s">
        <v>990</v>
      </c>
      <c r="F849" s="672">
        <v>0</v>
      </c>
      <c r="G849" s="672">
        <v>0</v>
      </c>
      <c r="H849" s="672">
        <v>0</v>
      </c>
      <c r="I849" s="672">
        <v>0</v>
      </c>
      <c r="J849" s="672">
        <v>0</v>
      </c>
      <c r="K849" s="672">
        <v>0</v>
      </c>
      <c r="L849" s="672">
        <v>0</v>
      </c>
    </row>
    <row r="850" spans="2:12">
      <c r="B850" s="180" t="s">
        <v>1863</v>
      </c>
      <c r="C850" s="180" t="s">
        <v>1864</v>
      </c>
      <c r="D850" s="180" t="s">
        <v>974</v>
      </c>
      <c r="E850" s="180" t="s">
        <v>980</v>
      </c>
      <c r="F850" s="672">
        <v>12084.45</v>
      </c>
      <c r="G850" s="672">
        <v>6772.55</v>
      </c>
      <c r="H850" s="672">
        <v>-7226.03</v>
      </c>
      <c r="I850" s="672">
        <v>-870.23</v>
      </c>
      <c r="J850" s="672">
        <v>-533.46</v>
      </c>
      <c r="K850" s="672">
        <v>-4125.71</v>
      </c>
      <c r="L850" s="672">
        <v>18067.330000000002</v>
      </c>
    </row>
    <row r="851" spans="2:12">
      <c r="B851" s="180" t="s">
        <v>1430</v>
      </c>
      <c r="C851" s="180" t="s">
        <v>1431</v>
      </c>
      <c r="D851" s="180" t="s">
        <v>974</v>
      </c>
      <c r="E851" s="180" t="s">
        <v>980</v>
      </c>
      <c r="F851" s="672">
        <v>4825.22</v>
      </c>
      <c r="G851" s="672">
        <v>-2603.92</v>
      </c>
      <c r="H851" s="672">
        <v>5179.3999999999996</v>
      </c>
      <c r="I851" s="672">
        <v>1679.3</v>
      </c>
      <c r="J851" s="672">
        <v>570.44000000000005</v>
      </c>
      <c r="K851" s="672">
        <v>7612.11</v>
      </c>
      <c r="L851" s="672">
        <v>-7612.11</v>
      </c>
    </row>
    <row r="852" spans="2:12">
      <c r="B852" s="180" t="s">
        <v>1301</v>
      </c>
      <c r="C852" s="180" t="s">
        <v>1302</v>
      </c>
      <c r="D852" s="180" t="s">
        <v>993</v>
      </c>
      <c r="E852" s="180" t="s">
        <v>975</v>
      </c>
      <c r="F852" s="672">
        <v>-6800.58</v>
      </c>
      <c r="G852" s="672">
        <v>0</v>
      </c>
      <c r="H852" s="672">
        <v>0</v>
      </c>
      <c r="I852" s="672">
        <v>0</v>
      </c>
      <c r="J852" s="672">
        <v>0</v>
      </c>
      <c r="K852" s="672">
        <v>0</v>
      </c>
      <c r="L852" s="672">
        <v>-6800.58</v>
      </c>
    </row>
    <row r="853" spans="2:12">
      <c r="B853" s="180" t="s">
        <v>1154</v>
      </c>
      <c r="C853" s="180" t="s">
        <v>1065</v>
      </c>
      <c r="D853" s="180" t="s">
        <v>993</v>
      </c>
      <c r="E853" s="180" t="s">
        <v>990</v>
      </c>
      <c r="F853" s="672">
        <v>0</v>
      </c>
      <c r="G853" s="672">
        <v>0</v>
      </c>
      <c r="H853" s="672">
        <v>0</v>
      </c>
      <c r="I853" s="672">
        <v>0</v>
      </c>
      <c r="J853" s="672">
        <v>0</v>
      </c>
      <c r="K853" s="672">
        <v>0</v>
      </c>
      <c r="L853" s="672">
        <v>0</v>
      </c>
    </row>
    <row r="854" spans="2:12">
      <c r="B854" s="180" t="s">
        <v>1849</v>
      </c>
      <c r="C854" s="180" t="s">
        <v>1850</v>
      </c>
      <c r="D854" s="180" t="s">
        <v>974</v>
      </c>
      <c r="E854" s="180" t="s">
        <v>980</v>
      </c>
      <c r="F854" s="672">
        <v>19019.349999999999</v>
      </c>
      <c r="G854" s="672">
        <v>624.95000000000005</v>
      </c>
      <c r="H854" s="672">
        <v>635.54999999999995</v>
      </c>
      <c r="I854" s="672">
        <v>926.82</v>
      </c>
      <c r="J854" s="672">
        <v>823.65</v>
      </c>
      <c r="K854" s="672">
        <v>6268.78</v>
      </c>
      <c r="L854" s="672">
        <v>9739.6</v>
      </c>
    </row>
    <row r="855" spans="2:12">
      <c r="B855" s="180" t="s">
        <v>1865</v>
      </c>
      <c r="C855" s="180" t="s">
        <v>1287</v>
      </c>
      <c r="D855" s="180" t="s">
        <v>974</v>
      </c>
      <c r="E855" s="180" t="s">
        <v>975</v>
      </c>
      <c r="F855" s="672">
        <v>-22781.25</v>
      </c>
      <c r="G855" s="672">
        <v>2290.1799999999998</v>
      </c>
      <c r="H855" s="672">
        <v>2290.1799999999998</v>
      </c>
      <c r="I855" s="672">
        <v>0</v>
      </c>
      <c r="J855" s="672">
        <v>0</v>
      </c>
      <c r="K855" s="672">
        <v>-34650.51</v>
      </c>
      <c r="L855" s="672">
        <v>7288.9</v>
      </c>
    </row>
    <row r="856" spans="2:12">
      <c r="B856" s="180" t="s">
        <v>1866</v>
      </c>
      <c r="C856" s="180" t="s">
        <v>1867</v>
      </c>
      <c r="D856" s="180" t="s">
        <v>974</v>
      </c>
      <c r="E856" s="180" t="s">
        <v>990</v>
      </c>
      <c r="F856" s="672">
        <v>0</v>
      </c>
      <c r="G856" s="672">
        <v>0</v>
      </c>
      <c r="H856" s="672">
        <v>0</v>
      </c>
      <c r="I856" s="672">
        <v>0</v>
      </c>
      <c r="J856" s="672">
        <v>0</v>
      </c>
      <c r="K856" s="672">
        <v>0</v>
      </c>
      <c r="L856" s="672">
        <v>0</v>
      </c>
    </row>
    <row r="857" spans="2:12">
      <c r="B857" s="180" t="s">
        <v>1868</v>
      </c>
      <c r="C857" s="180" t="s">
        <v>1869</v>
      </c>
      <c r="D857" s="180" t="s">
        <v>974</v>
      </c>
      <c r="E857" s="180" t="s">
        <v>1075</v>
      </c>
      <c r="F857" s="672">
        <v>0</v>
      </c>
      <c r="G857" s="672">
        <v>0</v>
      </c>
      <c r="H857" s="672">
        <v>0</v>
      </c>
      <c r="I857" s="672">
        <v>0</v>
      </c>
      <c r="J857" s="672">
        <v>0</v>
      </c>
      <c r="K857" s="672">
        <v>0</v>
      </c>
      <c r="L857" s="672">
        <v>0</v>
      </c>
    </row>
    <row r="858" spans="2:12">
      <c r="B858" s="180" t="s">
        <v>1194</v>
      </c>
      <c r="C858" s="180" t="s">
        <v>1195</v>
      </c>
      <c r="D858" s="180" t="s">
        <v>974</v>
      </c>
      <c r="E858" s="180" t="s">
        <v>990</v>
      </c>
      <c r="F858" s="672">
        <v>0</v>
      </c>
      <c r="G858" s="672">
        <v>0</v>
      </c>
      <c r="H858" s="672">
        <v>0</v>
      </c>
      <c r="I858" s="672">
        <v>0</v>
      </c>
      <c r="J858" s="672">
        <v>0</v>
      </c>
      <c r="K858" s="672">
        <v>0</v>
      </c>
      <c r="L858" s="672">
        <v>0</v>
      </c>
    </row>
    <row r="859" spans="2:12">
      <c r="B859" s="180" t="s">
        <v>1340</v>
      </c>
      <c r="C859" s="180" t="s">
        <v>1341</v>
      </c>
      <c r="D859" s="180" t="s">
        <v>974</v>
      </c>
      <c r="E859" s="180" t="s">
        <v>990</v>
      </c>
      <c r="F859" s="672">
        <v>0</v>
      </c>
      <c r="G859" s="672">
        <v>0</v>
      </c>
      <c r="H859" s="672">
        <v>0</v>
      </c>
      <c r="I859" s="672">
        <v>0</v>
      </c>
      <c r="J859" s="672">
        <v>0</v>
      </c>
      <c r="K859" s="672">
        <v>0</v>
      </c>
      <c r="L859" s="672">
        <v>0</v>
      </c>
    </row>
    <row r="860" spans="2:12">
      <c r="B860" s="180" t="s">
        <v>1870</v>
      </c>
      <c r="C860" s="180" t="s">
        <v>1871</v>
      </c>
      <c r="D860" s="180" t="s">
        <v>974</v>
      </c>
      <c r="E860" s="180" t="s">
        <v>990</v>
      </c>
      <c r="F860" s="672">
        <v>99.68</v>
      </c>
      <c r="G860" s="672">
        <v>0</v>
      </c>
      <c r="H860" s="672">
        <v>0</v>
      </c>
      <c r="I860" s="672">
        <v>0</v>
      </c>
      <c r="J860" s="672">
        <v>0</v>
      </c>
      <c r="K860" s="672">
        <v>0</v>
      </c>
      <c r="L860" s="672">
        <v>99.68</v>
      </c>
    </row>
    <row r="861" spans="2:12">
      <c r="B861" s="180" t="s">
        <v>1685</v>
      </c>
      <c r="C861" s="180" t="s">
        <v>1686</v>
      </c>
      <c r="D861" s="180" t="s">
        <v>974</v>
      </c>
      <c r="E861" s="180" t="s">
        <v>975</v>
      </c>
      <c r="F861" s="672">
        <v>264533.08</v>
      </c>
      <c r="G861" s="672">
        <v>0</v>
      </c>
      <c r="H861" s="672">
        <v>0</v>
      </c>
      <c r="I861" s="672">
        <v>0</v>
      </c>
      <c r="J861" s="672">
        <v>1638.05</v>
      </c>
      <c r="K861" s="672">
        <v>80724.36</v>
      </c>
      <c r="L861" s="672">
        <v>182170.67</v>
      </c>
    </row>
    <row r="862" spans="2:12">
      <c r="B862" s="180" t="s">
        <v>1872</v>
      </c>
      <c r="C862" s="180" t="s">
        <v>1302</v>
      </c>
      <c r="D862" s="180" t="s">
        <v>993</v>
      </c>
      <c r="E862" s="180" t="s">
        <v>980</v>
      </c>
      <c r="F862" s="672">
        <v>640434.79</v>
      </c>
      <c r="G862" s="672">
        <v>16323.7</v>
      </c>
      <c r="H862" s="672">
        <v>16703.400000000001</v>
      </c>
      <c r="I862" s="672">
        <v>17790.45</v>
      </c>
      <c r="J862" s="672">
        <v>15674.7</v>
      </c>
      <c r="K862" s="672">
        <v>296947.58</v>
      </c>
      <c r="L862" s="672">
        <v>276994.96000000002</v>
      </c>
    </row>
    <row r="863" spans="2:12">
      <c r="B863" s="180" t="s">
        <v>1445</v>
      </c>
      <c r="C863" s="180" t="s">
        <v>1026</v>
      </c>
      <c r="D863" s="180" t="s">
        <v>993</v>
      </c>
      <c r="E863" s="180" t="s">
        <v>990</v>
      </c>
      <c r="F863" s="672">
        <v>0.27</v>
      </c>
      <c r="G863" s="672">
        <v>0</v>
      </c>
      <c r="H863" s="672">
        <v>0</v>
      </c>
      <c r="I863" s="672">
        <v>0</v>
      </c>
      <c r="J863" s="672">
        <v>0</v>
      </c>
      <c r="K863" s="672">
        <v>0.82</v>
      </c>
      <c r="L863" s="672">
        <v>-0.55000000000000004</v>
      </c>
    </row>
    <row r="864" spans="2:12">
      <c r="B864" s="180" t="s">
        <v>1873</v>
      </c>
      <c r="C864" s="180" t="s">
        <v>1072</v>
      </c>
      <c r="D864" s="180" t="s">
        <v>993</v>
      </c>
      <c r="E864" s="180" t="s">
        <v>990</v>
      </c>
      <c r="F864" s="672">
        <v>0</v>
      </c>
      <c r="G864" s="672">
        <v>0</v>
      </c>
      <c r="H864" s="672">
        <v>0</v>
      </c>
      <c r="I864" s="672">
        <v>0</v>
      </c>
      <c r="J864" s="672">
        <v>0</v>
      </c>
      <c r="K864" s="672">
        <v>0</v>
      </c>
      <c r="L864" s="672">
        <v>0</v>
      </c>
    </row>
    <row r="865" spans="2:12">
      <c r="B865" s="180" t="s">
        <v>1409</v>
      </c>
      <c r="C865" s="180" t="s">
        <v>1410</v>
      </c>
      <c r="D865" s="180" t="s">
        <v>974</v>
      </c>
      <c r="E865" s="180" t="s">
        <v>980</v>
      </c>
      <c r="F865" s="672">
        <v>-54616.49</v>
      </c>
      <c r="G865" s="672">
        <v>3256.21</v>
      </c>
      <c r="H865" s="672">
        <v>-9408.08</v>
      </c>
      <c r="I865" s="672">
        <v>-8790.8700000000008</v>
      </c>
      <c r="J865" s="672">
        <v>-9487.9599999999991</v>
      </c>
      <c r="K865" s="672">
        <v>57489.19</v>
      </c>
      <c r="L865" s="672">
        <v>-87674.98</v>
      </c>
    </row>
    <row r="866" spans="2:12">
      <c r="B866" s="180" t="s">
        <v>1874</v>
      </c>
      <c r="C866" s="180" t="s">
        <v>1875</v>
      </c>
      <c r="D866" s="180" t="s">
        <v>974</v>
      </c>
      <c r="E866" s="180" t="s">
        <v>983</v>
      </c>
      <c r="F866" s="672">
        <v>314.33</v>
      </c>
      <c r="G866" s="672">
        <v>156.01</v>
      </c>
      <c r="H866" s="672">
        <v>-15.9</v>
      </c>
      <c r="I866" s="672">
        <v>2.31</v>
      </c>
      <c r="J866" s="672">
        <v>-2.64</v>
      </c>
      <c r="K866" s="672">
        <v>174.55</v>
      </c>
      <c r="L866" s="672">
        <v>0</v>
      </c>
    </row>
    <row r="867" spans="2:12">
      <c r="B867" s="180" t="s">
        <v>1606</v>
      </c>
      <c r="C867" s="180" t="s">
        <v>1607</v>
      </c>
      <c r="D867" s="180" t="s">
        <v>974</v>
      </c>
      <c r="E867" s="180" t="s">
        <v>980</v>
      </c>
      <c r="F867" s="672">
        <v>12684.72</v>
      </c>
      <c r="G867" s="672">
        <v>2660.42</v>
      </c>
      <c r="H867" s="672">
        <v>10024.299999999999</v>
      </c>
      <c r="I867" s="672">
        <v>0</v>
      </c>
      <c r="J867" s="672">
        <v>0</v>
      </c>
      <c r="K867" s="672">
        <v>0</v>
      </c>
      <c r="L867" s="672">
        <v>0</v>
      </c>
    </row>
    <row r="868" spans="2:12">
      <c r="B868" s="180" t="s">
        <v>1755</v>
      </c>
      <c r="C868" s="180" t="s">
        <v>1756</v>
      </c>
      <c r="D868" s="180" t="s">
        <v>974</v>
      </c>
      <c r="E868" s="180" t="s">
        <v>990</v>
      </c>
      <c r="F868" s="672">
        <v>0</v>
      </c>
      <c r="G868" s="672">
        <v>0</v>
      </c>
      <c r="H868" s="672">
        <v>0</v>
      </c>
      <c r="I868" s="672">
        <v>0</v>
      </c>
      <c r="J868" s="672">
        <v>0</v>
      </c>
      <c r="K868" s="672">
        <v>0</v>
      </c>
      <c r="L868" s="672">
        <v>0</v>
      </c>
    </row>
    <row r="869" spans="2:12">
      <c r="B869" s="180" t="s">
        <v>1710</v>
      </c>
      <c r="C869" s="180" t="s">
        <v>1711</v>
      </c>
      <c r="D869" s="180" t="s">
        <v>974</v>
      </c>
      <c r="E869" s="180" t="s">
        <v>1111</v>
      </c>
      <c r="F869" s="672">
        <v>10212.07</v>
      </c>
      <c r="G869" s="672">
        <v>0</v>
      </c>
      <c r="H869" s="672">
        <v>0</v>
      </c>
      <c r="I869" s="672">
        <v>0</v>
      </c>
      <c r="J869" s="672">
        <v>0</v>
      </c>
      <c r="K869" s="672">
        <v>10212.07</v>
      </c>
      <c r="L869" s="672">
        <v>0</v>
      </c>
    </row>
    <row r="870" spans="2:12">
      <c r="B870" s="180" t="s">
        <v>1095</v>
      </c>
      <c r="C870" s="180" t="s">
        <v>1096</v>
      </c>
      <c r="D870" s="180" t="s">
        <v>974</v>
      </c>
      <c r="E870" s="180" t="s">
        <v>983</v>
      </c>
      <c r="F870" s="672">
        <v>1456.14</v>
      </c>
      <c r="G870" s="672">
        <v>0</v>
      </c>
      <c r="H870" s="672">
        <v>0</v>
      </c>
      <c r="I870" s="672">
        <v>0</v>
      </c>
      <c r="J870" s="672">
        <v>130.94</v>
      </c>
      <c r="K870" s="672">
        <v>549.83000000000004</v>
      </c>
      <c r="L870" s="672">
        <v>775.37</v>
      </c>
    </row>
    <row r="871" spans="2:12">
      <c r="B871" s="180" t="s">
        <v>1292</v>
      </c>
      <c r="C871" s="180" t="s">
        <v>1293</v>
      </c>
      <c r="D871" s="180" t="s">
        <v>974</v>
      </c>
      <c r="E871" s="180" t="s">
        <v>1034</v>
      </c>
      <c r="F871" s="672">
        <v>0</v>
      </c>
      <c r="G871" s="672">
        <v>0</v>
      </c>
      <c r="H871" s="672">
        <v>0</v>
      </c>
      <c r="I871" s="672">
        <v>0</v>
      </c>
      <c r="J871" s="672">
        <v>0</v>
      </c>
      <c r="K871" s="672">
        <v>0</v>
      </c>
      <c r="L871" s="672">
        <v>0</v>
      </c>
    </row>
    <row r="872" spans="2:12">
      <c r="B872" s="180" t="s">
        <v>1160</v>
      </c>
      <c r="C872" s="180" t="s">
        <v>1161</v>
      </c>
      <c r="D872" s="180" t="s">
        <v>974</v>
      </c>
      <c r="E872" s="180" t="s">
        <v>980</v>
      </c>
      <c r="F872" s="672">
        <v>-837.17</v>
      </c>
      <c r="G872" s="672">
        <v>0</v>
      </c>
      <c r="H872" s="672">
        <v>0</v>
      </c>
      <c r="I872" s="672">
        <v>0</v>
      </c>
      <c r="J872" s="672">
        <v>0</v>
      </c>
      <c r="K872" s="672">
        <v>0</v>
      </c>
      <c r="L872" s="672">
        <v>-837.17</v>
      </c>
    </row>
    <row r="873" spans="2:12">
      <c r="B873" s="180" t="s">
        <v>1238</v>
      </c>
      <c r="C873" s="180" t="s">
        <v>1239</v>
      </c>
      <c r="D873" s="180" t="s">
        <v>974</v>
      </c>
      <c r="E873" s="180" t="s">
        <v>975</v>
      </c>
      <c r="F873" s="672">
        <v>-94560.37</v>
      </c>
      <c r="G873" s="672">
        <v>210.5</v>
      </c>
      <c r="H873" s="672">
        <v>0</v>
      </c>
      <c r="I873" s="672">
        <v>-74096.259999999995</v>
      </c>
      <c r="J873" s="672">
        <v>74096.259999999995</v>
      </c>
      <c r="K873" s="672">
        <v>-94770.87</v>
      </c>
      <c r="L873" s="672">
        <v>0</v>
      </c>
    </row>
    <row r="874" spans="2:12">
      <c r="B874" s="180" t="s">
        <v>1364</v>
      </c>
      <c r="C874" s="180" t="s">
        <v>1365</v>
      </c>
      <c r="D874" s="180" t="s">
        <v>993</v>
      </c>
      <c r="E874" s="180" t="s">
        <v>980</v>
      </c>
      <c r="F874" s="672">
        <v>294769.03999999998</v>
      </c>
      <c r="G874" s="672">
        <v>6147.5</v>
      </c>
      <c r="H874" s="672">
        <v>7494.08</v>
      </c>
      <c r="I874" s="672">
        <v>7006.95</v>
      </c>
      <c r="J874" s="672">
        <v>6352.51</v>
      </c>
      <c r="K874" s="672">
        <v>44638.7</v>
      </c>
      <c r="L874" s="672">
        <v>223129.3</v>
      </c>
    </row>
    <row r="875" spans="2:12">
      <c r="B875" s="180" t="s">
        <v>1876</v>
      </c>
      <c r="C875" s="180" t="s">
        <v>1877</v>
      </c>
      <c r="D875" s="180" t="s">
        <v>974</v>
      </c>
      <c r="E875" s="180" t="s">
        <v>980</v>
      </c>
      <c r="F875" s="672">
        <v>-4964.6400000000003</v>
      </c>
      <c r="G875" s="672">
        <v>-388.12</v>
      </c>
      <c r="H875" s="672">
        <v>185.11</v>
      </c>
      <c r="I875" s="672">
        <v>152.91</v>
      </c>
      <c r="J875" s="672">
        <v>-337.07</v>
      </c>
      <c r="K875" s="672">
        <v>-14670.01</v>
      </c>
      <c r="L875" s="672">
        <v>10092.540000000001</v>
      </c>
    </row>
    <row r="876" spans="2:12">
      <c r="B876" s="180" t="s">
        <v>1878</v>
      </c>
      <c r="C876" s="180" t="s">
        <v>1208</v>
      </c>
      <c r="D876" s="180" t="s">
        <v>993</v>
      </c>
      <c r="E876" s="180" t="s">
        <v>975</v>
      </c>
      <c r="F876" s="672">
        <v>-800</v>
      </c>
      <c r="G876" s="672">
        <v>0</v>
      </c>
      <c r="H876" s="672">
        <v>0</v>
      </c>
      <c r="I876" s="672">
        <v>0</v>
      </c>
      <c r="J876" s="672">
        <v>0</v>
      </c>
      <c r="K876" s="672">
        <v>0</v>
      </c>
      <c r="L876" s="672">
        <v>-800</v>
      </c>
    </row>
    <row r="877" spans="2:12">
      <c r="B877" s="180" t="s">
        <v>1076</v>
      </c>
      <c r="C877" s="180" t="s">
        <v>1077</v>
      </c>
      <c r="D877" s="180" t="s">
        <v>974</v>
      </c>
      <c r="E877" s="180" t="s">
        <v>983</v>
      </c>
      <c r="F877" s="672">
        <v>-4510.29</v>
      </c>
      <c r="G877" s="672">
        <v>-365.86</v>
      </c>
      <c r="H877" s="672">
        <v>365.86</v>
      </c>
      <c r="I877" s="672">
        <v>0</v>
      </c>
      <c r="J877" s="672">
        <v>0</v>
      </c>
      <c r="K877" s="672">
        <v>-411.35</v>
      </c>
      <c r="L877" s="672">
        <v>-4098.9399999999996</v>
      </c>
    </row>
    <row r="878" spans="2:12">
      <c r="B878" s="180" t="s">
        <v>1511</v>
      </c>
      <c r="C878" s="180" t="s">
        <v>1399</v>
      </c>
      <c r="D878" s="180" t="s">
        <v>993</v>
      </c>
      <c r="E878" s="180" t="s">
        <v>990</v>
      </c>
      <c r="F878" s="672">
        <v>0</v>
      </c>
      <c r="G878" s="672">
        <v>0</v>
      </c>
      <c r="H878" s="672">
        <v>0</v>
      </c>
      <c r="I878" s="672">
        <v>0</v>
      </c>
      <c r="J878" s="672">
        <v>0</v>
      </c>
      <c r="K878" s="672">
        <v>0</v>
      </c>
      <c r="L878" s="672">
        <v>0</v>
      </c>
    </row>
    <row r="879" spans="2:12">
      <c r="B879" s="180" t="s">
        <v>1033</v>
      </c>
      <c r="C879" s="180" t="s">
        <v>999</v>
      </c>
      <c r="D879" s="180" t="s">
        <v>974</v>
      </c>
      <c r="E879" s="180" t="s">
        <v>1022</v>
      </c>
      <c r="F879" s="672">
        <v>0</v>
      </c>
      <c r="G879" s="672">
        <v>0</v>
      </c>
      <c r="H879" s="672">
        <v>0</v>
      </c>
      <c r="I879" s="672">
        <v>0</v>
      </c>
      <c r="J879" s="672">
        <v>0</v>
      </c>
      <c r="K879" s="672">
        <v>0</v>
      </c>
      <c r="L879" s="672">
        <v>0</v>
      </c>
    </row>
    <row r="880" spans="2:12">
      <c r="B880" s="180" t="s">
        <v>1674</v>
      </c>
      <c r="C880" s="180" t="s">
        <v>1675</v>
      </c>
      <c r="D880" s="180" t="s">
        <v>974</v>
      </c>
      <c r="E880" s="180" t="s">
        <v>980</v>
      </c>
      <c r="F880" s="672">
        <v>18285.88</v>
      </c>
      <c r="G880" s="672">
        <v>-30977.31</v>
      </c>
      <c r="H880" s="672">
        <v>-1472.74</v>
      </c>
      <c r="I880" s="672">
        <v>26705.53</v>
      </c>
      <c r="J880" s="672">
        <v>842.09</v>
      </c>
      <c r="K880" s="672">
        <v>-30721.35</v>
      </c>
      <c r="L880" s="672">
        <v>53909.66</v>
      </c>
    </row>
    <row r="881" spans="2:12">
      <c r="B881" s="180" t="s">
        <v>1879</v>
      </c>
      <c r="C881" s="180" t="s">
        <v>1220</v>
      </c>
      <c r="D881" s="180" t="s">
        <v>974</v>
      </c>
      <c r="E881" s="180" t="s">
        <v>980</v>
      </c>
      <c r="F881" s="672">
        <v>1771820.71</v>
      </c>
      <c r="G881" s="672">
        <v>664726.72</v>
      </c>
      <c r="H881" s="672">
        <v>-497357.29</v>
      </c>
      <c r="I881" s="672">
        <v>-3688.89</v>
      </c>
      <c r="J881" s="672">
        <v>586333.1</v>
      </c>
      <c r="K881" s="672">
        <v>-576493.16</v>
      </c>
      <c r="L881" s="672">
        <v>1598300.23</v>
      </c>
    </row>
    <row r="882" spans="2:12">
      <c r="B882" s="180" t="s">
        <v>1880</v>
      </c>
      <c r="C882" s="180" t="s">
        <v>1011</v>
      </c>
      <c r="D882" s="180" t="s">
        <v>993</v>
      </c>
      <c r="E882" s="180" t="s">
        <v>975</v>
      </c>
      <c r="F882" s="672">
        <v>-636171.88</v>
      </c>
      <c r="G882" s="672">
        <v>0</v>
      </c>
      <c r="H882" s="672">
        <v>0</v>
      </c>
      <c r="I882" s="672">
        <v>0</v>
      </c>
      <c r="J882" s="672">
        <v>0</v>
      </c>
      <c r="K882" s="672">
        <v>-64516.91</v>
      </c>
      <c r="L882" s="672">
        <v>-571654.97</v>
      </c>
    </row>
    <row r="883" spans="2:12">
      <c r="B883" s="180" t="s">
        <v>1020</v>
      </c>
      <c r="C883" s="180" t="s">
        <v>1021</v>
      </c>
      <c r="D883" s="180" t="s">
        <v>993</v>
      </c>
      <c r="E883" s="180" t="s">
        <v>990</v>
      </c>
      <c r="F883" s="672">
        <v>-440.53</v>
      </c>
      <c r="G883" s="672">
        <v>0</v>
      </c>
      <c r="H883" s="672">
        <v>0</v>
      </c>
      <c r="I883" s="672">
        <v>0</v>
      </c>
      <c r="J883" s="672">
        <v>0</v>
      </c>
      <c r="K883" s="672">
        <v>-15.91</v>
      </c>
      <c r="L883" s="672">
        <v>-424.62</v>
      </c>
    </row>
    <row r="884" spans="2:12">
      <c r="B884" s="180" t="s">
        <v>1553</v>
      </c>
      <c r="C884" s="180" t="s">
        <v>1189</v>
      </c>
      <c r="D884" s="180" t="s">
        <v>993</v>
      </c>
      <c r="E884" s="180" t="s">
        <v>980</v>
      </c>
      <c r="F884" s="672">
        <v>2421263.59</v>
      </c>
      <c r="G884" s="672">
        <v>41620.85</v>
      </c>
      <c r="H884" s="672">
        <v>100940.72</v>
      </c>
      <c r="I884" s="672">
        <v>45874.239999999998</v>
      </c>
      <c r="J884" s="672">
        <v>34097.29</v>
      </c>
      <c r="K884" s="672">
        <v>536710.68999999994</v>
      </c>
      <c r="L884" s="672">
        <v>1662019.8</v>
      </c>
    </row>
    <row r="885" spans="2:12">
      <c r="B885" s="180" t="s">
        <v>1829</v>
      </c>
      <c r="C885" s="180" t="s">
        <v>1369</v>
      </c>
      <c r="D885" s="180" t="s">
        <v>993</v>
      </c>
      <c r="E885" s="180" t="s">
        <v>980</v>
      </c>
      <c r="F885" s="672">
        <v>296182.53000000003</v>
      </c>
      <c r="G885" s="672">
        <v>6800.42</v>
      </c>
      <c r="H885" s="672">
        <v>11068.21</v>
      </c>
      <c r="I885" s="672">
        <v>10318.81</v>
      </c>
      <c r="J885" s="672">
        <v>11034.36</v>
      </c>
      <c r="K885" s="672">
        <v>66007.92</v>
      </c>
      <c r="L885" s="672">
        <v>190952.81</v>
      </c>
    </row>
    <row r="886" spans="2:12">
      <c r="B886" s="180" t="s">
        <v>1422</v>
      </c>
      <c r="C886" s="180" t="s">
        <v>1423</v>
      </c>
      <c r="D886" s="180" t="s">
        <v>974</v>
      </c>
      <c r="E886" s="180" t="s">
        <v>990</v>
      </c>
      <c r="F886" s="672">
        <v>0</v>
      </c>
      <c r="G886" s="672">
        <v>0</v>
      </c>
      <c r="H886" s="672">
        <v>0</v>
      </c>
      <c r="I886" s="672">
        <v>0</v>
      </c>
      <c r="J886" s="672">
        <v>0</v>
      </c>
      <c r="K886" s="672">
        <v>0</v>
      </c>
      <c r="L886" s="672">
        <v>0</v>
      </c>
    </row>
    <row r="887" spans="2:12">
      <c r="B887" s="180" t="s">
        <v>1881</v>
      </c>
      <c r="C887" s="180" t="s">
        <v>1094</v>
      </c>
      <c r="D887" s="180" t="s">
        <v>974</v>
      </c>
      <c r="E887" s="180" t="s">
        <v>990</v>
      </c>
      <c r="F887" s="672">
        <v>0</v>
      </c>
      <c r="G887" s="672">
        <v>0</v>
      </c>
      <c r="H887" s="672">
        <v>0</v>
      </c>
      <c r="I887" s="672">
        <v>0</v>
      </c>
      <c r="J887" s="672">
        <v>0</v>
      </c>
      <c r="K887" s="672">
        <v>0</v>
      </c>
      <c r="L887" s="672">
        <v>0</v>
      </c>
    </row>
    <row r="888" spans="2:12">
      <c r="B888" s="180" t="s">
        <v>1490</v>
      </c>
      <c r="C888" s="180" t="s">
        <v>1094</v>
      </c>
      <c r="D888" s="180" t="s">
        <v>974</v>
      </c>
      <c r="E888" s="180" t="s">
        <v>980</v>
      </c>
      <c r="F888" s="672">
        <v>5977216.8200000003</v>
      </c>
      <c r="G888" s="672">
        <v>1392372.38</v>
      </c>
      <c r="H888" s="672">
        <v>488031.48</v>
      </c>
      <c r="I888" s="672">
        <v>516025.47</v>
      </c>
      <c r="J888" s="672">
        <v>-346608.4</v>
      </c>
      <c r="K888" s="672">
        <v>-490526.7</v>
      </c>
      <c r="L888" s="672">
        <v>4417922.59</v>
      </c>
    </row>
    <row r="889" spans="2:12">
      <c r="B889" s="180" t="s">
        <v>1801</v>
      </c>
      <c r="C889" s="180" t="s">
        <v>1378</v>
      </c>
      <c r="D889" s="180" t="s">
        <v>974</v>
      </c>
      <c r="E889" s="180" t="s">
        <v>983</v>
      </c>
      <c r="F889" s="672">
        <v>-15650.58</v>
      </c>
      <c r="G889" s="672">
        <v>20.11</v>
      </c>
      <c r="H889" s="672">
        <v>20.11</v>
      </c>
      <c r="I889" s="672">
        <v>20.11</v>
      </c>
      <c r="J889" s="672">
        <v>20.11</v>
      </c>
      <c r="K889" s="672">
        <v>156.94999999999999</v>
      </c>
      <c r="L889" s="672">
        <v>-15887.97</v>
      </c>
    </row>
    <row r="890" spans="2:12">
      <c r="B890" s="180" t="s">
        <v>1882</v>
      </c>
      <c r="C890" s="180" t="s">
        <v>1883</v>
      </c>
      <c r="D890" s="180" t="s">
        <v>974</v>
      </c>
      <c r="E890" s="180" t="s">
        <v>980</v>
      </c>
      <c r="F890" s="672">
        <v>108029.66</v>
      </c>
      <c r="G890" s="672">
        <v>50460.56</v>
      </c>
      <c r="H890" s="672">
        <v>-68379.47</v>
      </c>
      <c r="I890" s="672">
        <v>381.5</v>
      </c>
      <c r="J890" s="672">
        <v>64186.45</v>
      </c>
      <c r="K890" s="672">
        <v>93308.39</v>
      </c>
      <c r="L890" s="672">
        <v>-31927.77</v>
      </c>
    </row>
    <row r="891" spans="2:12">
      <c r="B891" s="180" t="s">
        <v>1406</v>
      </c>
      <c r="C891" s="180" t="s">
        <v>1187</v>
      </c>
      <c r="D891" s="180" t="s">
        <v>993</v>
      </c>
      <c r="E891" s="180" t="s">
        <v>983</v>
      </c>
      <c r="F891" s="672">
        <v>13084.54</v>
      </c>
      <c r="G891" s="672">
        <v>10.31</v>
      </c>
      <c r="H891" s="672">
        <v>5</v>
      </c>
      <c r="I891" s="672">
        <v>4.83</v>
      </c>
      <c r="J891" s="672">
        <v>5</v>
      </c>
      <c r="K891" s="672">
        <v>320.58999999999997</v>
      </c>
      <c r="L891" s="672">
        <v>12738.81</v>
      </c>
    </row>
    <row r="892" spans="2:12">
      <c r="B892" s="180" t="s">
        <v>1591</v>
      </c>
      <c r="C892" s="180" t="s">
        <v>1592</v>
      </c>
      <c r="D892" s="180" t="s">
        <v>974</v>
      </c>
      <c r="E892" s="180" t="s">
        <v>990</v>
      </c>
      <c r="F892" s="672">
        <v>0</v>
      </c>
      <c r="G892" s="672">
        <v>0</v>
      </c>
      <c r="H892" s="672">
        <v>0</v>
      </c>
      <c r="I892" s="672">
        <v>0</v>
      </c>
      <c r="J892" s="672">
        <v>0</v>
      </c>
      <c r="K892" s="672">
        <v>0</v>
      </c>
      <c r="L892" s="672">
        <v>0</v>
      </c>
    </row>
    <row r="893" spans="2:12">
      <c r="B893" s="180" t="s">
        <v>1884</v>
      </c>
      <c r="C893" s="180" t="s">
        <v>1115</v>
      </c>
      <c r="D893" s="180" t="s">
        <v>974</v>
      </c>
      <c r="E893" s="180" t="s">
        <v>980</v>
      </c>
      <c r="F893" s="672">
        <v>-17792.87</v>
      </c>
      <c r="G893" s="672">
        <v>2982.22</v>
      </c>
      <c r="H893" s="672">
        <v>-2964.87</v>
      </c>
      <c r="I893" s="672">
        <v>-1.04</v>
      </c>
      <c r="J893" s="672">
        <v>5</v>
      </c>
      <c r="K893" s="672">
        <v>-17726.68</v>
      </c>
      <c r="L893" s="672">
        <v>-87.5</v>
      </c>
    </row>
    <row r="894" spans="2:12">
      <c r="B894" s="180" t="s">
        <v>1885</v>
      </c>
      <c r="C894" s="180" t="s">
        <v>1287</v>
      </c>
      <c r="D894" s="180" t="s">
        <v>974</v>
      </c>
      <c r="E894" s="180" t="s">
        <v>975</v>
      </c>
      <c r="F894" s="672">
        <v>19863.080000000002</v>
      </c>
      <c r="G894" s="672">
        <v>0</v>
      </c>
      <c r="H894" s="672">
        <v>0</v>
      </c>
      <c r="I894" s="672">
        <v>0</v>
      </c>
      <c r="J894" s="672">
        <v>0</v>
      </c>
      <c r="K894" s="672">
        <v>8613.82</v>
      </c>
      <c r="L894" s="672">
        <v>11249.26</v>
      </c>
    </row>
    <row r="895" spans="2:12">
      <c r="B895" s="180" t="s">
        <v>1886</v>
      </c>
      <c r="C895" s="180" t="s">
        <v>1887</v>
      </c>
      <c r="D895" s="180" t="s">
        <v>974</v>
      </c>
      <c r="E895" s="180" t="s">
        <v>980</v>
      </c>
      <c r="F895" s="672">
        <v>2648572.38</v>
      </c>
      <c r="G895" s="672">
        <v>61547.02</v>
      </c>
      <c r="H895" s="672">
        <v>61794.47</v>
      </c>
      <c r="I895" s="672">
        <v>61659.32</v>
      </c>
      <c r="J895" s="672">
        <v>61736.17</v>
      </c>
      <c r="K895" s="672">
        <v>485518.15</v>
      </c>
      <c r="L895" s="672">
        <v>1916317.25</v>
      </c>
    </row>
    <row r="896" spans="2:12">
      <c r="B896" s="180" t="s">
        <v>1647</v>
      </c>
      <c r="C896" s="180" t="s">
        <v>1648</v>
      </c>
      <c r="D896" s="180" t="s">
        <v>974</v>
      </c>
      <c r="E896" s="180" t="s">
        <v>990</v>
      </c>
      <c r="F896" s="672">
        <v>0</v>
      </c>
      <c r="G896" s="672">
        <v>0</v>
      </c>
      <c r="H896" s="672">
        <v>0</v>
      </c>
      <c r="I896" s="672">
        <v>0</v>
      </c>
      <c r="J896" s="672">
        <v>0</v>
      </c>
      <c r="K896" s="672">
        <v>0</v>
      </c>
      <c r="L896" s="672">
        <v>0</v>
      </c>
    </row>
    <row r="897" spans="2:12">
      <c r="B897" s="180" t="s">
        <v>1440</v>
      </c>
      <c r="C897" s="180" t="s">
        <v>1441</v>
      </c>
      <c r="D897" s="180" t="s">
        <v>974</v>
      </c>
      <c r="E897" s="180" t="s">
        <v>980</v>
      </c>
      <c r="F897" s="672">
        <v>4393538.2</v>
      </c>
      <c r="G897" s="672">
        <v>102688.33</v>
      </c>
      <c r="H897" s="672">
        <v>102530.56</v>
      </c>
      <c r="I897" s="672">
        <v>102112.47</v>
      </c>
      <c r="J897" s="672">
        <v>102248.38</v>
      </c>
      <c r="K897" s="672">
        <v>807375.39</v>
      </c>
      <c r="L897" s="672">
        <v>3176583.07</v>
      </c>
    </row>
    <row r="898" spans="2:12">
      <c r="B898" s="180" t="s">
        <v>1497</v>
      </c>
      <c r="C898" s="180" t="s">
        <v>1498</v>
      </c>
      <c r="D898" s="180" t="s">
        <v>974</v>
      </c>
      <c r="E898" s="180" t="s">
        <v>980</v>
      </c>
      <c r="F898" s="672">
        <v>-6896.5</v>
      </c>
      <c r="G898" s="672">
        <v>-4670.3500000000004</v>
      </c>
      <c r="H898" s="672">
        <v>3690.46</v>
      </c>
      <c r="I898" s="672">
        <v>845.31</v>
      </c>
      <c r="J898" s="672">
        <v>-4862.47</v>
      </c>
      <c r="K898" s="672">
        <v>180.96</v>
      </c>
      <c r="L898" s="672">
        <v>-2080.41</v>
      </c>
    </row>
    <row r="899" spans="2:12">
      <c r="B899" s="180" t="s">
        <v>1122</v>
      </c>
      <c r="C899" s="180" t="s">
        <v>1123</v>
      </c>
      <c r="D899" s="180" t="s">
        <v>993</v>
      </c>
      <c r="E899" s="180" t="s">
        <v>1034</v>
      </c>
      <c r="F899" s="672">
        <v>0</v>
      </c>
      <c r="G899" s="672">
        <v>0</v>
      </c>
      <c r="H899" s="672">
        <v>0</v>
      </c>
      <c r="I899" s="672">
        <v>0</v>
      </c>
      <c r="J899" s="672">
        <v>0</v>
      </c>
      <c r="K899" s="672">
        <v>0</v>
      </c>
      <c r="L899" s="672">
        <v>0</v>
      </c>
    </row>
    <row r="900" spans="2:12">
      <c r="B900" s="180" t="s">
        <v>1403</v>
      </c>
      <c r="C900" s="180" t="s">
        <v>1139</v>
      </c>
      <c r="D900" s="180" t="s">
        <v>974</v>
      </c>
      <c r="E900" s="180" t="s">
        <v>975</v>
      </c>
      <c r="F900" s="672">
        <v>574944.05000000005</v>
      </c>
      <c r="G900" s="672">
        <v>0</v>
      </c>
      <c r="H900" s="672">
        <v>0</v>
      </c>
      <c r="I900" s="672">
        <v>0</v>
      </c>
      <c r="J900" s="672">
        <v>0</v>
      </c>
      <c r="K900" s="672">
        <v>123810.05</v>
      </c>
      <c r="L900" s="672">
        <v>451134</v>
      </c>
    </row>
    <row r="901" spans="2:12">
      <c r="B901" s="180" t="s">
        <v>1709</v>
      </c>
      <c r="C901" s="180" t="s">
        <v>1351</v>
      </c>
      <c r="D901" s="180" t="s">
        <v>974</v>
      </c>
      <c r="E901" s="180" t="s">
        <v>975</v>
      </c>
      <c r="F901" s="672">
        <v>7041.19</v>
      </c>
      <c r="G901" s="672">
        <v>0</v>
      </c>
      <c r="H901" s="672">
        <v>0</v>
      </c>
      <c r="I901" s="672">
        <v>0</v>
      </c>
      <c r="J901" s="672">
        <v>0</v>
      </c>
      <c r="K901" s="672">
        <v>0</v>
      </c>
      <c r="L901" s="672">
        <v>7041.19</v>
      </c>
    </row>
    <row r="902" spans="2:12">
      <c r="B902" s="180" t="s">
        <v>1885</v>
      </c>
      <c r="C902" s="180" t="s">
        <v>1287</v>
      </c>
      <c r="D902" s="180" t="s">
        <v>974</v>
      </c>
      <c r="E902" s="180" t="s">
        <v>990</v>
      </c>
      <c r="F902" s="672">
        <v>0</v>
      </c>
      <c r="G902" s="672">
        <v>0</v>
      </c>
      <c r="H902" s="672">
        <v>0</v>
      </c>
      <c r="I902" s="672">
        <v>0</v>
      </c>
      <c r="J902" s="672">
        <v>0</v>
      </c>
      <c r="K902" s="672">
        <v>0</v>
      </c>
      <c r="L902" s="672">
        <v>0</v>
      </c>
    </row>
    <row r="903" spans="2:12">
      <c r="B903" s="180" t="s">
        <v>1493</v>
      </c>
      <c r="C903" s="180" t="s">
        <v>1494</v>
      </c>
      <c r="D903" s="180" t="s">
        <v>974</v>
      </c>
      <c r="E903" s="180" t="s">
        <v>975</v>
      </c>
      <c r="F903" s="672">
        <v>951.23</v>
      </c>
      <c r="G903" s="672">
        <v>0</v>
      </c>
      <c r="H903" s="672">
        <v>0.17</v>
      </c>
      <c r="I903" s="672">
        <v>0</v>
      </c>
      <c r="J903" s="672">
        <v>0</v>
      </c>
      <c r="K903" s="672">
        <v>0</v>
      </c>
      <c r="L903" s="672">
        <v>951.06</v>
      </c>
    </row>
    <row r="904" spans="2:12">
      <c r="B904" s="180" t="s">
        <v>1646</v>
      </c>
      <c r="C904" s="180" t="s">
        <v>1098</v>
      </c>
      <c r="D904" s="180" t="s">
        <v>993</v>
      </c>
      <c r="E904" s="180" t="s">
        <v>980</v>
      </c>
      <c r="F904" s="672">
        <v>1428315.12</v>
      </c>
      <c r="G904" s="672">
        <v>30414.080000000002</v>
      </c>
      <c r="H904" s="672">
        <v>31319.75</v>
      </c>
      <c r="I904" s="672">
        <v>44536.35</v>
      </c>
      <c r="J904" s="672">
        <v>26908.89</v>
      </c>
      <c r="K904" s="672">
        <v>373821.72</v>
      </c>
      <c r="L904" s="672">
        <v>921314.33</v>
      </c>
    </row>
    <row r="905" spans="2:12">
      <c r="B905" s="180" t="s">
        <v>1004</v>
      </c>
      <c r="C905" s="180" t="s">
        <v>1005</v>
      </c>
      <c r="D905" s="180" t="s">
        <v>993</v>
      </c>
      <c r="E905" s="180" t="s">
        <v>980</v>
      </c>
      <c r="F905" s="672">
        <v>689632.39</v>
      </c>
      <c r="G905" s="672">
        <v>4086.65</v>
      </c>
      <c r="H905" s="672">
        <v>4251.43</v>
      </c>
      <c r="I905" s="672">
        <v>4393.3999999999996</v>
      </c>
      <c r="J905" s="672">
        <v>4138.0600000000004</v>
      </c>
      <c r="K905" s="672">
        <v>109708.98</v>
      </c>
      <c r="L905" s="672">
        <v>563053.87</v>
      </c>
    </row>
    <row r="906" spans="2:12">
      <c r="B906" s="180" t="s">
        <v>1888</v>
      </c>
      <c r="C906" s="180" t="s">
        <v>1889</v>
      </c>
      <c r="D906" s="180" t="s">
        <v>974</v>
      </c>
      <c r="E906" s="180" t="s">
        <v>975</v>
      </c>
      <c r="F906" s="672">
        <v>4562.8999999999996</v>
      </c>
      <c r="G906" s="672">
        <v>0</v>
      </c>
      <c r="H906" s="672">
        <v>0</v>
      </c>
      <c r="I906" s="672">
        <v>0</v>
      </c>
      <c r="J906" s="672">
        <v>0</v>
      </c>
      <c r="K906" s="672">
        <v>0</v>
      </c>
      <c r="L906" s="672">
        <v>4562.8999999999996</v>
      </c>
    </row>
    <row r="907" spans="2:12">
      <c r="B907" s="180" t="s">
        <v>1143</v>
      </c>
      <c r="C907" s="180" t="s">
        <v>1144</v>
      </c>
      <c r="D907" s="180" t="s">
        <v>974</v>
      </c>
      <c r="E907" s="180" t="s">
        <v>990</v>
      </c>
      <c r="F907" s="672">
        <v>-14.38</v>
      </c>
      <c r="G907" s="672">
        <v>0</v>
      </c>
      <c r="H907" s="672">
        <v>0</v>
      </c>
      <c r="I907" s="672">
        <v>0</v>
      </c>
      <c r="J907" s="672">
        <v>0</v>
      </c>
      <c r="K907" s="672">
        <v>0</v>
      </c>
      <c r="L907" s="672">
        <v>-14.38</v>
      </c>
    </row>
    <row r="908" spans="2:12">
      <c r="B908" s="180" t="s">
        <v>1340</v>
      </c>
      <c r="C908" s="180" t="s">
        <v>1341</v>
      </c>
      <c r="D908" s="180" t="s">
        <v>974</v>
      </c>
      <c r="E908" s="180" t="s">
        <v>983</v>
      </c>
      <c r="F908" s="672">
        <v>601.14</v>
      </c>
      <c r="G908" s="672">
        <v>278.10000000000002</v>
      </c>
      <c r="H908" s="672">
        <v>74.709999999999994</v>
      </c>
      <c r="I908" s="672">
        <v>70.11</v>
      </c>
      <c r="J908" s="672">
        <v>-143.5</v>
      </c>
      <c r="K908" s="672">
        <v>321.72000000000003</v>
      </c>
      <c r="L908" s="672">
        <v>0</v>
      </c>
    </row>
    <row r="909" spans="2:12">
      <c r="B909" s="180" t="s">
        <v>1684</v>
      </c>
      <c r="C909" s="180" t="s">
        <v>1094</v>
      </c>
      <c r="D909" s="180" t="s">
        <v>974</v>
      </c>
      <c r="E909" s="180" t="s">
        <v>990</v>
      </c>
      <c r="F909" s="672">
        <v>0</v>
      </c>
      <c r="G909" s="672">
        <v>0</v>
      </c>
      <c r="H909" s="672">
        <v>0</v>
      </c>
      <c r="I909" s="672">
        <v>0</v>
      </c>
      <c r="J909" s="672">
        <v>0</v>
      </c>
      <c r="K909" s="672">
        <v>0</v>
      </c>
      <c r="L909" s="672">
        <v>0</v>
      </c>
    </row>
    <row r="910" spans="2:12">
      <c r="B910" s="180" t="s">
        <v>1874</v>
      </c>
      <c r="C910" s="180" t="s">
        <v>1875</v>
      </c>
      <c r="D910" s="180" t="s">
        <v>974</v>
      </c>
      <c r="E910" s="180" t="s">
        <v>1075</v>
      </c>
      <c r="F910" s="672">
        <v>0</v>
      </c>
      <c r="G910" s="672">
        <v>0</v>
      </c>
      <c r="H910" s="672">
        <v>0</v>
      </c>
      <c r="I910" s="672">
        <v>0</v>
      </c>
      <c r="J910" s="672">
        <v>0</v>
      </c>
      <c r="K910" s="672">
        <v>0</v>
      </c>
      <c r="L910" s="672">
        <v>0</v>
      </c>
    </row>
    <row r="911" spans="2:12">
      <c r="B911" s="180" t="s">
        <v>1890</v>
      </c>
      <c r="C911" s="180" t="s">
        <v>1067</v>
      </c>
      <c r="D911" s="180" t="s">
        <v>993</v>
      </c>
      <c r="E911" s="180" t="s">
        <v>975</v>
      </c>
      <c r="F911" s="672">
        <v>-2614</v>
      </c>
      <c r="G911" s="672">
        <v>0</v>
      </c>
      <c r="H911" s="672">
        <v>0</v>
      </c>
      <c r="I911" s="672">
        <v>0</v>
      </c>
      <c r="J911" s="672">
        <v>0</v>
      </c>
      <c r="K911" s="672">
        <v>0</v>
      </c>
      <c r="L911" s="672">
        <v>-2614</v>
      </c>
    </row>
    <row r="912" spans="2:12">
      <c r="B912" s="180" t="s">
        <v>1829</v>
      </c>
      <c r="C912" s="180" t="s">
        <v>1369</v>
      </c>
      <c r="D912" s="180" t="s">
        <v>993</v>
      </c>
      <c r="E912" s="180" t="s">
        <v>990</v>
      </c>
      <c r="F912" s="672">
        <v>0</v>
      </c>
      <c r="G912" s="672">
        <v>0</v>
      </c>
      <c r="H912" s="672">
        <v>0</v>
      </c>
      <c r="I912" s="672">
        <v>0</v>
      </c>
      <c r="J912" s="672">
        <v>0</v>
      </c>
      <c r="K912" s="672">
        <v>0</v>
      </c>
      <c r="L912" s="672">
        <v>0</v>
      </c>
    </row>
    <row r="913" spans="2:12">
      <c r="B913" s="180" t="s">
        <v>1294</v>
      </c>
      <c r="C913" s="180" t="s">
        <v>1295</v>
      </c>
      <c r="D913" s="180" t="s">
        <v>974</v>
      </c>
      <c r="E913" s="180" t="s">
        <v>980</v>
      </c>
      <c r="F913" s="672">
        <v>1574.59</v>
      </c>
      <c r="G913" s="672">
        <v>-0.26</v>
      </c>
      <c r="H913" s="672">
        <v>1.31</v>
      </c>
      <c r="I913" s="672">
        <v>0.82</v>
      </c>
      <c r="J913" s="672">
        <v>0</v>
      </c>
      <c r="K913" s="672">
        <v>-3.03</v>
      </c>
      <c r="L913" s="672">
        <v>1575.75</v>
      </c>
    </row>
    <row r="914" spans="2:12">
      <c r="B914" s="180" t="s">
        <v>1891</v>
      </c>
      <c r="C914" s="180" t="s">
        <v>1459</v>
      </c>
      <c r="D914" s="180" t="s">
        <v>993</v>
      </c>
      <c r="E914" s="180" t="s">
        <v>990</v>
      </c>
      <c r="F914" s="672">
        <v>0</v>
      </c>
      <c r="G914" s="672">
        <v>0</v>
      </c>
      <c r="H914" s="672">
        <v>0</v>
      </c>
      <c r="I914" s="672">
        <v>0</v>
      </c>
      <c r="J914" s="672">
        <v>0</v>
      </c>
      <c r="K914" s="672">
        <v>0</v>
      </c>
      <c r="L914" s="672">
        <v>0</v>
      </c>
    </row>
    <row r="915" spans="2:12">
      <c r="B915" s="180" t="s">
        <v>1489</v>
      </c>
      <c r="C915" s="180" t="s">
        <v>1277</v>
      </c>
      <c r="D915" s="180" t="s">
        <v>993</v>
      </c>
      <c r="E915" s="180" t="s">
        <v>980</v>
      </c>
      <c r="F915" s="672">
        <v>403413.81</v>
      </c>
      <c r="G915" s="672">
        <v>10354.56</v>
      </c>
      <c r="H915" s="672">
        <v>10787.44</v>
      </c>
      <c r="I915" s="672">
        <v>12369.31</v>
      </c>
      <c r="J915" s="672">
        <v>12529.3</v>
      </c>
      <c r="K915" s="672">
        <v>77892.42</v>
      </c>
      <c r="L915" s="672">
        <v>279480.78000000003</v>
      </c>
    </row>
    <row r="916" spans="2:12">
      <c r="B916" s="180" t="s">
        <v>1155</v>
      </c>
      <c r="C916" s="180" t="s">
        <v>1156</v>
      </c>
      <c r="D916" s="180" t="s">
        <v>974</v>
      </c>
      <c r="E916" s="180" t="s">
        <v>990</v>
      </c>
      <c r="F916" s="672">
        <v>0</v>
      </c>
      <c r="G916" s="672">
        <v>0</v>
      </c>
      <c r="H916" s="672">
        <v>0</v>
      </c>
      <c r="I916" s="672">
        <v>0</v>
      </c>
      <c r="J916" s="672">
        <v>0</v>
      </c>
      <c r="K916" s="672">
        <v>0</v>
      </c>
      <c r="L916" s="672">
        <v>0</v>
      </c>
    </row>
    <row r="917" spans="2:12">
      <c r="B917" s="180" t="s">
        <v>1801</v>
      </c>
      <c r="C917" s="180" t="s">
        <v>1378</v>
      </c>
      <c r="D917" s="180" t="s">
        <v>974</v>
      </c>
      <c r="E917" s="180" t="s">
        <v>1075</v>
      </c>
      <c r="F917" s="672">
        <v>0</v>
      </c>
      <c r="G917" s="672">
        <v>0</v>
      </c>
      <c r="H917" s="672">
        <v>0</v>
      </c>
      <c r="I917" s="672">
        <v>0</v>
      </c>
      <c r="J917" s="672">
        <v>0</v>
      </c>
      <c r="K917" s="672">
        <v>0</v>
      </c>
      <c r="L917" s="672">
        <v>0</v>
      </c>
    </row>
    <row r="918" spans="2:12">
      <c r="B918" s="180" t="s">
        <v>1892</v>
      </c>
      <c r="C918" s="180" t="s">
        <v>1367</v>
      </c>
      <c r="D918" s="180" t="s">
        <v>993</v>
      </c>
      <c r="E918" s="180" t="s">
        <v>990</v>
      </c>
      <c r="F918" s="672">
        <v>0</v>
      </c>
      <c r="G918" s="672">
        <v>0</v>
      </c>
      <c r="H918" s="672">
        <v>0</v>
      </c>
      <c r="I918" s="672">
        <v>0</v>
      </c>
      <c r="J918" s="672">
        <v>0</v>
      </c>
      <c r="K918" s="672">
        <v>0</v>
      </c>
      <c r="L918" s="672">
        <v>0</v>
      </c>
    </row>
    <row r="919" spans="2:12">
      <c r="B919" s="180" t="s">
        <v>1730</v>
      </c>
      <c r="C919" s="180" t="s">
        <v>1220</v>
      </c>
      <c r="D919" s="180" t="s">
        <v>974</v>
      </c>
      <c r="E919" s="180" t="s">
        <v>990</v>
      </c>
      <c r="F919" s="672">
        <v>0</v>
      </c>
      <c r="G919" s="672">
        <v>0</v>
      </c>
      <c r="H919" s="672">
        <v>0</v>
      </c>
      <c r="I919" s="672">
        <v>0</v>
      </c>
      <c r="J919" s="672">
        <v>0</v>
      </c>
      <c r="K919" s="672">
        <v>0</v>
      </c>
      <c r="L919" s="672">
        <v>0</v>
      </c>
    </row>
    <row r="920" spans="2:12">
      <c r="B920" s="180" t="s">
        <v>1859</v>
      </c>
      <c r="C920" s="180" t="s">
        <v>1208</v>
      </c>
      <c r="D920" s="180" t="s">
        <v>993</v>
      </c>
      <c r="E920" s="180" t="s">
        <v>975</v>
      </c>
      <c r="F920" s="672">
        <v>-45522.74</v>
      </c>
      <c r="G920" s="672">
        <v>0</v>
      </c>
      <c r="H920" s="672">
        <v>0</v>
      </c>
      <c r="I920" s="672">
        <v>0</v>
      </c>
      <c r="J920" s="672">
        <v>0</v>
      </c>
      <c r="K920" s="672">
        <v>-1200</v>
      </c>
      <c r="L920" s="672">
        <v>-44322.74</v>
      </c>
    </row>
    <row r="921" spans="2:12">
      <c r="B921" s="180" t="s">
        <v>1466</v>
      </c>
      <c r="C921" s="180" t="s">
        <v>1467</v>
      </c>
      <c r="D921" s="180" t="s">
        <v>974</v>
      </c>
      <c r="E921" s="180" t="s">
        <v>990</v>
      </c>
      <c r="F921" s="672">
        <v>-7.67</v>
      </c>
      <c r="G921" s="672">
        <v>0</v>
      </c>
      <c r="H921" s="672">
        <v>0</v>
      </c>
      <c r="I921" s="672">
        <v>0</v>
      </c>
      <c r="J921" s="672">
        <v>6.83</v>
      </c>
      <c r="K921" s="672">
        <v>0</v>
      </c>
      <c r="L921" s="672">
        <v>-14.5</v>
      </c>
    </row>
    <row r="922" spans="2:12">
      <c r="B922" s="180" t="s">
        <v>1747</v>
      </c>
      <c r="C922" s="180" t="s">
        <v>1748</v>
      </c>
      <c r="D922" s="180" t="s">
        <v>974</v>
      </c>
      <c r="E922" s="180" t="s">
        <v>975</v>
      </c>
      <c r="F922" s="672">
        <v>443.21</v>
      </c>
      <c r="G922" s="672">
        <v>0</v>
      </c>
      <c r="H922" s="672">
        <v>0</v>
      </c>
      <c r="I922" s="672">
        <v>0</v>
      </c>
      <c r="J922" s="672">
        <v>0</v>
      </c>
      <c r="K922" s="672">
        <v>0</v>
      </c>
      <c r="L922" s="672">
        <v>443.21</v>
      </c>
    </row>
    <row r="923" spans="2:12">
      <c r="B923" s="180" t="s">
        <v>1676</v>
      </c>
      <c r="C923" s="180" t="s">
        <v>1677</v>
      </c>
      <c r="D923" s="180" t="s">
        <v>974</v>
      </c>
      <c r="E923" s="180" t="s">
        <v>980</v>
      </c>
      <c r="F923" s="672">
        <v>4142545.23</v>
      </c>
      <c r="G923" s="672">
        <v>96504.62</v>
      </c>
      <c r="H923" s="672">
        <v>96521.2</v>
      </c>
      <c r="I923" s="672">
        <v>96497.8</v>
      </c>
      <c r="J923" s="672">
        <v>96555.25</v>
      </c>
      <c r="K923" s="672">
        <v>760269.57</v>
      </c>
      <c r="L923" s="672">
        <v>2996196.79</v>
      </c>
    </row>
    <row r="924" spans="2:12">
      <c r="B924" s="180" t="s">
        <v>1893</v>
      </c>
      <c r="C924" s="180" t="s">
        <v>1011</v>
      </c>
      <c r="D924" s="180" t="s">
        <v>993</v>
      </c>
      <c r="E924" s="180" t="s">
        <v>980</v>
      </c>
      <c r="F924" s="672">
        <v>692799.96</v>
      </c>
      <c r="G924" s="672">
        <v>3620.09</v>
      </c>
      <c r="H924" s="672">
        <v>2940.38</v>
      </c>
      <c r="I924" s="672">
        <v>3053.36</v>
      </c>
      <c r="J924" s="672">
        <v>3408.76</v>
      </c>
      <c r="K924" s="672">
        <v>89434.95</v>
      </c>
      <c r="L924" s="672">
        <v>590342.42000000004</v>
      </c>
    </row>
    <row r="925" spans="2:12">
      <c r="B925" s="180" t="s">
        <v>1894</v>
      </c>
      <c r="C925" s="180" t="s">
        <v>1895</v>
      </c>
      <c r="D925" s="180" t="s">
        <v>974</v>
      </c>
      <c r="E925" s="180" t="s">
        <v>1363</v>
      </c>
      <c r="F925" s="672">
        <v>287500.5</v>
      </c>
      <c r="G925" s="672">
        <v>0</v>
      </c>
      <c r="H925" s="672">
        <v>0</v>
      </c>
      <c r="I925" s="672">
        <v>287500.5</v>
      </c>
      <c r="J925" s="672">
        <v>0</v>
      </c>
      <c r="K925" s="672">
        <v>0</v>
      </c>
      <c r="L925" s="672">
        <v>0</v>
      </c>
    </row>
    <row r="926" spans="2:12">
      <c r="B926" s="180" t="s">
        <v>1063</v>
      </c>
      <c r="C926" s="180" t="s">
        <v>1050</v>
      </c>
      <c r="D926" s="180" t="s">
        <v>974</v>
      </c>
      <c r="E926" s="180" t="s">
        <v>980</v>
      </c>
      <c r="F926" s="672">
        <v>-351899.59</v>
      </c>
      <c r="G926" s="672">
        <v>0</v>
      </c>
      <c r="H926" s="672">
        <v>0</v>
      </c>
      <c r="I926" s="672">
        <v>0</v>
      </c>
      <c r="J926" s="672">
        <v>0</v>
      </c>
      <c r="K926" s="672">
        <v>-274640.46999999997</v>
      </c>
      <c r="L926" s="672">
        <v>-77259.12</v>
      </c>
    </row>
    <row r="927" spans="2:12">
      <c r="B927" s="180" t="s">
        <v>1674</v>
      </c>
      <c r="C927" s="180" t="s">
        <v>1675</v>
      </c>
      <c r="D927" s="180" t="s">
        <v>974</v>
      </c>
      <c r="E927" s="180" t="s">
        <v>975</v>
      </c>
      <c r="F927" s="672">
        <v>34550.69</v>
      </c>
      <c r="G927" s="672">
        <v>0</v>
      </c>
      <c r="H927" s="672">
        <v>0</v>
      </c>
      <c r="I927" s="672">
        <v>0</v>
      </c>
      <c r="J927" s="672">
        <v>0</v>
      </c>
      <c r="K927" s="672">
        <v>7698.2</v>
      </c>
      <c r="L927" s="672">
        <v>26852.49</v>
      </c>
    </row>
    <row r="928" spans="2:12">
      <c r="B928" s="180" t="s">
        <v>1851</v>
      </c>
      <c r="C928" s="180" t="s">
        <v>1287</v>
      </c>
      <c r="D928" s="180" t="s">
        <v>974</v>
      </c>
      <c r="E928" s="180" t="s">
        <v>990</v>
      </c>
      <c r="F928" s="672">
        <v>0</v>
      </c>
      <c r="G928" s="672">
        <v>0</v>
      </c>
      <c r="H928" s="672">
        <v>0</v>
      </c>
      <c r="I928" s="672">
        <v>0</v>
      </c>
      <c r="J928" s="672">
        <v>0</v>
      </c>
      <c r="K928" s="672">
        <v>0</v>
      </c>
      <c r="L928" s="672">
        <v>0</v>
      </c>
    </row>
    <row r="929" spans="2:12">
      <c r="B929" s="180" t="s">
        <v>1896</v>
      </c>
      <c r="C929" s="180" t="s">
        <v>1060</v>
      </c>
      <c r="D929" s="180" t="s">
        <v>993</v>
      </c>
      <c r="E929" s="180" t="s">
        <v>980</v>
      </c>
      <c r="F929" s="672">
        <v>18186304.18</v>
      </c>
      <c r="G929" s="672">
        <v>415732.18</v>
      </c>
      <c r="H929" s="672">
        <v>468598.45</v>
      </c>
      <c r="I929" s="672">
        <v>444191.92</v>
      </c>
      <c r="J929" s="672">
        <v>448955.97</v>
      </c>
      <c r="K929" s="672">
        <v>3461047.6</v>
      </c>
      <c r="L929" s="672">
        <v>12947778.060000001</v>
      </c>
    </row>
    <row r="930" spans="2:12">
      <c r="B930" s="180" t="s">
        <v>1880</v>
      </c>
      <c r="C930" s="180" t="s">
        <v>1011</v>
      </c>
      <c r="D930" s="180" t="s">
        <v>993</v>
      </c>
      <c r="E930" s="180" t="s">
        <v>980</v>
      </c>
      <c r="F930" s="672">
        <v>6813596.9199999999</v>
      </c>
      <c r="G930" s="672">
        <v>141708.13</v>
      </c>
      <c r="H930" s="672">
        <v>160164.41</v>
      </c>
      <c r="I930" s="672">
        <v>144028.20000000001</v>
      </c>
      <c r="J930" s="672">
        <v>139622.92000000001</v>
      </c>
      <c r="K930" s="672">
        <v>1226116.42</v>
      </c>
      <c r="L930" s="672">
        <v>5001956.84</v>
      </c>
    </row>
    <row r="931" spans="2:12">
      <c r="B931" s="180" t="s">
        <v>1704</v>
      </c>
      <c r="C931" s="180" t="s">
        <v>1705</v>
      </c>
      <c r="D931" s="180" t="s">
        <v>974</v>
      </c>
      <c r="E931" s="180" t="s">
        <v>990</v>
      </c>
      <c r="F931" s="672">
        <v>0</v>
      </c>
      <c r="G931" s="672">
        <v>0</v>
      </c>
      <c r="H931" s="672">
        <v>0</v>
      </c>
      <c r="I931" s="672">
        <v>0</v>
      </c>
      <c r="J931" s="672">
        <v>0</v>
      </c>
      <c r="K931" s="672">
        <v>0</v>
      </c>
      <c r="L931" s="672">
        <v>0</v>
      </c>
    </row>
    <row r="932" spans="2:12">
      <c r="B932" s="180" t="s">
        <v>1859</v>
      </c>
      <c r="C932" s="180" t="s">
        <v>1208</v>
      </c>
      <c r="D932" s="180" t="s">
        <v>993</v>
      </c>
      <c r="E932" s="180" t="s">
        <v>990</v>
      </c>
      <c r="F932" s="672">
        <v>0</v>
      </c>
      <c r="G932" s="672">
        <v>0</v>
      </c>
      <c r="H932" s="672">
        <v>0</v>
      </c>
      <c r="I932" s="672">
        <v>0</v>
      </c>
      <c r="J932" s="672">
        <v>0</v>
      </c>
      <c r="K932" s="672">
        <v>0</v>
      </c>
      <c r="L932" s="672">
        <v>0</v>
      </c>
    </row>
    <row r="933" spans="2:12">
      <c r="B933" s="180" t="s">
        <v>1073</v>
      </c>
      <c r="C933" s="180" t="s">
        <v>1074</v>
      </c>
      <c r="D933" s="180" t="s">
        <v>974</v>
      </c>
      <c r="E933" s="180" t="s">
        <v>1075</v>
      </c>
      <c r="F933" s="672">
        <v>0</v>
      </c>
      <c r="G933" s="672">
        <v>0</v>
      </c>
      <c r="H933" s="672">
        <v>0</v>
      </c>
      <c r="I933" s="672">
        <v>0</v>
      </c>
      <c r="J933" s="672">
        <v>0</v>
      </c>
      <c r="K933" s="672">
        <v>0</v>
      </c>
      <c r="L933" s="672">
        <v>0</v>
      </c>
    </row>
    <row r="934" spans="2:12">
      <c r="B934" s="180" t="s">
        <v>1468</v>
      </c>
      <c r="C934" s="180" t="s">
        <v>1469</v>
      </c>
      <c r="D934" s="180" t="s">
        <v>974</v>
      </c>
      <c r="E934" s="180" t="s">
        <v>980</v>
      </c>
      <c r="F934" s="672">
        <v>3680089.37</v>
      </c>
      <c r="G934" s="672">
        <v>84579.24</v>
      </c>
      <c r="H934" s="672">
        <v>84579.24</v>
      </c>
      <c r="I934" s="672">
        <v>84579.24</v>
      </c>
      <c r="J934" s="672">
        <v>84579.24</v>
      </c>
      <c r="K934" s="672">
        <v>664849.84</v>
      </c>
      <c r="L934" s="672">
        <v>2676922.5699999998</v>
      </c>
    </row>
    <row r="935" spans="2:12">
      <c r="B935" s="180" t="s">
        <v>1897</v>
      </c>
      <c r="C935" s="180" t="s">
        <v>1488</v>
      </c>
      <c r="D935" s="180" t="s">
        <v>974</v>
      </c>
      <c r="E935" s="180" t="s">
        <v>1075</v>
      </c>
      <c r="F935" s="672">
        <v>0</v>
      </c>
      <c r="G935" s="672">
        <v>0</v>
      </c>
      <c r="H935" s="672">
        <v>0</v>
      </c>
      <c r="I935" s="672">
        <v>0</v>
      </c>
      <c r="J935" s="672">
        <v>0</v>
      </c>
      <c r="K935" s="672">
        <v>0</v>
      </c>
      <c r="L935" s="672">
        <v>0</v>
      </c>
    </row>
    <row r="936" spans="2:12">
      <c r="B936" s="180" t="s">
        <v>1898</v>
      </c>
      <c r="C936" s="180" t="s">
        <v>1899</v>
      </c>
      <c r="D936" s="180" t="s">
        <v>974</v>
      </c>
      <c r="E936" s="180" t="s">
        <v>990</v>
      </c>
      <c r="F936" s="672">
        <v>0</v>
      </c>
      <c r="G936" s="672">
        <v>0</v>
      </c>
      <c r="H936" s="672">
        <v>0</v>
      </c>
      <c r="I936" s="672">
        <v>0</v>
      </c>
      <c r="J936" s="672">
        <v>0</v>
      </c>
      <c r="K936" s="672">
        <v>0</v>
      </c>
      <c r="L936" s="672">
        <v>0</v>
      </c>
    </row>
    <row r="937" spans="2:12">
      <c r="B937" s="180" t="s">
        <v>1264</v>
      </c>
      <c r="C937" s="180" t="s">
        <v>1265</v>
      </c>
      <c r="D937" s="180" t="s">
        <v>974</v>
      </c>
      <c r="E937" s="180" t="s">
        <v>980</v>
      </c>
      <c r="F937" s="672">
        <v>-103581.27</v>
      </c>
      <c r="G937" s="672">
        <v>4604.9799999999996</v>
      </c>
      <c r="H937" s="672">
        <v>10486.95</v>
      </c>
      <c r="I937" s="672">
        <v>10113.09</v>
      </c>
      <c r="J937" s="672">
        <v>13153.4</v>
      </c>
      <c r="K937" s="672">
        <v>-288754.33</v>
      </c>
      <c r="L937" s="672">
        <v>146814.64000000001</v>
      </c>
    </row>
    <row r="938" spans="2:12">
      <c r="B938" s="180" t="s">
        <v>1079</v>
      </c>
      <c r="C938" s="180" t="s">
        <v>1080</v>
      </c>
      <c r="D938" s="180" t="s">
        <v>974</v>
      </c>
      <c r="E938" s="180" t="s">
        <v>1018</v>
      </c>
      <c r="F938" s="672">
        <v>0</v>
      </c>
      <c r="G938" s="672">
        <v>0</v>
      </c>
      <c r="H938" s="672">
        <v>0</v>
      </c>
      <c r="I938" s="672">
        <v>0</v>
      </c>
      <c r="J938" s="672">
        <v>0</v>
      </c>
      <c r="K938" s="672">
        <v>157.36000000000001</v>
      </c>
      <c r="L938" s="672">
        <v>-157.36000000000001</v>
      </c>
    </row>
    <row r="939" spans="2:12">
      <c r="B939" s="180" t="s">
        <v>1814</v>
      </c>
      <c r="C939" s="180" t="s">
        <v>1300</v>
      </c>
      <c r="D939" s="180" t="s">
        <v>993</v>
      </c>
      <c r="E939" s="180" t="s">
        <v>980</v>
      </c>
      <c r="F939" s="672">
        <v>1200360.33</v>
      </c>
      <c r="G939" s="672">
        <v>28297.84</v>
      </c>
      <c r="H939" s="672">
        <v>31755.56</v>
      </c>
      <c r="I939" s="672">
        <v>34771.46</v>
      </c>
      <c r="J939" s="672">
        <v>36876.14</v>
      </c>
      <c r="K939" s="672">
        <v>256296.56</v>
      </c>
      <c r="L939" s="672">
        <v>812362.77</v>
      </c>
    </row>
    <row r="940" spans="2:12">
      <c r="B940" s="180" t="s">
        <v>1064</v>
      </c>
      <c r="C940" s="180" t="s">
        <v>1065</v>
      </c>
      <c r="D940" s="180" t="s">
        <v>993</v>
      </c>
      <c r="E940" s="180" t="s">
        <v>1078</v>
      </c>
      <c r="F940" s="672">
        <v>0</v>
      </c>
      <c r="G940" s="672">
        <v>-3000</v>
      </c>
      <c r="H940" s="672">
        <v>0</v>
      </c>
      <c r="I940" s="672">
        <v>0</v>
      </c>
      <c r="J940" s="672">
        <v>0</v>
      </c>
      <c r="K940" s="672">
        <v>0</v>
      </c>
      <c r="L940" s="672">
        <v>3000</v>
      </c>
    </row>
    <row r="941" spans="2:12">
      <c r="B941" s="180" t="s">
        <v>1590</v>
      </c>
      <c r="C941" s="180" t="s">
        <v>989</v>
      </c>
      <c r="D941" s="180" t="s">
        <v>974</v>
      </c>
      <c r="E941" s="180" t="s">
        <v>980</v>
      </c>
      <c r="F941" s="672">
        <v>-152057.56</v>
      </c>
      <c r="G941" s="672">
        <v>17569.03</v>
      </c>
      <c r="H941" s="672">
        <v>18071.93</v>
      </c>
      <c r="I941" s="672">
        <v>4855.47</v>
      </c>
      <c r="J941" s="672">
        <v>2880.81</v>
      </c>
      <c r="K941" s="672">
        <v>-46448.74</v>
      </c>
      <c r="L941" s="672">
        <v>-148986.06</v>
      </c>
    </row>
    <row r="942" spans="2:12">
      <c r="B942" s="180" t="s">
        <v>1792</v>
      </c>
      <c r="C942" s="180" t="s">
        <v>989</v>
      </c>
      <c r="D942" s="180" t="s">
        <v>974</v>
      </c>
      <c r="E942" s="180" t="s">
        <v>990</v>
      </c>
      <c r="F942" s="672">
        <v>0</v>
      </c>
      <c r="G942" s="672">
        <v>0</v>
      </c>
      <c r="H942" s="672">
        <v>0</v>
      </c>
      <c r="I942" s="672">
        <v>0</v>
      </c>
      <c r="J942" s="672">
        <v>0</v>
      </c>
      <c r="K942" s="672">
        <v>0</v>
      </c>
      <c r="L942" s="672">
        <v>0</v>
      </c>
    </row>
    <row r="943" spans="2:12">
      <c r="B943" s="180" t="s">
        <v>1900</v>
      </c>
      <c r="C943" s="180" t="s">
        <v>1562</v>
      </c>
      <c r="D943" s="180" t="s">
        <v>993</v>
      </c>
      <c r="E943" s="180" t="s">
        <v>990</v>
      </c>
      <c r="F943" s="672">
        <v>47.57</v>
      </c>
      <c r="G943" s="672">
        <v>0</v>
      </c>
      <c r="H943" s="672">
        <v>0</v>
      </c>
      <c r="I943" s="672">
        <v>0</v>
      </c>
      <c r="J943" s="672">
        <v>0</v>
      </c>
      <c r="K943" s="672">
        <v>0</v>
      </c>
      <c r="L943" s="672">
        <v>47.57</v>
      </c>
    </row>
    <row r="944" spans="2:12">
      <c r="B944" s="180" t="s">
        <v>1901</v>
      </c>
      <c r="C944" s="180" t="s">
        <v>1197</v>
      </c>
      <c r="D944" s="180" t="s">
        <v>993</v>
      </c>
      <c r="E944" s="180" t="s">
        <v>990</v>
      </c>
      <c r="F944" s="672">
        <v>0</v>
      </c>
      <c r="G944" s="672">
        <v>0</v>
      </c>
      <c r="H944" s="672">
        <v>0</v>
      </c>
      <c r="I944" s="672">
        <v>0</v>
      </c>
      <c r="J944" s="672">
        <v>0</v>
      </c>
      <c r="K944" s="672">
        <v>0</v>
      </c>
      <c r="L944" s="672">
        <v>0</v>
      </c>
    </row>
    <row r="945" spans="2:12">
      <c r="B945" s="180" t="s">
        <v>1179</v>
      </c>
      <c r="C945" s="180" t="s">
        <v>1180</v>
      </c>
      <c r="D945" s="180" t="s">
        <v>974</v>
      </c>
      <c r="E945" s="180" t="s">
        <v>980</v>
      </c>
      <c r="F945" s="672">
        <v>-644298.36</v>
      </c>
      <c r="G945" s="672">
        <v>0</v>
      </c>
      <c r="H945" s="672">
        <v>7514.68</v>
      </c>
      <c r="I945" s="672">
        <v>7227.58</v>
      </c>
      <c r="J945" s="672">
        <v>-7485.21</v>
      </c>
      <c r="K945" s="672">
        <v>-2972.17</v>
      </c>
      <c r="L945" s="672">
        <v>-648583.24</v>
      </c>
    </row>
    <row r="946" spans="2:12">
      <c r="B946" s="180" t="s">
        <v>1688</v>
      </c>
      <c r="C946" s="180" t="s">
        <v>1115</v>
      </c>
      <c r="D946" s="180" t="s">
        <v>974</v>
      </c>
      <c r="E946" s="180" t="s">
        <v>990</v>
      </c>
      <c r="F946" s="672">
        <v>0</v>
      </c>
      <c r="G946" s="672">
        <v>0</v>
      </c>
      <c r="H946" s="672">
        <v>0</v>
      </c>
      <c r="I946" s="672">
        <v>0</v>
      </c>
      <c r="J946" s="672">
        <v>0</v>
      </c>
      <c r="K946" s="672">
        <v>0</v>
      </c>
      <c r="L946" s="672">
        <v>0</v>
      </c>
    </row>
    <row r="947" spans="2:12">
      <c r="B947" s="180" t="s">
        <v>1902</v>
      </c>
      <c r="C947" s="180" t="s">
        <v>1267</v>
      </c>
      <c r="D947" s="180" t="s">
        <v>993</v>
      </c>
      <c r="E947" s="180" t="s">
        <v>990</v>
      </c>
      <c r="F947" s="672">
        <v>0</v>
      </c>
      <c r="G947" s="672">
        <v>0</v>
      </c>
      <c r="H947" s="672">
        <v>0</v>
      </c>
      <c r="I947" s="672">
        <v>0</v>
      </c>
      <c r="J947" s="672">
        <v>0</v>
      </c>
      <c r="K947" s="672">
        <v>0</v>
      </c>
      <c r="L947" s="672">
        <v>0</v>
      </c>
    </row>
    <row r="948" spans="2:12">
      <c r="B948" s="180" t="s">
        <v>1888</v>
      </c>
      <c r="C948" s="180" t="s">
        <v>1889</v>
      </c>
      <c r="D948" s="180" t="s">
        <v>974</v>
      </c>
      <c r="E948" s="180" t="s">
        <v>990</v>
      </c>
      <c r="F948" s="672">
        <v>0</v>
      </c>
      <c r="G948" s="672">
        <v>0</v>
      </c>
      <c r="H948" s="672">
        <v>0</v>
      </c>
      <c r="I948" s="672">
        <v>0</v>
      </c>
      <c r="J948" s="672">
        <v>0</v>
      </c>
      <c r="K948" s="672">
        <v>0</v>
      </c>
      <c r="L948" s="672">
        <v>0</v>
      </c>
    </row>
    <row r="949" spans="2:12">
      <c r="B949" s="180" t="s">
        <v>1099</v>
      </c>
      <c r="C949" s="180" t="s">
        <v>1100</v>
      </c>
      <c r="D949" s="180" t="s">
        <v>974</v>
      </c>
      <c r="E949" s="180" t="s">
        <v>990</v>
      </c>
      <c r="F949" s="672">
        <v>0</v>
      </c>
      <c r="G949" s="672">
        <v>0</v>
      </c>
      <c r="H949" s="672">
        <v>0</v>
      </c>
      <c r="I949" s="672">
        <v>0</v>
      </c>
      <c r="J949" s="672">
        <v>0</v>
      </c>
      <c r="K949" s="672">
        <v>0</v>
      </c>
      <c r="L949" s="672">
        <v>0</v>
      </c>
    </row>
    <row r="950" spans="2:12">
      <c r="B950" s="180" t="s">
        <v>1083</v>
      </c>
      <c r="C950" s="180" t="s">
        <v>1084</v>
      </c>
      <c r="D950" s="180" t="s">
        <v>993</v>
      </c>
      <c r="E950" s="180" t="s">
        <v>975</v>
      </c>
      <c r="F950" s="672">
        <v>-287.98</v>
      </c>
      <c r="G950" s="672">
        <v>0</v>
      </c>
      <c r="H950" s="672">
        <v>0</v>
      </c>
      <c r="I950" s="672">
        <v>0</v>
      </c>
      <c r="J950" s="672">
        <v>0</v>
      </c>
      <c r="K950" s="672">
        <v>0</v>
      </c>
      <c r="L950" s="672">
        <v>-287.98</v>
      </c>
    </row>
    <row r="951" spans="2:12">
      <c r="B951" s="180" t="s">
        <v>1482</v>
      </c>
      <c r="C951" s="180" t="s">
        <v>1455</v>
      </c>
      <c r="D951" s="180" t="s">
        <v>993</v>
      </c>
      <c r="E951" s="180" t="s">
        <v>990</v>
      </c>
      <c r="F951" s="672">
        <v>0</v>
      </c>
      <c r="G951" s="672">
        <v>0</v>
      </c>
      <c r="H951" s="672">
        <v>0</v>
      </c>
      <c r="I951" s="672">
        <v>0</v>
      </c>
      <c r="J951" s="672">
        <v>0</v>
      </c>
      <c r="K951" s="672">
        <v>0</v>
      </c>
      <c r="L951" s="672">
        <v>0</v>
      </c>
    </row>
    <row r="952" spans="2:12">
      <c r="B952" s="180" t="s">
        <v>1665</v>
      </c>
      <c r="C952" s="180" t="s">
        <v>1427</v>
      </c>
      <c r="D952" s="180" t="s">
        <v>993</v>
      </c>
      <c r="E952" s="180" t="s">
        <v>980</v>
      </c>
      <c r="F952" s="672">
        <v>847100.58</v>
      </c>
      <c r="G952" s="672">
        <v>18078.14</v>
      </c>
      <c r="H952" s="672">
        <v>16819.45</v>
      </c>
      <c r="I952" s="672">
        <v>18720.78</v>
      </c>
      <c r="J952" s="672">
        <v>176372.3</v>
      </c>
      <c r="K952" s="672">
        <v>144329.51999999999</v>
      </c>
      <c r="L952" s="672">
        <v>472780.39</v>
      </c>
    </row>
    <row r="953" spans="2:12">
      <c r="B953" s="180" t="s">
        <v>1811</v>
      </c>
      <c r="C953" s="180" t="s">
        <v>1525</v>
      </c>
      <c r="D953" s="180" t="s">
        <v>993</v>
      </c>
      <c r="E953" s="180" t="s">
        <v>990</v>
      </c>
      <c r="F953" s="672">
        <v>0</v>
      </c>
      <c r="G953" s="672">
        <v>0</v>
      </c>
      <c r="H953" s="672">
        <v>0</v>
      </c>
      <c r="I953" s="672">
        <v>0</v>
      </c>
      <c r="J953" s="672">
        <v>0</v>
      </c>
      <c r="K953" s="672">
        <v>0</v>
      </c>
      <c r="L953" s="672">
        <v>0</v>
      </c>
    </row>
    <row r="954" spans="2:12">
      <c r="B954" s="180" t="s">
        <v>1903</v>
      </c>
      <c r="C954" s="180" t="s">
        <v>1904</v>
      </c>
      <c r="D954" s="180" t="s">
        <v>974</v>
      </c>
      <c r="E954" s="180" t="s">
        <v>980</v>
      </c>
      <c r="F954" s="672">
        <v>2087599.16</v>
      </c>
      <c r="G954" s="672">
        <v>48531.72</v>
      </c>
      <c r="H954" s="672">
        <v>48519.39</v>
      </c>
      <c r="I954" s="672">
        <v>48485.77</v>
      </c>
      <c r="J954" s="672">
        <v>48602.89</v>
      </c>
      <c r="K954" s="672">
        <v>379920.09</v>
      </c>
      <c r="L954" s="672">
        <v>1513539.3</v>
      </c>
    </row>
    <row r="955" spans="2:12">
      <c r="B955" s="180" t="s">
        <v>1647</v>
      </c>
      <c r="C955" s="180" t="s">
        <v>1648</v>
      </c>
      <c r="D955" s="180" t="s">
        <v>974</v>
      </c>
      <c r="E955" s="180" t="s">
        <v>980</v>
      </c>
      <c r="F955" s="672">
        <v>3215409.89</v>
      </c>
      <c r="G955" s="672">
        <v>76045.62</v>
      </c>
      <c r="H955" s="672">
        <v>76140.41</v>
      </c>
      <c r="I955" s="672">
        <v>76219.16</v>
      </c>
      <c r="J955" s="672">
        <v>89088.21</v>
      </c>
      <c r="K955" s="672">
        <v>594568.03</v>
      </c>
      <c r="L955" s="672">
        <v>2303348.46</v>
      </c>
    </row>
    <row r="956" spans="2:12">
      <c r="B956" s="180" t="s">
        <v>1905</v>
      </c>
      <c r="C956" s="180" t="s">
        <v>1906</v>
      </c>
      <c r="D956" s="180" t="s">
        <v>974</v>
      </c>
      <c r="E956" s="180" t="s">
        <v>980</v>
      </c>
      <c r="F956" s="672">
        <v>1993058.03</v>
      </c>
      <c r="G956" s="672">
        <v>46552.69</v>
      </c>
      <c r="H956" s="672">
        <v>46497.83</v>
      </c>
      <c r="I956" s="672">
        <v>46486.47</v>
      </c>
      <c r="J956" s="672">
        <v>46524.87</v>
      </c>
      <c r="K956" s="672">
        <v>365917.46</v>
      </c>
      <c r="L956" s="672">
        <v>1441078.71</v>
      </c>
    </row>
    <row r="957" spans="2:12">
      <c r="B957" s="180" t="s">
        <v>1783</v>
      </c>
      <c r="C957" s="180" t="s">
        <v>1701</v>
      </c>
      <c r="D957" s="180" t="s">
        <v>974</v>
      </c>
      <c r="E957" s="180" t="s">
        <v>990</v>
      </c>
      <c r="F957" s="672">
        <v>0</v>
      </c>
      <c r="G957" s="672">
        <v>0</v>
      </c>
      <c r="H957" s="672">
        <v>0</v>
      </c>
      <c r="I957" s="672">
        <v>0</v>
      </c>
      <c r="J957" s="672">
        <v>0</v>
      </c>
      <c r="K957" s="672">
        <v>0</v>
      </c>
      <c r="L957" s="672">
        <v>0</v>
      </c>
    </row>
    <row r="958" spans="2:12">
      <c r="B958" s="180" t="s">
        <v>1808</v>
      </c>
      <c r="C958" s="180" t="s">
        <v>1809</v>
      </c>
      <c r="D958" s="180" t="s">
        <v>974</v>
      </c>
      <c r="E958" s="180" t="s">
        <v>990</v>
      </c>
      <c r="F958" s="672">
        <v>0</v>
      </c>
      <c r="G958" s="672">
        <v>0</v>
      </c>
      <c r="H958" s="672">
        <v>0</v>
      </c>
      <c r="I958" s="672">
        <v>0</v>
      </c>
      <c r="J958" s="672">
        <v>0</v>
      </c>
      <c r="K958" s="672">
        <v>0</v>
      </c>
      <c r="L958" s="672">
        <v>0</v>
      </c>
    </row>
    <row r="959" spans="2:12">
      <c r="B959" s="180" t="s">
        <v>1776</v>
      </c>
      <c r="C959" s="180" t="s">
        <v>1009</v>
      </c>
      <c r="D959" s="180" t="s">
        <v>974</v>
      </c>
      <c r="E959" s="180" t="s">
        <v>1022</v>
      </c>
      <c r="F959" s="672">
        <v>-4044.44</v>
      </c>
      <c r="G959" s="672">
        <v>-4044.44</v>
      </c>
      <c r="H959" s="672">
        <v>0</v>
      </c>
      <c r="I959" s="672">
        <v>0</v>
      </c>
      <c r="J959" s="672">
        <v>0</v>
      </c>
      <c r="K959" s="672">
        <v>0</v>
      </c>
      <c r="L959" s="672">
        <v>0</v>
      </c>
    </row>
    <row r="960" spans="2:12">
      <c r="B960" s="180" t="s">
        <v>1301</v>
      </c>
      <c r="C960" s="180" t="s">
        <v>1302</v>
      </c>
      <c r="D960" s="180" t="s">
        <v>993</v>
      </c>
      <c r="E960" s="180" t="s">
        <v>980</v>
      </c>
      <c r="F960" s="672">
        <v>80456.87</v>
      </c>
      <c r="G960" s="672">
        <v>1986.07</v>
      </c>
      <c r="H960" s="672">
        <v>2331.31</v>
      </c>
      <c r="I960" s="672">
        <v>2308</v>
      </c>
      <c r="J960" s="672">
        <v>2434.61</v>
      </c>
      <c r="K960" s="672">
        <v>17247.96</v>
      </c>
      <c r="L960" s="672">
        <v>54148.92</v>
      </c>
    </row>
    <row r="961" spans="2:12">
      <c r="B961" s="180" t="s">
        <v>1551</v>
      </c>
      <c r="C961" s="180" t="s">
        <v>1552</v>
      </c>
      <c r="D961" s="180" t="s">
        <v>974</v>
      </c>
      <c r="E961" s="180" t="s">
        <v>980</v>
      </c>
      <c r="F961" s="672">
        <v>-35116.93</v>
      </c>
      <c r="G961" s="672">
        <v>-6999.31</v>
      </c>
      <c r="H961" s="672">
        <v>-6640.59</v>
      </c>
      <c r="I961" s="672">
        <v>-5342.02</v>
      </c>
      <c r="J961" s="672">
        <v>-4955.37</v>
      </c>
      <c r="K961" s="672">
        <v>-25994.47</v>
      </c>
      <c r="L961" s="672">
        <v>14814.83</v>
      </c>
    </row>
    <row r="962" spans="2:12">
      <c r="B962" s="180" t="s">
        <v>1907</v>
      </c>
      <c r="C962" s="180" t="s">
        <v>1185</v>
      </c>
      <c r="D962" s="180" t="s">
        <v>993</v>
      </c>
      <c r="E962" s="180" t="s">
        <v>990</v>
      </c>
      <c r="F962" s="672">
        <v>0</v>
      </c>
      <c r="G962" s="672">
        <v>0</v>
      </c>
      <c r="H962" s="672">
        <v>0</v>
      </c>
      <c r="I962" s="672">
        <v>0</v>
      </c>
      <c r="J962" s="672">
        <v>0</v>
      </c>
      <c r="K962" s="672">
        <v>0</v>
      </c>
      <c r="L962" s="672">
        <v>0</v>
      </c>
    </row>
    <row r="963" spans="2:12">
      <c r="B963" s="180" t="s">
        <v>1512</v>
      </c>
      <c r="C963" s="180" t="s">
        <v>1152</v>
      </c>
      <c r="D963" s="180" t="s">
        <v>993</v>
      </c>
      <c r="E963" s="180" t="s">
        <v>980</v>
      </c>
      <c r="F963" s="672">
        <v>292571.59000000003</v>
      </c>
      <c r="G963" s="672">
        <v>7151.2</v>
      </c>
      <c r="H963" s="672">
        <v>9259.85</v>
      </c>
      <c r="I963" s="672">
        <v>9151.66</v>
      </c>
      <c r="J963" s="672">
        <v>10392.17</v>
      </c>
      <c r="K963" s="672">
        <v>72332.929999999993</v>
      </c>
      <c r="L963" s="672">
        <v>184283.78</v>
      </c>
    </row>
    <row r="964" spans="2:12">
      <c r="B964" s="180" t="s">
        <v>1908</v>
      </c>
      <c r="C964" s="180" t="s">
        <v>1909</v>
      </c>
      <c r="D964" s="180" t="s">
        <v>974</v>
      </c>
      <c r="E964" s="180" t="s">
        <v>983</v>
      </c>
      <c r="F964" s="672">
        <v>-48847.3</v>
      </c>
      <c r="G964" s="672">
        <v>0</v>
      </c>
      <c r="H964" s="672">
        <v>0</v>
      </c>
      <c r="I964" s="672">
        <v>0</v>
      </c>
      <c r="J964" s="672">
        <v>0</v>
      </c>
      <c r="K964" s="672">
        <v>0</v>
      </c>
      <c r="L964" s="672">
        <v>-48847.3</v>
      </c>
    </row>
    <row r="965" spans="2:12">
      <c r="B965" s="180" t="s">
        <v>1182</v>
      </c>
      <c r="C965" s="180" t="s">
        <v>1183</v>
      </c>
      <c r="D965" s="180" t="s">
        <v>974</v>
      </c>
      <c r="E965" s="180" t="s">
        <v>975</v>
      </c>
      <c r="F965" s="672">
        <v>-27036.07</v>
      </c>
      <c r="G965" s="672">
        <v>0</v>
      </c>
      <c r="H965" s="672">
        <v>0</v>
      </c>
      <c r="I965" s="672">
        <v>0</v>
      </c>
      <c r="J965" s="672">
        <v>0</v>
      </c>
      <c r="K965" s="672">
        <v>0</v>
      </c>
      <c r="L965" s="672">
        <v>-27036.07</v>
      </c>
    </row>
    <row r="966" spans="2:12">
      <c r="B966" s="180" t="s">
        <v>1910</v>
      </c>
      <c r="C966" s="180" t="s">
        <v>1911</v>
      </c>
      <c r="D966" s="180" t="s">
        <v>974</v>
      </c>
      <c r="E966" s="180" t="s">
        <v>990</v>
      </c>
      <c r="F966" s="672">
        <v>0</v>
      </c>
      <c r="G966" s="672">
        <v>0</v>
      </c>
      <c r="H966" s="672">
        <v>0</v>
      </c>
      <c r="I966" s="672">
        <v>0</v>
      </c>
      <c r="J966" s="672">
        <v>0</v>
      </c>
      <c r="K966" s="672">
        <v>0</v>
      </c>
      <c r="L966" s="672">
        <v>0</v>
      </c>
    </row>
    <row r="967" spans="2:12">
      <c r="B967" s="180" t="s">
        <v>1188</v>
      </c>
      <c r="C967" s="180" t="s">
        <v>1189</v>
      </c>
      <c r="D967" s="180" t="s">
        <v>993</v>
      </c>
      <c r="E967" s="180" t="s">
        <v>990</v>
      </c>
      <c r="F967" s="672">
        <v>0</v>
      </c>
      <c r="G967" s="672">
        <v>0</v>
      </c>
      <c r="H967" s="672">
        <v>0</v>
      </c>
      <c r="I967" s="672">
        <v>0</v>
      </c>
      <c r="J967" s="672">
        <v>0</v>
      </c>
      <c r="K967" s="672">
        <v>0</v>
      </c>
      <c r="L967" s="672">
        <v>0</v>
      </c>
    </row>
    <row r="968" spans="2:12">
      <c r="B968" s="180" t="s">
        <v>1863</v>
      </c>
      <c r="C968" s="180" t="s">
        <v>1864</v>
      </c>
      <c r="D968" s="180" t="s">
        <v>974</v>
      </c>
      <c r="E968" s="180" t="s">
        <v>990</v>
      </c>
      <c r="F968" s="672">
        <v>0</v>
      </c>
      <c r="G968" s="672">
        <v>0</v>
      </c>
      <c r="H968" s="672">
        <v>0</v>
      </c>
      <c r="I968" s="672">
        <v>0</v>
      </c>
      <c r="J968" s="672">
        <v>0</v>
      </c>
      <c r="K968" s="672">
        <v>0</v>
      </c>
      <c r="L968" s="672">
        <v>0</v>
      </c>
    </row>
    <row r="969" spans="2:12">
      <c r="B969" s="180" t="s">
        <v>1715</v>
      </c>
      <c r="C969" s="180" t="s">
        <v>1716</v>
      </c>
      <c r="D969" s="180" t="s">
        <v>974</v>
      </c>
      <c r="E969" s="180" t="s">
        <v>980</v>
      </c>
      <c r="F969" s="672">
        <v>0</v>
      </c>
      <c r="G969" s="672">
        <v>0</v>
      </c>
      <c r="H969" s="672">
        <v>0.33</v>
      </c>
      <c r="I969" s="672">
        <v>-0.33</v>
      </c>
      <c r="J969" s="672">
        <v>0</v>
      </c>
      <c r="K969" s="672">
        <v>0</v>
      </c>
      <c r="L969" s="672">
        <v>0</v>
      </c>
    </row>
    <row r="970" spans="2:12">
      <c r="B970" s="180" t="s">
        <v>1727</v>
      </c>
      <c r="C970" s="180" t="s">
        <v>979</v>
      </c>
      <c r="D970" s="180" t="s">
        <v>974</v>
      </c>
      <c r="E970" s="180" t="s">
        <v>980</v>
      </c>
      <c r="F970" s="672">
        <v>443323.23</v>
      </c>
      <c r="G970" s="672">
        <v>-27023.86</v>
      </c>
      <c r="H970" s="672">
        <v>238135.4</v>
      </c>
      <c r="I970" s="672">
        <v>-282381.28000000003</v>
      </c>
      <c r="J970" s="672">
        <v>38802.589999999997</v>
      </c>
      <c r="K970" s="672">
        <v>295932.53000000003</v>
      </c>
      <c r="L970" s="672">
        <v>179857.85</v>
      </c>
    </row>
    <row r="971" spans="2:12">
      <c r="B971" s="180" t="s">
        <v>1348</v>
      </c>
      <c r="C971" s="180" t="s">
        <v>1349</v>
      </c>
      <c r="D971" s="180" t="s">
        <v>974</v>
      </c>
      <c r="E971" s="180" t="s">
        <v>990</v>
      </c>
      <c r="F971" s="672">
        <v>0</v>
      </c>
      <c r="G971" s="672">
        <v>0</v>
      </c>
      <c r="H971" s="672">
        <v>0</v>
      </c>
      <c r="I971" s="672">
        <v>0</v>
      </c>
      <c r="J971" s="672">
        <v>0</v>
      </c>
      <c r="K971" s="672">
        <v>0</v>
      </c>
      <c r="L971" s="672">
        <v>0</v>
      </c>
    </row>
    <row r="972" spans="2:12">
      <c r="B972" s="180" t="s">
        <v>1207</v>
      </c>
      <c r="C972" s="180" t="s">
        <v>1208</v>
      </c>
      <c r="D972" s="180" t="s">
        <v>993</v>
      </c>
      <c r="E972" s="180" t="s">
        <v>980</v>
      </c>
      <c r="F972" s="672">
        <v>611802.78</v>
      </c>
      <c r="G972" s="672">
        <v>11771.46</v>
      </c>
      <c r="H972" s="672">
        <v>14178.62</v>
      </c>
      <c r="I972" s="672">
        <v>16412.39</v>
      </c>
      <c r="J972" s="672">
        <v>16395.07</v>
      </c>
      <c r="K972" s="672">
        <v>156459.91</v>
      </c>
      <c r="L972" s="672">
        <v>396585.33</v>
      </c>
    </row>
    <row r="973" spans="2:12">
      <c r="B973" s="180" t="s">
        <v>1912</v>
      </c>
      <c r="C973" s="180" t="s">
        <v>1412</v>
      </c>
      <c r="D973" s="180" t="s">
        <v>993</v>
      </c>
      <c r="E973" s="180" t="s">
        <v>975</v>
      </c>
      <c r="F973" s="672">
        <v>-33858.839999999997</v>
      </c>
      <c r="G973" s="672">
        <v>0</v>
      </c>
      <c r="H973" s="672">
        <v>0</v>
      </c>
      <c r="I973" s="672">
        <v>0</v>
      </c>
      <c r="J973" s="672">
        <v>0</v>
      </c>
      <c r="K973" s="672">
        <v>0</v>
      </c>
      <c r="L973" s="672">
        <v>-33858.839999999997</v>
      </c>
    </row>
    <row r="974" spans="2:12">
      <c r="B974" s="180" t="s">
        <v>1913</v>
      </c>
      <c r="C974" s="180" t="s">
        <v>1914</v>
      </c>
      <c r="D974" s="180" t="s">
        <v>974</v>
      </c>
      <c r="E974" s="180" t="s">
        <v>980</v>
      </c>
      <c r="F974" s="672">
        <v>2762.8</v>
      </c>
      <c r="G974" s="672">
        <v>-321.83999999999997</v>
      </c>
      <c r="H974" s="672">
        <v>-286.51</v>
      </c>
      <c r="I974" s="672">
        <v>63.16</v>
      </c>
      <c r="J974" s="672">
        <v>802.04</v>
      </c>
      <c r="K974" s="672">
        <v>-25.92</v>
      </c>
      <c r="L974" s="672">
        <v>2531.87</v>
      </c>
    </row>
    <row r="975" spans="2:12">
      <c r="B975" s="180" t="s">
        <v>1760</v>
      </c>
      <c r="C975" s="180" t="s">
        <v>1620</v>
      </c>
      <c r="D975" s="180" t="s">
        <v>993</v>
      </c>
      <c r="E975" s="180" t="s">
        <v>980</v>
      </c>
      <c r="F975" s="672">
        <v>695339.51</v>
      </c>
      <c r="G975" s="672">
        <v>17798.32</v>
      </c>
      <c r="H975" s="672">
        <v>19864.169999999998</v>
      </c>
      <c r="I975" s="672">
        <v>35488.01</v>
      </c>
      <c r="J975" s="672">
        <v>33418.39</v>
      </c>
      <c r="K975" s="672">
        <v>118739.95</v>
      </c>
      <c r="L975" s="672">
        <v>470030.67</v>
      </c>
    </row>
    <row r="976" spans="2:12">
      <c r="B976" s="180" t="s">
        <v>1881</v>
      </c>
      <c r="C976" s="180" t="s">
        <v>1094</v>
      </c>
      <c r="D976" s="180" t="s">
        <v>974</v>
      </c>
      <c r="E976" s="180" t="s">
        <v>975</v>
      </c>
      <c r="F976" s="672">
        <v>302.85000000000002</v>
      </c>
      <c r="G976" s="672">
        <v>0</v>
      </c>
      <c r="H976" s="672">
        <v>0</v>
      </c>
      <c r="I976" s="672">
        <v>0</v>
      </c>
      <c r="J976" s="672">
        <v>0</v>
      </c>
      <c r="K976" s="672">
        <v>-10</v>
      </c>
      <c r="L976" s="672">
        <v>312.85000000000002</v>
      </c>
    </row>
    <row r="977" spans="2:12">
      <c r="B977" s="180" t="s">
        <v>1915</v>
      </c>
      <c r="C977" s="180" t="s">
        <v>1916</v>
      </c>
      <c r="D977" s="180" t="s">
        <v>974</v>
      </c>
      <c r="E977" s="180" t="s">
        <v>980</v>
      </c>
      <c r="F977" s="672">
        <v>6234.69</v>
      </c>
      <c r="G977" s="672">
        <v>-1505.18</v>
      </c>
      <c r="H977" s="672">
        <v>-4424.26</v>
      </c>
      <c r="I977" s="672">
        <v>8537.6</v>
      </c>
      <c r="J977" s="672">
        <v>3626.53</v>
      </c>
      <c r="K977" s="672">
        <v>13408.89</v>
      </c>
      <c r="L977" s="672">
        <v>-13408.89</v>
      </c>
    </row>
    <row r="978" spans="2:12">
      <c r="B978" s="180" t="s">
        <v>1698</v>
      </c>
      <c r="C978" s="180" t="s">
        <v>1699</v>
      </c>
      <c r="D978" s="180" t="s">
        <v>974</v>
      </c>
      <c r="E978" s="180" t="s">
        <v>975</v>
      </c>
      <c r="F978" s="672">
        <v>-139411.69</v>
      </c>
      <c r="G978" s="672">
        <v>0</v>
      </c>
      <c r="H978" s="672">
        <v>0</v>
      </c>
      <c r="I978" s="672">
        <v>0</v>
      </c>
      <c r="J978" s="672">
        <v>0</v>
      </c>
      <c r="K978" s="672">
        <v>48433.88</v>
      </c>
      <c r="L978" s="672">
        <v>-187845.57</v>
      </c>
    </row>
    <row r="979" spans="2:12">
      <c r="B979" s="180" t="s">
        <v>1708</v>
      </c>
      <c r="C979" s="180" t="s">
        <v>1277</v>
      </c>
      <c r="D979" s="180" t="s">
        <v>993</v>
      </c>
      <c r="E979" s="180" t="s">
        <v>980</v>
      </c>
      <c r="F979" s="672">
        <v>25312.51</v>
      </c>
      <c r="G979" s="672">
        <v>537.24</v>
      </c>
      <c r="H979" s="672">
        <v>569.28</v>
      </c>
      <c r="I979" s="672">
        <v>734.86</v>
      </c>
      <c r="J979" s="672">
        <v>696.18</v>
      </c>
      <c r="K979" s="672">
        <v>4639.9399999999996</v>
      </c>
      <c r="L979" s="672">
        <v>18135.009999999998</v>
      </c>
    </row>
    <row r="980" spans="2:12">
      <c r="B980" s="180" t="s">
        <v>1917</v>
      </c>
      <c r="C980" s="180" t="s">
        <v>1735</v>
      </c>
      <c r="D980" s="180" t="s">
        <v>993</v>
      </c>
      <c r="E980" s="180" t="s">
        <v>975</v>
      </c>
      <c r="F980" s="672">
        <v>-1039.4100000000001</v>
      </c>
      <c r="G980" s="672">
        <v>0</v>
      </c>
      <c r="H980" s="672">
        <v>0</v>
      </c>
      <c r="I980" s="672">
        <v>0</v>
      </c>
      <c r="J980" s="672">
        <v>0</v>
      </c>
      <c r="K980" s="672">
        <v>-1039.4100000000001</v>
      </c>
      <c r="L980" s="672">
        <v>0</v>
      </c>
    </row>
    <row r="981" spans="2:12">
      <c r="B981" s="180" t="s">
        <v>1722</v>
      </c>
      <c r="C981" s="180" t="s">
        <v>1723</v>
      </c>
      <c r="D981" s="180" t="s">
        <v>974</v>
      </c>
      <c r="E981" s="180" t="s">
        <v>990</v>
      </c>
      <c r="F981" s="672">
        <v>0</v>
      </c>
      <c r="G981" s="672">
        <v>0</v>
      </c>
      <c r="H981" s="672">
        <v>0</v>
      </c>
      <c r="I981" s="672">
        <v>0</v>
      </c>
      <c r="J981" s="672">
        <v>0</v>
      </c>
      <c r="K981" s="672">
        <v>0</v>
      </c>
      <c r="L981" s="672">
        <v>0</v>
      </c>
    </row>
    <row r="982" spans="2:12">
      <c r="B982" s="180" t="s">
        <v>1440</v>
      </c>
      <c r="C982" s="180" t="s">
        <v>1441</v>
      </c>
      <c r="D982" s="180" t="s">
        <v>974</v>
      </c>
      <c r="E982" s="180" t="s">
        <v>990</v>
      </c>
      <c r="F982" s="672">
        <v>0</v>
      </c>
      <c r="G982" s="672">
        <v>0</v>
      </c>
      <c r="H982" s="672">
        <v>0</v>
      </c>
      <c r="I982" s="672">
        <v>0</v>
      </c>
      <c r="J982" s="672">
        <v>0</v>
      </c>
      <c r="K982" s="672">
        <v>0</v>
      </c>
      <c r="L982" s="672">
        <v>0</v>
      </c>
    </row>
    <row r="983" spans="2:12">
      <c r="B983" s="180" t="s">
        <v>1818</v>
      </c>
      <c r="C983" s="180" t="s">
        <v>1819</v>
      </c>
      <c r="D983" s="180" t="s">
        <v>974</v>
      </c>
      <c r="E983" s="180" t="s">
        <v>990</v>
      </c>
      <c r="F983" s="672">
        <v>0</v>
      </c>
      <c r="G983" s="672">
        <v>0</v>
      </c>
      <c r="H983" s="672">
        <v>0</v>
      </c>
      <c r="I983" s="672">
        <v>0</v>
      </c>
      <c r="J983" s="672">
        <v>0</v>
      </c>
      <c r="K983" s="672">
        <v>0</v>
      </c>
      <c r="L983" s="672">
        <v>0</v>
      </c>
    </row>
    <row r="984" spans="2:12">
      <c r="B984" s="180" t="s">
        <v>1897</v>
      </c>
      <c r="C984" s="180" t="s">
        <v>1488</v>
      </c>
      <c r="D984" s="180" t="s">
        <v>974</v>
      </c>
      <c r="E984" s="180" t="s">
        <v>990</v>
      </c>
      <c r="F984" s="672">
        <v>0</v>
      </c>
      <c r="G984" s="672">
        <v>0</v>
      </c>
      <c r="H984" s="672">
        <v>0</v>
      </c>
      <c r="I984" s="672">
        <v>0</v>
      </c>
      <c r="J984" s="672">
        <v>0</v>
      </c>
      <c r="K984" s="672">
        <v>0</v>
      </c>
      <c r="L984" s="672">
        <v>0</v>
      </c>
    </row>
    <row r="985" spans="2:12">
      <c r="B985" s="180" t="s">
        <v>1918</v>
      </c>
      <c r="C985" s="180" t="s">
        <v>1488</v>
      </c>
      <c r="D985" s="180" t="s">
        <v>974</v>
      </c>
      <c r="E985" s="180" t="s">
        <v>980</v>
      </c>
      <c r="F985" s="672">
        <v>-1114.04</v>
      </c>
      <c r="G985" s="672">
        <v>5</v>
      </c>
      <c r="H985" s="672">
        <v>5</v>
      </c>
      <c r="I985" s="672">
        <v>25</v>
      </c>
      <c r="J985" s="672">
        <v>0</v>
      </c>
      <c r="K985" s="672">
        <v>-1149.04</v>
      </c>
      <c r="L985" s="672">
        <v>0</v>
      </c>
    </row>
    <row r="986" spans="2:12">
      <c r="B986" s="180" t="s">
        <v>1915</v>
      </c>
      <c r="C986" s="180" t="s">
        <v>1916</v>
      </c>
      <c r="D986" s="180" t="s">
        <v>974</v>
      </c>
      <c r="E986" s="180" t="s">
        <v>990</v>
      </c>
      <c r="F986" s="672">
        <v>0</v>
      </c>
      <c r="G986" s="672">
        <v>0</v>
      </c>
      <c r="H986" s="672">
        <v>0</v>
      </c>
      <c r="I986" s="672">
        <v>0</v>
      </c>
      <c r="J986" s="672">
        <v>0</v>
      </c>
      <c r="K986" s="672">
        <v>0</v>
      </c>
      <c r="L986" s="672">
        <v>0</v>
      </c>
    </row>
    <row r="987" spans="2:12">
      <c r="B987" s="180" t="s">
        <v>1331</v>
      </c>
      <c r="C987" s="180" t="s">
        <v>1009</v>
      </c>
      <c r="D987" s="180" t="s">
        <v>974</v>
      </c>
      <c r="E987" s="180" t="s">
        <v>975</v>
      </c>
      <c r="F987" s="672">
        <v>154274.16</v>
      </c>
      <c r="G987" s="672">
        <v>0</v>
      </c>
      <c r="H987" s="672">
        <v>0</v>
      </c>
      <c r="I987" s="672">
        <v>0</v>
      </c>
      <c r="J987" s="672">
        <v>0</v>
      </c>
      <c r="K987" s="672">
        <v>24946.66</v>
      </c>
      <c r="L987" s="672">
        <v>129327.5</v>
      </c>
    </row>
    <row r="988" spans="2:12">
      <c r="B988" s="180" t="s">
        <v>1213</v>
      </c>
      <c r="C988" s="180" t="s">
        <v>1214</v>
      </c>
      <c r="D988" s="180" t="s">
        <v>974</v>
      </c>
      <c r="E988" s="180" t="s">
        <v>975</v>
      </c>
      <c r="F988" s="672">
        <v>557.79</v>
      </c>
      <c r="G988" s="672">
        <v>0</v>
      </c>
      <c r="H988" s="672">
        <v>0.33</v>
      </c>
      <c r="I988" s="672">
        <v>0</v>
      </c>
      <c r="J988" s="672">
        <v>0</v>
      </c>
      <c r="K988" s="672">
        <v>557.46</v>
      </c>
      <c r="L988" s="672">
        <v>0</v>
      </c>
    </row>
    <row r="989" spans="2:12">
      <c r="B989" s="180" t="s">
        <v>1559</v>
      </c>
      <c r="C989" s="180" t="s">
        <v>1560</v>
      </c>
      <c r="D989" s="180" t="s">
        <v>974</v>
      </c>
      <c r="E989" s="180" t="s">
        <v>990</v>
      </c>
      <c r="F989" s="672">
        <v>0</v>
      </c>
      <c r="G989" s="672">
        <v>0</v>
      </c>
      <c r="H989" s="672">
        <v>0</v>
      </c>
      <c r="I989" s="672">
        <v>0</v>
      </c>
      <c r="J989" s="672">
        <v>0</v>
      </c>
      <c r="K989" s="672">
        <v>0</v>
      </c>
      <c r="L989" s="672">
        <v>0</v>
      </c>
    </row>
    <row r="990" spans="2:12">
      <c r="B990" s="180" t="s">
        <v>1872</v>
      </c>
      <c r="C990" s="180" t="s">
        <v>1302</v>
      </c>
      <c r="D990" s="180" t="s">
        <v>993</v>
      </c>
      <c r="E990" s="180" t="s">
        <v>975</v>
      </c>
      <c r="F990" s="672">
        <v>0</v>
      </c>
      <c r="G990" s="672">
        <v>0</v>
      </c>
      <c r="H990" s="672">
        <v>0</v>
      </c>
      <c r="I990" s="672">
        <v>0</v>
      </c>
      <c r="J990" s="672">
        <v>0</v>
      </c>
      <c r="K990" s="672">
        <v>0</v>
      </c>
      <c r="L990" s="672">
        <v>0</v>
      </c>
    </row>
    <row r="991" spans="2:12">
      <c r="B991" s="180" t="s">
        <v>1919</v>
      </c>
      <c r="C991" s="180" t="s">
        <v>1920</v>
      </c>
      <c r="D991" s="180" t="s">
        <v>974</v>
      </c>
      <c r="E991" s="180" t="s">
        <v>980</v>
      </c>
      <c r="F991" s="672">
        <v>-14590.49</v>
      </c>
      <c r="G991" s="672">
        <v>146.66999999999999</v>
      </c>
      <c r="H991" s="672">
        <v>889.48</v>
      </c>
      <c r="I991" s="672">
        <v>709.24</v>
      </c>
      <c r="J991" s="672">
        <v>-18312.36</v>
      </c>
      <c r="K991" s="672">
        <v>-631.95000000000005</v>
      </c>
      <c r="L991" s="672">
        <v>2608.4299999999998</v>
      </c>
    </row>
    <row r="992" spans="2:12">
      <c r="B992" s="180" t="s">
        <v>1068</v>
      </c>
      <c r="C992" s="180" t="s">
        <v>1069</v>
      </c>
      <c r="D992" s="180" t="s">
        <v>993</v>
      </c>
      <c r="E992" s="180" t="s">
        <v>990</v>
      </c>
      <c r="F992" s="672">
        <v>0</v>
      </c>
      <c r="G992" s="672">
        <v>0</v>
      </c>
      <c r="H992" s="672">
        <v>0</v>
      </c>
      <c r="I992" s="672">
        <v>0</v>
      </c>
      <c r="J992" s="672">
        <v>0</v>
      </c>
      <c r="K992" s="672">
        <v>0</v>
      </c>
      <c r="L992" s="672">
        <v>0</v>
      </c>
    </row>
    <row r="993" spans="2:12">
      <c r="B993" s="180" t="s">
        <v>1386</v>
      </c>
      <c r="C993" s="180" t="s">
        <v>1387</v>
      </c>
      <c r="D993" s="180" t="s">
        <v>974</v>
      </c>
      <c r="E993" s="180" t="s">
        <v>980</v>
      </c>
      <c r="F993" s="672">
        <v>42447.71</v>
      </c>
      <c r="G993" s="672">
        <v>-9140.02</v>
      </c>
      <c r="H993" s="672">
        <v>24491.29</v>
      </c>
      <c r="I993" s="672">
        <v>-2062.15</v>
      </c>
      <c r="J993" s="672">
        <v>-5659.18</v>
      </c>
      <c r="K993" s="672">
        <v>30886.400000000001</v>
      </c>
      <c r="L993" s="672">
        <v>3931.37</v>
      </c>
    </row>
    <row r="994" spans="2:12">
      <c r="B994" s="180" t="s">
        <v>1375</v>
      </c>
      <c r="C994" s="180" t="s">
        <v>1376</v>
      </c>
      <c r="D994" s="180" t="s">
        <v>974</v>
      </c>
      <c r="E994" s="180" t="s">
        <v>990</v>
      </c>
      <c r="F994" s="672">
        <v>5.0599999999999996</v>
      </c>
      <c r="G994" s="672">
        <v>0</v>
      </c>
      <c r="H994" s="672">
        <v>0</v>
      </c>
      <c r="I994" s="672">
        <v>0</v>
      </c>
      <c r="J994" s="672">
        <v>0</v>
      </c>
      <c r="K994" s="672">
        <v>0</v>
      </c>
      <c r="L994" s="672">
        <v>5.0599999999999996</v>
      </c>
    </row>
    <row r="995" spans="2:12">
      <c r="B995" s="180" t="s">
        <v>1251</v>
      </c>
      <c r="C995" s="180" t="s">
        <v>1252</v>
      </c>
      <c r="D995" s="180" t="s">
        <v>974</v>
      </c>
      <c r="E995" s="180" t="s">
        <v>975</v>
      </c>
      <c r="F995" s="672">
        <v>25282.05</v>
      </c>
      <c r="G995" s="672">
        <v>0</v>
      </c>
      <c r="H995" s="672">
        <v>0</v>
      </c>
      <c r="I995" s="672">
        <v>0</v>
      </c>
      <c r="J995" s="672">
        <v>0</v>
      </c>
      <c r="K995" s="672">
        <v>24822.12</v>
      </c>
      <c r="L995" s="672">
        <v>459.93</v>
      </c>
    </row>
    <row r="996" spans="2:12">
      <c r="B996" s="180" t="s">
        <v>1304</v>
      </c>
      <c r="C996" s="180" t="s">
        <v>1305</v>
      </c>
      <c r="D996" s="180" t="s">
        <v>974</v>
      </c>
      <c r="E996" s="180" t="s">
        <v>980</v>
      </c>
      <c r="F996" s="672">
        <v>22431.32</v>
      </c>
      <c r="G996" s="672">
        <v>-5892.95</v>
      </c>
      <c r="H996" s="672">
        <v>48953.37</v>
      </c>
      <c r="I996" s="672">
        <v>-13207.04</v>
      </c>
      <c r="J996" s="672">
        <v>-1546.71</v>
      </c>
      <c r="K996" s="672">
        <v>-3499.77</v>
      </c>
      <c r="L996" s="672">
        <v>-2375.58</v>
      </c>
    </row>
    <row r="997" spans="2:12">
      <c r="B997" s="180" t="s">
        <v>1327</v>
      </c>
      <c r="C997" s="180" t="s">
        <v>1269</v>
      </c>
      <c r="D997" s="180" t="s">
        <v>974</v>
      </c>
      <c r="E997" s="180" t="s">
        <v>980</v>
      </c>
      <c r="F997" s="672">
        <v>-1839404.48</v>
      </c>
      <c r="G997" s="672">
        <v>53157.38</v>
      </c>
      <c r="H997" s="672">
        <v>1641.93</v>
      </c>
      <c r="I997" s="672">
        <v>-2169.4299999999998</v>
      </c>
      <c r="J997" s="672">
        <v>-549.30999999999995</v>
      </c>
      <c r="K997" s="672">
        <v>247396.67</v>
      </c>
      <c r="L997" s="672">
        <v>-2138881.7200000002</v>
      </c>
    </row>
    <row r="998" spans="2:12">
      <c r="B998" s="180" t="s">
        <v>1890</v>
      </c>
      <c r="C998" s="180" t="s">
        <v>1067</v>
      </c>
      <c r="D998" s="180" t="s">
        <v>993</v>
      </c>
      <c r="E998" s="180" t="s">
        <v>980</v>
      </c>
      <c r="F998" s="672">
        <v>558862.14</v>
      </c>
      <c r="G998" s="672">
        <v>9906.3700000000008</v>
      </c>
      <c r="H998" s="672">
        <v>11181.77</v>
      </c>
      <c r="I998" s="672">
        <v>9470.7199999999993</v>
      </c>
      <c r="J998" s="672">
        <v>7306.88</v>
      </c>
      <c r="K998" s="672">
        <v>111432.11</v>
      </c>
      <c r="L998" s="672">
        <v>409564.29</v>
      </c>
    </row>
    <row r="999" spans="2:12">
      <c r="B999" s="180" t="s">
        <v>1606</v>
      </c>
      <c r="C999" s="180" t="s">
        <v>1607</v>
      </c>
      <c r="D999" s="180" t="s">
        <v>974</v>
      </c>
      <c r="E999" s="180" t="s">
        <v>990</v>
      </c>
      <c r="F999" s="672">
        <v>0</v>
      </c>
      <c r="G999" s="672">
        <v>0</v>
      </c>
      <c r="H999" s="672">
        <v>0</v>
      </c>
      <c r="I999" s="672">
        <v>0</v>
      </c>
      <c r="J999" s="672">
        <v>0</v>
      </c>
      <c r="K999" s="672">
        <v>0</v>
      </c>
      <c r="L999" s="672">
        <v>0</v>
      </c>
    </row>
    <row r="1000" spans="2:12">
      <c r="B1000" s="180" t="s">
        <v>1259</v>
      </c>
      <c r="C1000" s="180" t="s">
        <v>1260</v>
      </c>
      <c r="D1000" s="180" t="s">
        <v>974</v>
      </c>
      <c r="E1000" s="180" t="s">
        <v>975</v>
      </c>
      <c r="F1000" s="672">
        <v>579.79</v>
      </c>
      <c r="G1000" s="672">
        <v>0</v>
      </c>
      <c r="H1000" s="672">
        <v>0</v>
      </c>
      <c r="I1000" s="672">
        <v>0</v>
      </c>
      <c r="J1000" s="672">
        <v>0</v>
      </c>
      <c r="K1000" s="672">
        <v>0</v>
      </c>
      <c r="L1000" s="672">
        <v>579.79</v>
      </c>
    </row>
    <row r="1001" spans="2:12">
      <c r="B1001" s="180" t="s">
        <v>1359</v>
      </c>
      <c r="C1001" s="180" t="s">
        <v>1021</v>
      </c>
      <c r="D1001" s="180" t="s">
        <v>993</v>
      </c>
      <c r="E1001" s="180" t="s">
        <v>990</v>
      </c>
      <c r="F1001" s="672">
        <v>0</v>
      </c>
      <c r="G1001" s="672">
        <v>0</v>
      </c>
      <c r="H1001" s="672">
        <v>0</v>
      </c>
      <c r="I1001" s="672">
        <v>0</v>
      </c>
      <c r="J1001" s="672">
        <v>0</v>
      </c>
      <c r="K1001" s="672">
        <v>0</v>
      </c>
      <c r="L1001" s="672">
        <v>0</v>
      </c>
    </row>
    <row r="1002" spans="2:12">
      <c r="B1002" s="180" t="s">
        <v>1921</v>
      </c>
      <c r="C1002" s="180" t="s">
        <v>1427</v>
      </c>
      <c r="D1002" s="180" t="s">
        <v>993</v>
      </c>
      <c r="E1002" s="180" t="s">
        <v>975</v>
      </c>
      <c r="F1002" s="672">
        <v>-6774.98</v>
      </c>
      <c r="G1002" s="672">
        <v>0</v>
      </c>
      <c r="H1002" s="672">
        <v>0</v>
      </c>
      <c r="I1002" s="672">
        <v>0</v>
      </c>
      <c r="J1002" s="672">
        <v>0</v>
      </c>
      <c r="K1002" s="672">
        <v>0</v>
      </c>
      <c r="L1002" s="672">
        <v>-6774.98</v>
      </c>
    </row>
    <row r="1003" spans="2:12">
      <c r="B1003" s="180" t="s">
        <v>1507</v>
      </c>
      <c r="C1003" s="180" t="s">
        <v>1508</v>
      </c>
      <c r="D1003" s="180" t="s">
        <v>974</v>
      </c>
      <c r="E1003" s="180" t="s">
        <v>990</v>
      </c>
      <c r="F1003" s="672">
        <v>0</v>
      </c>
      <c r="G1003" s="672">
        <v>0</v>
      </c>
      <c r="H1003" s="672">
        <v>0</v>
      </c>
      <c r="I1003" s="672">
        <v>0</v>
      </c>
      <c r="J1003" s="672">
        <v>0</v>
      </c>
      <c r="K1003" s="672">
        <v>0</v>
      </c>
      <c r="L1003" s="672">
        <v>0</v>
      </c>
    </row>
    <row r="1004" spans="2:12">
      <c r="B1004" s="180" t="s">
        <v>1282</v>
      </c>
      <c r="C1004" s="180" t="s">
        <v>1062</v>
      </c>
      <c r="D1004" s="180" t="s">
        <v>993</v>
      </c>
      <c r="E1004" s="180" t="s">
        <v>990</v>
      </c>
      <c r="F1004" s="672">
        <v>0</v>
      </c>
      <c r="G1004" s="672">
        <v>0</v>
      </c>
      <c r="H1004" s="672">
        <v>0</v>
      </c>
      <c r="I1004" s="672">
        <v>0</v>
      </c>
      <c r="J1004" s="672">
        <v>0</v>
      </c>
      <c r="K1004" s="672">
        <v>0</v>
      </c>
      <c r="L1004" s="672">
        <v>0</v>
      </c>
    </row>
    <row r="1005" spans="2:12">
      <c r="B1005" s="180" t="s">
        <v>1245</v>
      </c>
      <c r="C1005" s="180" t="s">
        <v>1246</v>
      </c>
      <c r="D1005" s="180" t="s">
        <v>974</v>
      </c>
      <c r="E1005" s="180" t="s">
        <v>990</v>
      </c>
      <c r="F1005" s="672">
        <v>0</v>
      </c>
      <c r="G1005" s="672">
        <v>0</v>
      </c>
      <c r="H1005" s="672">
        <v>0</v>
      </c>
      <c r="I1005" s="672">
        <v>0</v>
      </c>
      <c r="J1005" s="672">
        <v>0</v>
      </c>
      <c r="K1005" s="672">
        <v>0</v>
      </c>
      <c r="L1005" s="672">
        <v>0</v>
      </c>
    </row>
    <row r="1006" spans="2:12">
      <c r="B1006" s="180" t="s">
        <v>1445</v>
      </c>
      <c r="C1006" s="180" t="s">
        <v>1026</v>
      </c>
      <c r="D1006" s="180" t="s">
        <v>993</v>
      </c>
      <c r="E1006" s="180" t="s">
        <v>980</v>
      </c>
      <c r="F1006" s="672">
        <v>15493903.77</v>
      </c>
      <c r="G1006" s="672">
        <v>323723.46000000002</v>
      </c>
      <c r="H1006" s="672">
        <v>400056.04</v>
      </c>
      <c r="I1006" s="672">
        <v>307704.94</v>
      </c>
      <c r="J1006" s="672">
        <v>434789.47</v>
      </c>
      <c r="K1006" s="672">
        <v>3303346.67</v>
      </c>
      <c r="L1006" s="672">
        <v>10724283.189999999</v>
      </c>
    </row>
    <row r="1007" spans="2:12">
      <c r="B1007" s="180" t="s">
        <v>1912</v>
      </c>
      <c r="C1007" s="180" t="s">
        <v>1412</v>
      </c>
      <c r="D1007" s="180" t="s">
        <v>993</v>
      </c>
      <c r="E1007" s="180" t="s">
        <v>990</v>
      </c>
      <c r="F1007" s="672">
        <v>0</v>
      </c>
      <c r="G1007" s="672">
        <v>0</v>
      </c>
      <c r="H1007" s="672">
        <v>0</v>
      </c>
      <c r="I1007" s="672">
        <v>0</v>
      </c>
      <c r="J1007" s="672">
        <v>0</v>
      </c>
      <c r="K1007" s="672">
        <v>0</v>
      </c>
      <c r="L1007" s="672">
        <v>0</v>
      </c>
    </row>
    <row r="1008" spans="2:12">
      <c r="B1008" s="180" t="s">
        <v>1678</v>
      </c>
      <c r="C1008" s="180" t="s">
        <v>992</v>
      </c>
      <c r="D1008" s="180" t="s">
        <v>993</v>
      </c>
      <c r="E1008" s="180" t="s">
        <v>990</v>
      </c>
      <c r="F1008" s="672">
        <v>0</v>
      </c>
      <c r="G1008" s="672">
        <v>0</v>
      </c>
      <c r="H1008" s="672">
        <v>0</v>
      </c>
      <c r="I1008" s="672">
        <v>0</v>
      </c>
      <c r="J1008" s="672">
        <v>0</v>
      </c>
      <c r="K1008" s="672">
        <v>0</v>
      </c>
      <c r="L1008" s="672">
        <v>0</v>
      </c>
    </row>
    <row r="1009" spans="2:12">
      <c r="B1009" s="180" t="s">
        <v>1757</v>
      </c>
      <c r="C1009" s="180" t="s">
        <v>1758</v>
      </c>
      <c r="D1009" s="180" t="s">
        <v>974</v>
      </c>
      <c r="E1009" s="180" t="s">
        <v>980</v>
      </c>
      <c r="F1009" s="672">
        <v>-8922.64</v>
      </c>
      <c r="G1009" s="672">
        <v>-418.95</v>
      </c>
      <c r="H1009" s="672">
        <v>1914.97</v>
      </c>
      <c r="I1009" s="672">
        <v>-1419.24</v>
      </c>
      <c r="J1009" s="672">
        <v>-663.14</v>
      </c>
      <c r="K1009" s="672">
        <v>1897.45</v>
      </c>
      <c r="L1009" s="672">
        <v>-10233.73</v>
      </c>
    </row>
    <row r="1010" spans="2:12">
      <c r="B1010" s="180" t="s">
        <v>1256</v>
      </c>
      <c r="C1010" s="180" t="s">
        <v>1030</v>
      </c>
      <c r="D1010" s="180" t="s">
        <v>993</v>
      </c>
      <c r="E1010" s="180" t="s">
        <v>975</v>
      </c>
      <c r="F1010" s="672">
        <v>-29392.06</v>
      </c>
      <c r="G1010" s="672">
        <v>0</v>
      </c>
      <c r="H1010" s="672">
        <v>0</v>
      </c>
      <c r="I1010" s="672">
        <v>0</v>
      </c>
      <c r="J1010" s="672">
        <v>0</v>
      </c>
      <c r="K1010" s="672">
        <v>-13632.57</v>
      </c>
      <c r="L1010" s="672">
        <v>-15759.49</v>
      </c>
    </row>
    <row r="1011" spans="2:12">
      <c r="B1011" s="180" t="s">
        <v>1922</v>
      </c>
      <c r="C1011" s="180" t="s">
        <v>1923</v>
      </c>
      <c r="D1011" s="180" t="s">
        <v>974</v>
      </c>
      <c r="E1011" s="180" t="s">
        <v>980</v>
      </c>
      <c r="F1011" s="672">
        <v>2467159.02</v>
      </c>
      <c r="G1011" s="672">
        <v>57733.15</v>
      </c>
      <c r="H1011" s="672">
        <v>57821.75</v>
      </c>
      <c r="I1011" s="672">
        <v>57552.61</v>
      </c>
      <c r="J1011" s="672">
        <v>57185.68</v>
      </c>
      <c r="K1011" s="672">
        <v>448606.49</v>
      </c>
      <c r="L1011" s="672">
        <v>1788259.34</v>
      </c>
    </row>
    <row r="1012" spans="2:12">
      <c r="B1012" s="180" t="s">
        <v>1924</v>
      </c>
      <c r="C1012" s="180" t="s">
        <v>1500</v>
      </c>
      <c r="D1012" s="180" t="s">
        <v>993</v>
      </c>
      <c r="E1012" s="180" t="s">
        <v>990</v>
      </c>
      <c r="F1012" s="672">
        <v>0</v>
      </c>
      <c r="G1012" s="672">
        <v>0</v>
      </c>
      <c r="H1012" s="672">
        <v>0</v>
      </c>
      <c r="I1012" s="672">
        <v>0</v>
      </c>
      <c r="J1012" s="672">
        <v>0</v>
      </c>
      <c r="K1012" s="672">
        <v>0</v>
      </c>
      <c r="L1012" s="672">
        <v>0</v>
      </c>
    </row>
    <row r="1013" spans="2:12">
      <c r="B1013" s="180" t="s">
        <v>1891</v>
      </c>
      <c r="C1013" s="180" t="s">
        <v>1459</v>
      </c>
      <c r="D1013" s="180" t="s">
        <v>993</v>
      </c>
      <c r="E1013" s="180" t="s">
        <v>980</v>
      </c>
      <c r="F1013" s="672">
        <v>49231.45</v>
      </c>
      <c r="G1013" s="672">
        <v>1187.93</v>
      </c>
      <c r="H1013" s="672">
        <v>1264.3800000000001</v>
      </c>
      <c r="I1013" s="672">
        <v>1392.58</v>
      </c>
      <c r="J1013" s="672">
        <v>1277.3599999999999</v>
      </c>
      <c r="K1013" s="672">
        <v>8033.93</v>
      </c>
      <c r="L1013" s="672">
        <v>36075.269999999997</v>
      </c>
    </row>
    <row r="1014" spans="2:12">
      <c r="B1014" s="180" t="s">
        <v>1876</v>
      </c>
      <c r="C1014" s="180" t="s">
        <v>1877</v>
      </c>
      <c r="D1014" s="180" t="s">
        <v>974</v>
      </c>
      <c r="E1014" s="180" t="s">
        <v>975</v>
      </c>
      <c r="F1014" s="672">
        <v>11131.87</v>
      </c>
      <c r="G1014" s="672">
        <v>0</v>
      </c>
      <c r="H1014" s="672">
        <v>20</v>
      </c>
      <c r="I1014" s="672">
        <v>0</v>
      </c>
      <c r="J1014" s="672">
        <v>0</v>
      </c>
      <c r="K1014" s="672">
        <v>0</v>
      </c>
      <c r="L1014" s="672">
        <v>11111.87</v>
      </c>
    </row>
    <row r="1015" spans="2:12">
      <c r="B1015" s="180" t="s">
        <v>1198</v>
      </c>
      <c r="C1015" s="180" t="s">
        <v>1199</v>
      </c>
      <c r="D1015" s="180" t="s">
        <v>993</v>
      </c>
      <c r="E1015" s="180" t="s">
        <v>980</v>
      </c>
      <c r="F1015" s="672">
        <v>1227436.22</v>
      </c>
      <c r="G1015" s="672">
        <v>26024.84</v>
      </c>
      <c r="H1015" s="672">
        <v>49292.93</v>
      </c>
      <c r="I1015" s="672">
        <v>53910.61</v>
      </c>
      <c r="J1015" s="672">
        <v>0</v>
      </c>
      <c r="K1015" s="672">
        <v>288013.92</v>
      </c>
      <c r="L1015" s="672">
        <v>810193.92000000004</v>
      </c>
    </row>
    <row r="1016" spans="2:12">
      <c r="B1016" s="180" t="s">
        <v>1228</v>
      </c>
      <c r="C1016" s="180" t="s">
        <v>989</v>
      </c>
      <c r="D1016" s="180" t="s">
        <v>974</v>
      </c>
      <c r="E1016" s="180" t="s">
        <v>980</v>
      </c>
      <c r="F1016" s="672">
        <v>-154730.01</v>
      </c>
      <c r="G1016" s="672">
        <v>3977.43</v>
      </c>
      <c r="H1016" s="672">
        <v>4450.1499999999996</v>
      </c>
      <c r="I1016" s="672">
        <v>3835.34</v>
      </c>
      <c r="J1016" s="672">
        <v>4766.3999999999996</v>
      </c>
      <c r="K1016" s="672">
        <v>48301.39</v>
      </c>
      <c r="L1016" s="672">
        <v>-220060.72</v>
      </c>
    </row>
    <row r="1017" spans="2:12">
      <c r="B1017" s="180" t="s">
        <v>1059</v>
      </c>
      <c r="C1017" s="180" t="s">
        <v>1060</v>
      </c>
      <c r="D1017" s="180" t="s">
        <v>993</v>
      </c>
      <c r="E1017" s="180" t="s">
        <v>980</v>
      </c>
      <c r="F1017" s="672">
        <v>615270.02</v>
      </c>
      <c r="G1017" s="672">
        <v>16645.080000000002</v>
      </c>
      <c r="H1017" s="672">
        <v>18983.87</v>
      </c>
      <c r="I1017" s="672">
        <v>19276.240000000002</v>
      </c>
      <c r="J1017" s="672">
        <v>17851.36</v>
      </c>
      <c r="K1017" s="672">
        <v>195675.51999999999</v>
      </c>
      <c r="L1017" s="672">
        <v>346837.95</v>
      </c>
    </row>
    <row r="1018" spans="2:12">
      <c r="B1018" s="180" t="s">
        <v>1642</v>
      </c>
      <c r="C1018" s="180" t="s">
        <v>1106</v>
      </c>
      <c r="D1018" s="180" t="s">
        <v>993</v>
      </c>
      <c r="E1018" s="180" t="s">
        <v>990</v>
      </c>
      <c r="F1018" s="672">
        <v>0</v>
      </c>
      <c r="G1018" s="672">
        <v>0</v>
      </c>
      <c r="H1018" s="672">
        <v>0</v>
      </c>
      <c r="I1018" s="672">
        <v>0</v>
      </c>
      <c r="J1018" s="672">
        <v>0</v>
      </c>
      <c r="K1018" s="672">
        <v>0</v>
      </c>
      <c r="L1018" s="672">
        <v>0</v>
      </c>
    </row>
    <row r="1019" spans="2:12">
      <c r="B1019" s="180" t="s">
        <v>1458</v>
      </c>
      <c r="C1019" s="180" t="s">
        <v>1459</v>
      </c>
      <c r="D1019" s="180" t="s">
        <v>993</v>
      </c>
      <c r="E1019" s="180" t="s">
        <v>980</v>
      </c>
      <c r="F1019" s="672">
        <v>382358.78</v>
      </c>
      <c r="G1019" s="672">
        <v>8841</v>
      </c>
      <c r="H1019" s="672">
        <v>10774.62</v>
      </c>
      <c r="I1019" s="672">
        <v>10112.77</v>
      </c>
      <c r="J1019" s="672">
        <v>10018.9</v>
      </c>
      <c r="K1019" s="672">
        <v>67184.960000000006</v>
      </c>
      <c r="L1019" s="672">
        <v>275426.53000000003</v>
      </c>
    </row>
    <row r="1020" spans="2:12">
      <c r="B1020" s="180" t="s">
        <v>1925</v>
      </c>
      <c r="C1020" s="180" t="s">
        <v>1115</v>
      </c>
      <c r="D1020" s="180" t="s">
        <v>974</v>
      </c>
      <c r="E1020" s="180" t="s">
        <v>975</v>
      </c>
      <c r="F1020" s="672">
        <v>196219.18</v>
      </c>
      <c r="G1020" s="672">
        <v>-12930.26</v>
      </c>
      <c r="H1020" s="672">
        <v>-9465.14</v>
      </c>
      <c r="I1020" s="672">
        <v>-8075.34</v>
      </c>
      <c r="J1020" s="672">
        <v>-508.72</v>
      </c>
      <c r="K1020" s="672">
        <v>-7370.44</v>
      </c>
      <c r="L1020" s="672">
        <v>234569.08</v>
      </c>
    </row>
    <row r="1021" spans="2:12">
      <c r="B1021" s="180" t="s">
        <v>1926</v>
      </c>
      <c r="C1021" s="180" t="s">
        <v>1287</v>
      </c>
      <c r="D1021" s="180" t="s">
        <v>974</v>
      </c>
      <c r="E1021" s="180" t="s">
        <v>990</v>
      </c>
      <c r="F1021" s="672">
        <v>0</v>
      </c>
      <c r="G1021" s="672">
        <v>0</v>
      </c>
      <c r="H1021" s="672">
        <v>0</v>
      </c>
      <c r="I1021" s="672">
        <v>0</v>
      </c>
      <c r="J1021" s="672">
        <v>0</v>
      </c>
      <c r="K1021" s="672">
        <v>0</v>
      </c>
      <c r="L1021" s="672">
        <v>0</v>
      </c>
    </row>
    <row r="1022" spans="2:12">
      <c r="B1022" s="180" t="s">
        <v>1886</v>
      </c>
      <c r="C1022" s="180" t="s">
        <v>1887</v>
      </c>
      <c r="D1022" s="180" t="s">
        <v>974</v>
      </c>
      <c r="E1022" s="180" t="s">
        <v>990</v>
      </c>
      <c r="F1022" s="672">
        <v>0</v>
      </c>
      <c r="G1022" s="672">
        <v>0</v>
      </c>
      <c r="H1022" s="672">
        <v>0</v>
      </c>
      <c r="I1022" s="672">
        <v>0</v>
      </c>
      <c r="J1022" s="672">
        <v>0</v>
      </c>
      <c r="K1022" s="672">
        <v>0</v>
      </c>
      <c r="L1022" s="672">
        <v>0</v>
      </c>
    </row>
    <row r="1023" spans="2:12">
      <c r="B1023" s="180" t="s">
        <v>1261</v>
      </c>
      <c r="C1023" s="180" t="s">
        <v>1262</v>
      </c>
      <c r="D1023" s="180" t="s">
        <v>974</v>
      </c>
      <c r="E1023" s="180" t="s">
        <v>980</v>
      </c>
      <c r="F1023" s="672">
        <v>16582524.48</v>
      </c>
      <c r="G1023" s="672">
        <v>434315.23</v>
      </c>
      <c r="H1023" s="672">
        <v>389833.1</v>
      </c>
      <c r="I1023" s="672">
        <v>386111.34</v>
      </c>
      <c r="J1023" s="672">
        <v>398732.48</v>
      </c>
      <c r="K1023" s="672">
        <v>3167001.68</v>
      </c>
      <c r="L1023" s="672">
        <v>11806530.65</v>
      </c>
    </row>
    <row r="1024" spans="2:12">
      <c r="B1024" s="180" t="s">
        <v>1927</v>
      </c>
      <c r="C1024" s="180" t="s">
        <v>1928</v>
      </c>
      <c r="D1024" s="180" t="s">
        <v>974</v>
      </c>
      <c r="E1024" s="180" t="s">
        <v>990</v>
      </c>
      <c r="F1024" s="672">
        <v>0</v>
      </c>
      <c r="G1024" s="672">
        <v>0</v>
      </c>
      <c r="H1024" s="672">
        <v>0</v>
      </c>
      <c r="I1024" s="672">
        <v>0</v>
      </c>
      <c r="J1024" s="672">
        <v>0</v>
      </c>
      <c r="K1024" s="672">
        <v>0</v>
      </c>
      <c r="L1024" s="672">
        <v>0</v>
      </c>
    </row>
    <row r="1025" spans="2:12">
      <c r="B1025" s="180" t="s">
        <v>1518</v>
      </c>
      <c r="C1025" s="180" t="s">
        <v>1084</v>
      </c>
      <c r="D1025" s="180" t="s">
        <v>993</v>
      </c>
      <c r="E1025" s="180" t="s">
        <v>980</v>
      </c>
      <c r="F1025" s="672">
        <v>3345909.1</v>
      </c>
      <c r="G1025" s="672">
        <v>45383.73</v>
      </c>
      <c r="H1025" s="672">
        <v>69931.25</v>
      </c>
      <c r="I1025" s="672">
        <v>136033.28</v>
      </c>
      <c r="J1025" s="672">
        <v>75499.33</v>
      </c>
      <c r="K1025" s="672">
        <v>764778.03</v>
      </c>
      <c r="L1025" s="672">
        <v>2254283.48</v>
      </c>
    </row>
    <row r="1026" spans="2:12">
      <c r="B1026" s="180" t="s">
        <v>1929</v>
      </c>
      <c r="C1026" s="180" t="s">
        <v>1309</v>
      </c>
      <c r="D1026" s="180" t="s">
        <v>993</v>
      </c>
      <c r="E1026" s="180" t="s">
        <v>975</v>
      </c>
      <c r="F1026" s="672">
        <v>-42125.81</v>
      </c>
      <c r="G1026" s="672">
        <v>0</v>
      </c>
      <c r="H1026" s="672">
        <v>0</v>
      </c>
      <c r="I1026" s="672">
        <v>0</v>
      </c>
      <c r="J1026" s="672">
        <v>0</v>
      </c>
      <c r="K1026" s="672">
        <v>0</v>
      </c>
      <c r="L1026" s="672">
        <v>-42125.81</v>
      </c>
    </row>
    <row r="1027" spans="2:12">
      <c r="B1027" s="180" t="s">
        <v>1377</v>
      </c>
      <c r="C1027" s="180" t="s">
        <v>1378</v>
      </c>
      <c r="D1027" s="180" t="s">
        <v>974</v>
      </c>
      <c r="E1027" s="180" t="s">
        <v>980</v>
      </c>
      <c r="F1027" s="672">
        <v>0</v>
      </c>
      <c r="G1027" s="672">
        <v>0</v>
      </c>
      <c r="H1027" s="672">
        <v>8674.35</v>
      </c>
      <c r="I1027" s="672">
        <v>41304.33</v>
      </c>
      <c r="J1027" s="672">
        <v>22000.29</v>
      </c>
      <c r="K1027" s="672">
        <v>1337866.08</v>
      </c>
      <c r="L1027" s="672">
        <v>-1409845.05</v>
      </c>
    </row>
    <row r="1028" spans="2:12">
      <c r="B1028" s="180" t="s">
        <v>1033</v>
      </c>
      <c r="C1028" s="180" t="s">
        <v>999</v>
      </c>
      <c r="D1028" s="180" t="s">
        <v>974</v>
      </c>
      <c r="E1028" s="180" t="s">
        <v>980</v>
      </c>
      <c r="F1028" s="672">
        <v>-13975487.75</v>
      </c>
      <c r="G1028" s="672">
        <v>0</v>
      </c>
      <c r="H1028" s="672">
        <v>0</v>
      </c>
      <c r="I1028" s="672">
        <v>0</v>
      </c>
      <c r="J1028" s="672">
        <v>0</v>
      </c>
      <c r="K1028" s="672">
        <v>-374781</v>
      </c>
      <c r="L1028" s="672">
        <v>-13600706.75</v>
      </c>
    </row>
    <row r="1029" spans="2:12">
      <c r="B1029" s="180" t="s">
        <v>1393</v>
      </c>
      <c r="C1029" s="180" t="s">
        <v>1394</v>
      </c>
      <c r="D1029" s="180" t="s">
        <v>974</v>
      </c>
      <c r="E1029" s="180" t="s">
        <v>990</v>
      </c>
      <c r="F1029" s="672">
        <v>0</v>
      </c>
      <c r="G1029" s="672">
        <v>0</v>
      </c>
      <c r="H1029" s="672">
        <v>0</v>
      </c>
      <c r="I1029" s="672">
        <v>0</v>
      </c>
      <c r="J1029" s="672">
        <v>0</v>
      </c>
      <c r="K1029" s="672">
        <v>0</v>
      </c>
      <c r="L1029" s="672">
        <v>0</v>
      </c>
    </row>
    <row r="1030" spans="2:12">
      <c r="B1030" s="180" t="s">
        <v>1491</v>
      </c>
      <c r="C1030" s="180" t="s">
        <v>1492</v>
      </c>
      <c r="D1030" s="180" t="s">
        <v>974</v>
      </c>
      <c r="E1030" s="180" t="s">
        <v>980</v>
      </c>
      <c r="F1030" s="672">
        <v>1423905.44</v>
      </c>
      <c r="G1030" s="672">
        <v>-41871.75</v>
      </c>
      <c r="H1030" s="672">
        <v>485532.67</v>
      </c>
      <c r="I1030" s="672">
        <v>38185.769999999997</v>
      </c>
      <c r="J1030" s="672">
        <v>-3304.09</v>
      </c>
      <c r="K1030" s="672">
        <v>-497586.75</v>
      </c>
      <c r="L1030" s="672">
        <v>1442949.59</v>
      </c>
    </row>
    <row r="1031" spans="2:12">
      <c r="B1031" s="180" t="s">
        <v>1930</v>
      </c>
      <c r="C1031" s="180" t="s">
        <v>1931</v>
      </c>
      <c r="D1031" s="180" t="s">
        <v>974</v>
      </c>
      <c r="E1031" s="180" t="s">
        <v>975</v>
      </c>
      <c r="F1031" s="672">
        <v>99</v>
      </c>
      <c r="G1031" s="672">
        <v>0</v>
      </c>
      <c r="H1031" s="672">
        <v>0</v>
      </c>
      <c r="I1031" s="672">
        <v>0</v>
      </c>
      <c r="J1031" s="672">
        <v>0</v>
      </c>
      <c r="K1031" s="672">
        <v>0</v>
      </c>
      <c r="L1031" s="672">
        <v>99</v>
      </c>
    </row>
    <row r="1032" spans="2:12">
      <c r="B1032" s="180" t="s">
        <v>1485</v>
      </c>
      <c r="C1032" s="180" t="s">
        <v>1486</v>
      </c>
      <c r="D1032" s="180" t="s">
        <v>974</v>
      </c>
      <c r="E1032" s="180" t="s">
        <v>1363</v>
      </c>
      <c r="F1032" s="672">
        <v>17280.740000000002</v>
      </c>
      <c r="G1032" s="672">
        <v>-5574.05</v>
      </c>
      <c r="H1032" s="672">
        <v>-0.45</v>
      </c>
      <c r="I1032" s="672">
        <v>-2787.25</v>
      </c>
      <c r="J1032" s="672">
        <v>-5574.5</v>
      </c>
      <c r="K1032" s="672">
        <v>-19603.66</v>
      </c>
      <c r="L1032" s="672">
        <v>50820.65</v>
      </c>
    </row>
    <row r="1033" spans="2:12">
      <c r="B1033" s="180" t="s">
        <v>1190</v>
      </c>
      <c r="C1033" s="180" t="s">
        <v>1191</v>
      </c>
      <c r="D1033" s="180" t="s">
        <v>974</v>
      </c>
      <c r="E1033" s="180" t="s">
        <v>980</v>
      </c>
      <c r="F1033" s="672">
        <v>20553925.100000001</v>
      </c>
      <c r="G1033" s="672">
        <v>472118.2</v>
      </c>
      <c r="H1033" s="672">
        <v>487040.71</v>
      </c>
      <c r="I1033" s="672">
        <v>492929.06</v>
      </c>
      <c r="J1033" s="672">
        <v>501617.38</v>
      </c>
      <c r="K1033" s="672">
        <v>3703875.24</v>
      </c>
      <c r="L1033" s="672">
        <v>14896344.51</v>
      </c>
    </row>
    <row r="1034" spans="2:12">
      <c r="B1034" s="180" t="s">
        <v>1509</v>
      </c>
      <c r="C1034" s="180" t="s">
        <v>1510</v>
      </c>
      <c r="D1034" s="180" t="s">
        <v>974</v>
      </c>
      <c r="E1034" s="180" t="s">
        <v>975</v>
      </c>
      <c r="F1034" s="672">
        <v>268787.40000000002</v>
      </c>
      <c r="G1034" s="672">
        <v>0</v>
      </c>
      <c r="H1034" s="672">
        <v>1699.79</v>
      </c>
      <c r="I1034" s="672">
        <v>4182.45</v>
      </c>
      <c r="J1034" s="672">
        <v>7800.91</v>
      </c>
      <c r="K1034" s="672">
        <v>98474.36</v>
      </c>
      <c r="L1034" s="672">
        <v>156629.89000000001</v>
      </c>
    </row>
    <row r="1035" spans="2:12">
      <c r="B1035" s="180" t="s">
        <v>1841</v>
      </c>
      <c r="C1035" s="180" t="s">
        <v>1106</v>
      </c>
      <c r="D1035" s="180" t="s">
        <v>993</v>
      </c>
      <c r="E1035" s="180" t="s">
        <v>980</v>
      </c>
      <c r="F1035" s="672">
        <v>24077.47</v>
      </c>
      <c r="G1035" s="672">
        <v>65.63</v>
      </c>
      <c r="H1035" s="672">
        <v>701.19</v>
      </c>
      <c r="I1035" s="672">
        <v>666.75</v>
      </c>
      <c r="J1035" s="672">
        <v>661.44</v>
      </c>
      <c r="K1035" s="672">
        <v>4440.54</v>
      </c>
      <c r="L1035" s="672">
        <v>17541.919999999998</v>
      </c>
    </row>
    <row r="1036" spans="2:12">
      <c r="B1036" s="180" t="s">
        <v>1932</v>
      </c>
      <c r="C1036" s="180" t="s">
        <v>1273</v>
      </c>
      <c r="D1036" s="180" t="s">
        <v>993</v>
      </c>
      <c r="E1036" s="180" t="s">
        <v>980</v>
      </c>
      <c r="F1036" s="672">
        <v>29457.96</v>
      </c>
      <c r="G1036" s="672">
        <v>716.78</v>
      </c>
      <c r="H1036" s="672">
        <v>809.77</v>
      </c>
      <c r="I1036" s="672">
        <v>1010.86</v>
      </c>
      <c r="J1036" s="672">
        <v>211.51</v>
      </c>
      <c r="K1036" s="672">
        <v>4569.03</v>
      </c>
      <c r="L1036" s="672">
        <v>22140.01</v>
      </c>
    </row>
    <row r="1037" spans="2:12">
      <c r="B1037" s="180" t="s">
        <v>1586</v>
      </c>
      <c r="C1037" s="180" t="s">
        <v>1587</v>
      </c>
      <c r="D1037" s="180" t="s">
        <v>974</v>
      </c>
      <c r="E1037" s="180" t="s">
        <v>980</v>
      </c>
      <c r="F1037" s="672">
        <v>98817.02</v>
      </c>
      <c r="G1037" s="672">
        <v>-12694.38</v>
      </c>
      <c r="H1037" s="672">
        <v>-15987.69</v>
      </c>
      <c r="I1037" s="672">
        <v>16385.919999999998</v>
      </c>
      <c r="J1037" s="672">
        <v>2339.5</v>
      </c>
      <c r="K1037" s="672">
        <v>-120692.74</v>
      </c>
      <c r="L1037" s="672">
        <v>229466.41</v>
      </c>
    </row>
    <row r="1038" spans="2:12">
      <c r="B1038" s="180" t="s">
        <v>1933</v>
      </c>
      <c r="C1038" s="180" t="s">
        <v>1048</v>
      </c>
      <c r="D1038" s="180" t="s">
        <v>993</v>
      </c>
      <c r="E1038" s="180" t="s">
        <v>980</v>
      </c>
      <c r="F1038" s="672">
        <v>12556.59</v>
      </c>
      <c r="G1038" s="672">
        <v>0</v>
      </c>
      <c r="H1038" s="672">
        <v>0</v>
      </c>
      <c r="I1038" s="672">
        <v>0</v>
      </c>
      <c r="J1038" s="672">
        <v>0</v>
      </c>
      <c r="K1038" s="672">
        <v>12556.59</v>
      </c>
      <c r="L1038" s="672">
        <v>0</v>
      </c>
    </row>
    <row r="1039" spans="2:12">
      <c r="B1039" s="180" t="s">
        <v>1793</v>
      </c>
      <c r="C1039" s="180" t="s">
        <v>1707</v>
      </c>
      <c r="D1039" s="180" t="s">
        <v>993</v>
      </c>
      <c r="E1039" s="180" t="s">
        <v>975</v>
      </c>
      <c r="F1039" s="672">
        <v>-183223.79</v>
      </c>
      <c r="G1039" s="672">
        <v>0</v>
      </c>
      <c r="H1039" s="672">
        <v>0</v>
      </c>
      <c r="I1039" s="672">
        <v>0</v>
      </c>
      <c r="J1039" s="672">
        <v>0</v>
      </c>
      <c r="K1039" s="672">
        <v>0</v>
      </c>
      <c r="L1039" s="672">
        <v>-183223.79</v>
      </c>
    </row>
    <row r="1040" spans="2:12">
      <c r="B1040" s="180" t="s">
        <v>1757</v>
      </c>
      <c r="C1040" s="180" t="s">
        <v>1758</v>
      </c>
      <c r="D1040" s="180" t="s">
        <v>974</v>
      </c>
      <c r="E1040" s="180" t="s">
        <v>975</v>
      </c>
      <c r="F1040" s="672">
        <v>658.43</v>
      </c>
      <c r="G1040" s="672">
        <v>0</v>
      </c>
      <c r="H1040" s="672">
        <v>0</v>
      </c>
      <c r="I1040" s="672">
        <v>0</v>
      </c>
      <c r="J1040" s="672">
        <v>0</v>
      </c>
      <c r="K1040" s="672">
        <v>658.43</v>
      </c>
      <c r="L1040" s="672">
        <v>0</v>
      </c>
    </row>
    <row r="1041" spans="2:12">
      <c r="B1041" s="180" t="s">
        <v>1116</v>
      </c>
      <c r="C1041" s="180" t="s">
        <v>1117</v>
      </c>
      <c r="D1041" s="180" t="s">
        <v>974</v>
      </c>
      <c r="E1041" s="180" t="s">
        <v>990</v>
      </c>
      <c r="F1041" s="672">
        <v>0</v>
      </c>
      <c r="G1041" s="672">
        <v>0</v>
      </c>
      <c r="H1041" s="672">
        <v>0</v>
      </c>
      <c r="I1041" s="672">
        <v>0</v>
      </c>
      <c r="J1041" s="672">
        <v>0</v>
      </c>
      <c r="K1041" s="672">
        <v>0</v>
      </c>
      <c r="L1041" s="672">
        <v>0</v>
      </c>
    </row>
    <row r="1042" spans="2:12">
      <c r="B1042" s="180" t="s">
        <v>1578</v>
      </c>
      <c r="C1042" s="180" t="s">
        <v>1579</v>
      </c>
      <c r="D1042" s="180" t="s">
        <v>974</v>
      </c>
      <c r="E1042" s="180" t="s">
        <v>990</v>
      </c>
      <c r="F1042" s="672">
        <v>0</v>
      </c>
      <c r="G1042" s="672">
        <v>0</v>
      </c>
      <c r="H1042" s="672">
        <v>0</v>
      </c>
      <c r="I1042" s="672">
        <v>0</v>
      </c>
      <c r="J1042" s="672">
        <v>0</v>
      </c>
      <c r="K1042" s="672">
        <v>0</v>
      </c>
      <c r="L1042" s="672">
        <v>0</v>
      </c>
    </row>
    <row r="1043" spans="2:12">
      <c r="B1043" s="180" t="s">
        <v>1934</v>
      </c>
      <c r="C1043" s="180" t="s">
        <v>1935</v>
      </c>
      <c r="D1043" s="180" t="s">
        <v>974</v>
      </c>
      <c r="E1043" s="180" t="s">
        <v>990</v>
      </c>
      <c r="F1043" s="672">
        <v>0</v>
      </c>
      <c r="G1043" s="672">
        <v>0</v>
      </c>
      <c r="H1043" s="672">
        <v>0</v>
      </c>
      <c r="I1043" s="672">
        <v>0</v>
      </c>
      <c r="J1043" s="672">
        <v>0</v>
      </c>
      <c r="K1043" s="672">
        <v>0</v>
      </c>
      <c r="L1043" s="672">
        <v>0</v>
      </c>
    </row>
    <row r="1044" spans="2:12">
      <c r="B1044" s="180" t="s">
        <v>1820</v>
      </c>
      <c r="C1044" s="180" t="s">
        <v>1302</v>
      </c>
      <c r="D1044" s="180" t="s">
        <v>993</v>
      </c>
      <c r="E1044" s="180" t="s">
        <v>1075</v>
      </c>
      <c r="F1044" s="672">
        <v>0</v>
      </c>
      <c r="G1044" s="672">
        <v>0</v>
      </c>
      <c r="H1044" s="672">
        <v>0</v>
      </c>
      <c r="I1044" s="672">
        <v>0</v>
      </c>
      <c r="J1044" s="672">
        <v>0</v>
      </c>
      <c r="K1044" s="672">
        <v>0</v>
      </c>
      <c r="L1044" s="672">
        <v>0</v>
      </c>
    </row>
    <row r="1045" spans="2:12">
      <c r="B1045" s="180" t="s">
        <v>1526</v>
      </c>
      <c r="C1045" s="180" t="s">
        <v>1527</v>
      </c>
      <c r="D1045" s="180" t="s">
        <v>974</v>
      </c>
      <c r="E1045" s="180" t="s">
        <v>975</v>
      </c>
      <c r="F1045" s="672">
        <v>1846.75</v>
      </c>
      <c r="G1045" s="672">
        <v>0</v>
      </c>
      <c r="H1045" s="672">
        <v>0</v>
      </c>
      <c r="I1045" s="672">
        <v>0</v>
      </c>
      <c r="J1045" s="672">
        <v>0</v>
      </c>
      <c r="K1045" s="672">
        <v>462.81</v>
      </c>
      <c r="L1045" s="672">
        <v>1383.94</v>
      </c>
    </row>
    <row r="1046" spans="2:12">
      <c r="B1046" s="180" t="s">
        <v>1936</v>
      </c>
      <c r="C1046" s="180" t="s">
        <v>1937</v>
      </c>
      <c r="D1046" s="180" t="s">
        <v>993</v>
      </c>
      <c r="E1046" s="180" t="s">
        <v>990</v>
      </c>
      <c r="F1046" s="672">
        <v>0</v>
      </c>
      <c r="G1046" s="672">
        <v>0</v>
      </c>
      <c r="H1046" s="672">
        <v>0</v>
      </c>
      <c r="I1046" s="672">
        <v>0</v>
      </c>
      <c r="J1046" s="672">
        <v>0</v>
      </c>
      <c r="K1046" s="672">
        <v>0</v>
      </c>
      <c r="L1046" s="672">
        <v>0</v>
      </c>
    </row>
    <row r="1047" spans="2:12">
      <c r="B1047" s="180" t="s">
        <v>1938</v>
      </c>
      <c r="C1047" s="180" t="s">
        <v>1032</v>
      </c>
      <c r="D1047" s="180" t="s">
        <v>974</v>
      </c>
      <c r="E1047" s="180" t="s">
        <v>990</v>
      </c>
      <c r="F1047" s="672">
        <v>0</v>
      </c>
      <c r="G1047" s="672">
        <v>0</v>
      </c>
      <c r="H1047" s="672">
        <v>0</v>
      </c>
      <c r="I1047" s="672">
        <v>0</v>
      </c>
      <c r="J1047" s="672">
        <v>0</v>
      </c>
      <c r="K1047" s="672">
        <v>0</v>
      </c>
      <c r="L1047" s="672">
        <v>0</v>
      </c>
    </row>
    <row r="1048" spans="2:12">
      <c r="B1048" s="180" t="s">
        <v>1939</v>
      </c>
      <c r="C1048" s="180" t="s">
        <v>1330</v>
      </c>
      <c r="D1048" s="180" t="s">
        <v>993</v>
      </c>
      <c r="E1048" s="180" t="s">
        <v>990</v>
      </c>
      <c r="F1048" s="672">
        <v>3793.34</v>
      </c>
      <c r="G1048" s="672">
        <v>-28.58</v>
      </c>
      <c r="H1048" s="672">
        <v>0</v>
      </c>
      <c r="I1048" s="672">
        <v>0</v>
      </c>
      <c r="J1048" s="672">
        <v>0</v>
      </c>
      <c r="K1048" s="672">
        <v>0</v>
      </c>
      <c r="L1048" s="672">
        <v>3821.92</v>
      </c>
    </row>
    <row r="1049" spans="2:12">
      <c r="B1049" s="180" t="s">
        <v>1940</v>
      </c>
      <c r="C1049" s="180" t="s">
        <v>1115</v>
      </c>
      <c r="D1049" s="180" t="s">
        <v>974</v>
      </c>
      <c r="E1049" s="180" t="s">
        <v>980</v>
      </c>
      <c r="F1049" s="672">
        <v>-20068.849999999999</v>
      </c>
      <c r="G1049" s="672">
        <v>11119.99</v>
      </c>
      <c r="H1049" s="672">
        <v>-15791.98</v>
      </c>
      <c r="I1049" s="672">
        <v>-13110.89</v>
      </c>
      <c r="J1049" s="672">
        <v>3064.21</v>
      </c>
      <c r="K1049" s="672">
        <v>10948.02</v>
      </c>
      <c r="L1049" s="672">
        <v>-16298.2</v>
      </c>
    </row>
    <row r="1050" spans="2:12">
      <c r="B1050" s="180" t="s">
        <v>1807</v>
      </c>
      <c r="C1050" s="180" t="s">
        <v>1062</v>
      </c>
      <c r="D1050" s="180" t="s">
        <v>993</v>
      </c>
      <c r="E1050" s="180" t="s">
        <v>975</v>
      </c>
      <c r="F1050" s="672">
        <v>-57113.5</v>
      </c>
      <c r="G1050" s="672">
        <v>0</v>
      </c>
      <c r="H1050" s="672">
        <v>0</v>
      </c>
      <c r="I1050" s="672">
        <v>0</v>
      </c>
      <c r="J1050" s="672">
        <v>0</v>
      </c>
      <c r="K1050" s="672">
        <v>0</v>
      </c>
      <c r="L1050" s="672">
        <v>-57113.5</v>
      </c>
    </row>
    <row r="1051" spans="2:12">
      <c r="B1051" s="180" t="s">
        <v>1903</v>
      </c>
      <c r="C1051" s="180" t="s">
        <v>1904</v>
      </c>
      <c r="D1051" s="180" t="s">
        <v>974</v>
      </c>
      <c r="E1051" s="180" t="s">
        <v>983</v>
      </c>
      <c r="F1051" s="672">
        <v>3424.24</v>
      </c>
      <c r="G1051" s="672">
        <v>98.03</v>
      </c>
      <c r="H1051" s="672">
        <v>98.93</v>
      </c>
      <c r="I1051" s="672">
        <v>86.52</v>
      </c>
      <c r="J1051" s="672">
        <v>99.16</v>
      </c>
      <c r="K1051" s="672">
        <v>669.08</v>
      </c>
      <c r="L1051" s="672">
        <v>2372.52</v>
      </c>
    </row>
    <row r="1052" spans="2:12">
      <c r="B1052" s="180" t="s">
        <v>1568</v>
      </c>
      <c r="C1052" s="180" t="s">
        <v>1569</v>
      </c>
      <c r="D1052" s="180" t="s">
        <v>974</v>
      </c>
      <c r="E1052" s="180" t="s">
        <v>980</v>
      </c>
      <c r="F1052" s="672">
        <v>17039864.140000001</v>
      </c>
      <c r="G1052" s="672">
        <v>390564.35</v>
      </c>
      <c r="H1052" s="672">
        <v>395089.07</v>
      </c>
      <c r="I1052" s="672">
        <v>394708.26</v>
      </c>
      <c r="J1052" s="672">
        <v>394878.73</v>
      </c>
      <c r="K1052" s="672">
        <v>3103557.73</v>
      </c>
      <c r="L1052" s="672">
        <v>12361066</v>
      </c>
    </row>
    <row r="1053" spans="2:12">
      <c r="B1053" s="180" t="s">
        <v>1466</v>
      </c>
      <c r="C1053" s="180" t="s">
        <v>1467</v>
      </c>
      <c r="D1053" s="180" t="s">
        <v>974</v>
      </c>
      <c r="E1053" s="180" t="s">
        <v>980</v>
      </c>
      <c r="F1053" s="672">
        <v>3453783.35</v>
      </c>
      <c r="G1053" s="672">
        <v>81190.27</v>
      </c>
      <c r="H1053" s="672">
        <v>81131.67</v>
      </c>
      <c r="I1053" s="672">
        <v>80764.89</v>
      </c>
      <c r="J1053" s="672">
        <v>81705.23</v>
      </c>
      <c r="K1053" s="672">
        <v>634332.02</v>
      </c>
      <c r="L1053" s="672">
        <v>2494659.27</v>
      </c>
    </row>
    <row r="1054" spans="2:12">
      <c r="B1054" s="180" t="s">
        <v>1941</v>
      </c>
      <c r="C1054" s="180" t="s">
        <v>1389</v>
      </c>
      <c r="D1054" s="180" t="s">
        <v>993</v>
      </c>
      <c r="E1054" s="180" t="s">
        <v>980</v>
      </c>
      <c r="F1054" s="672">
        <v>2006253.51</v>
      </c>
      <c r="G1054" s="672">
        <v>46259.8</v>
      </c>
      <c r="H1054" s="672">
        <v>51302.51</v>
      </c>
      <c r="I1054" s="672">
        <v>76586.47</v>
      </c>
      <c r="J1054" s="672">
        <v>51242.67</v>
      </c>
      <c r="K1054" s="672">
        <v>390702.14</v>
      </c>
      <c r="L1054" s="672">
        <v>1390159.92</v>
      </c>
    </row>
    <row r="1055" spans="2:12">
      <c r="B1055" s="180" t="s">
        <v>1609</v>
      </c>
      <c r="C1055" s="180" t="s">
        <v>1610</v>
      </c>
      <c r="D1055" s="180" t="s">
        <v>974</v>
      </c>
      <c r="E1055" s="180" t="s">
        <v>975</v>
      </c>
      <c r="F1055" s="672">
        <v>4357.7700000000004</v>
      </c>
      <c r="G1055" s="672">
        <v>0</v>
      </c>
      <c r="H1055" s="672">
        <v>0</v>
      </c>
      <c r="I1055" s="672">
        <v>0</v>
      </c>
      <c r="J1055" s="672">
        <v>0</v>
      </c>
      <c r="K1055" s="672">
        <v>3290.78</v>
      </c>
      <c r="L1055" s="672">
        <v>1066.99</v>
      </c>
    </row>
    <row r="1056" spans="2:12">
      <c r="B1056" s="180" t="s">
        <v>1942</v>
      </c>
      <c r="C1056" s="180" t="s">
        <v>1208</v>
      </c>
      <c r="D1056" s="180" t="s">
        <v>993</v>
      </c>
      <c r="E1056" s="180" t="s">
        <v>990</v>
      </c>
      <c r="F1056" s="672">
        <v>0</v>
      </c>
      <c r="G1056" s="672">
        <v>0</v>
      </c>
      <c r="H1056" s="672">
        <v>0</v>
      </c>
      <c r="I1056" s="672">
        <v>0</v>
      </c>
      <c r="J1056" s="672">
        <v>0</v>
      </c>
      <c r="K1056" s="672">
        <v>0</v>
      </c>
      <c r="L1056" s="672">
        <v>0</v>
      </c>
    </row>
    <row r="1057" spans="2:12">
      <c r="B1057" s="180" t="s">
        <v>1927</v>
      </c>
      <c r="C1057" s="180" t="s">
        <v>1928</v>
      </c>
      <c r="D1057" s="180" t="s">
        <v>974</v>
      </c>
      <c r="E1057" s="180" t="s">
        <v>980</v>
      </c>
      <c r="F1057" s="672">
        <v>167877.95</v>
      </c>
      <c r="G1057" s="672">
        <v>-65879.740000000005</v>
      </c>
      <c r="H1057" s="672">
        <v>232935.53</v>
      </c>
      <c r="I1057" s="672">
        <v>-359627.88</v>
      </c>
      <c r="J1057" s="672">
        <v>194017.96</v>
      </c>
      <c r="K1057" s="672">
        <v>-57930.28</v>
      </c>
      <c r="L1057" s="672">
        <v>224362.36</v>
      </c>
    </row>
    <row r="1058" spans="2:12">
      <c r="B1058" s="180" t="s">
        <v>1943</v>
      </c>
      <c r="C1058" s="180" t="s">
        <v>1572</v>
      </c>
      <c r="D1058" s="180" t="s">
        <v>974</v>
      </c>
      <c r="E1058" s="180" t="s">
        <v>975</v>
      </c>
      <c r="F1058" s="672">
        <v>443276.33</v>
      </c>
      <c r="G1058" s="672">
        <v>0</v>
      </c>
      <c r="H1058" s="672">
        <v>0</v>
      </c>
      <c r="I1058" s="672">
        <v>0</v>
      </c>
      <c r="J1058" s="672">
        <v>0</v>
      </c>
      <c r="K1058" s="672">
        <v>0</v>
      </c>
      <c r="L1058" s="672">
        <v>443276.33</v>
      </c>
    </row>
    <row r="1059" spans="2:12">
      <c r="B1059" s="180" t="s">
        <v>1402</v>
      </c>
      <c r="C1059" s="180" t="s">
        <v>1121</v>
      </c>
      <c r="D1059" s="180" t="s">
        <v>993</v>
      </c>
      <c r="E1059" s="180" t="s">
        <v>975</v>
      </c>
      <c r="F1059" s="672">
        <v>-6352.2</v>
      </c>
      <c r="G1059" s="672">
        <v>0</v>
      </c>
      <c r="H1059" s="672">
        <v>0</v>
      </c>
      <c r="I1059" s="672">
        <v>0</v>
      </c>
      <c r="J1059" s="672">
        <v>0</v>
      </c>
      <c r="K1059" s="672">
        <v>0</v>
      </c>
      <c r="L1059" s="672">
        <v>-6352.2</v>
      </c>
    </row>
    <row r="1060" spans="2:12">
      <c r="B1060" s="180" t="s">
        <v>1944</v>
      </c>
      <c r="C1060" s="180" t="s">
        <v>1945</v>
      </c>
      <c r="D1060" s="180" t="s">
        <v>974</v>
      </c>
      <c r="E1060" s="180" t="s">
        <v>975</v>
      </c>
      <c r="F1060" s="672">
        <v>-9508.5</v>
      </c>
      <c r="G1060" s="672">
        <v>0</v>
      </c>
      <c r="H1060" s="672">
        <v>0</v>
      </c>
      <c r="I1060" s="672">
        <v>0</v>
      </c>
      <c r="J1060" s="672">
        <v>0</v>
      </c>
      <c r="K1060" s="672">
        <v>0</v>
      </c>
      <c r="L1060" s="672">
        <v>-9508.5</v>
      </c>
    </row>
    <row r="1061" spans="2:12">
      <c r="B1061" s="180" t="s">
        <v>1170</v>
      </c>
      <c r="C1061" s="180" t="s">
        <v>1171</v>
      </c>
      <c r="D1061" s="180" t="s">
        <v>974</v>
      </c>
      <c r="E1061" s="180" t="s">
        <v>980</v>
      </c>
      <c r="F1061" s="672">
        <v>47526.54</v>
      </c>
      <c r="G1061" s="672">
        <v>-4994.1899999999996</v>
      </c>
      <c r="H1061" s="672">
        <v>24878.5</v>
      </c>
      <c r="I1061" s="672">
        <v>14359.59</v>
      </c>
      <c r="J1061" s="672">
        <v>-11738.43</v>
      </c>
      <c r="K1061" s="672">
        <v>62173.46</v>
      </c>
      <c r="L1061" s="672">
        <v>-37152.39</v>
      </c>
    </row>
    <row r="1062" spans="2:12">
      <c r="B1062" s="180" t="s">
        <v>1219</v>
      </c>
      <c r="C1062" s="180" t="s">
        <v>1220</v>
      </c>
      <c r="D1062" s="180" t="s">
        <v>974</v>
      </c>
      <c r="E1062" s="180" t="s">
        <v>980</v>
      </c>
      <c r="F1062" s="672">
        <v>1557838.72</v>
      </c>
      <c r="G1062" s="672">
        <v>-787724.57</v>
      </c>
      <c r="H1062" s="672">
        <v>-65960.92</v>
      </c>
      <c r="I1062" s="672">
        <v>698462.9</v>
      </c>
      <c r="J1062" s="672">
        <v>772934.01</v>
      </c>
      <c r="K1062" s="672">
        <v>-887244.39</v>
      </c>
      <c r="L1062" s="672">
        <v>1827371.69</v>
      </c>
    </row>
    <row r="1063" spans="2:12">
      <c r="B1063" s="180" t="s">
        <v>1616</v>
      </c>
      <c r="C1063" s="180" t="s">
        <v>1552</v>
      </c>
      <c r="D1063" s="180" t="s">
        <v>974</v>
      </c>
      <c r="E1063" s="180" t="s">
        <v>990</v>
      </c>
      <c r="F1063" s="672">
        <v>0</v>
      </c>
      <c r="G1063" s="672">
        <v>0</v>
      </c>
      <c r="H1063" s="672">
        <v>0</v>
      </c>
      <c r="I1063" s="672">
        <v>0</v>
      </c>
      <c r="J1063" s="672">
        <v>0</v>
      </c>
      <c r="K1063" s="672">
        <v>0</v>
      </c>
      <c r="L1063" s="672">
        <v>0</v>
      </c>
    </row>
    <row r="1064" spans="2:12">
      <c r="B1064" s="180" t="s">
        <v>1236</v>
      </c>
      <c r="C1064" s="180" t="s">
        <v>1237</v>
      </c>
      <c r="D1064" s="180" t="s">
        <v>993</v>
      </c>
      <c r="E1064" s="180" t="s">
        <v>980</v>
      </c>
      <c r="F1064" s="672">
        <v>7368061.6600000001</v>
      </c>
      <c r="G1064" s="672">
        <v>92697.8</v>
      </c>
      <c r="H1064" s="672">
        <v>98924.85</v>
      </c>
      <c r="I1064" s="672">
        <v>106118.92</v>
      </c>
      <c r="J1064" s="672">
        <v>120700.75</v>
      </c>
      <c r="K1064" s="672">
        <v>953893.67</v>
      </c>
      <c r="L1064" s="672">
        <v>5995725.6699999999</v>
      </c>
    </row>
    <row r="1065" spans="2:12">
      <c r="B1065" s="180" t="s">
        <v>1870</v>
      </c>
      <c r="C1065" s="180" t="s">
        <v>1871</v>
      </c>
      <c r="D1065" s="180" t="s">
        <v>974</v>
      </c>
      <c r="E1065" s="180" t="s">
        <v>980</v>
      </c>
      <c r="F1065" s="672">
        <v>-5573.54</v>
      </c>
      <c r="G1065" s="672">
        <v>954.83</v>
      </c>
      <c r="H1065" s="672">
        <v>90456.08</v>
      </c>
      <c r="I1065" s="672">
        <v>-5728.05</v>
      </c>
      <c r="J1065" s="672">
        <v>397.79</v>
      </c>
      <c r="K1065" s="672">
        <v>-23804.91</v>
      </c>
      <c r="L1065" s="672">
        <v>-67849.279999999999</v>
      </c>
    </row>
    <row r="1066" spans="2:12">
      <c r="B1066" s="180" t="s">
        <v>1426</v>
      </c>
      <c r="C1066" s="180" t="s">
        <v>1427</v>
      </c>
      <c r="D1066" s="180" t="s">
        <v>993</v>
      </c>
      <c r="E1066" s="180" t="s">
        <v>990</v>
      </c>
      <c r="F1066" s="672">
        <v>23.4</v>
      </c>
      <c r="G1066" s="672">
        <v>0</v>
      </c>
      <c r="H1066" s="672">
        <v>0</v>
      </c>
      <c r="I1066" s="672">
        <v>0</v>
      </c>
      <c r="J1066" s="672">
        <v>0</v>
      </c>
      <c r="K1066" s="672">
        <v>0</v>
      </c>
      <c r="L1066" s="672">
        <v>23.4</v>
      </c>
    </row>
    <row r="1067" spans="2:12">
      <c r="B1067" s="180" t="s">
        <v>1132</v>
      </c>
      <c r="C1067" s="180" t="s">
        <v>1133</v>
      </c>
      <c r="D1067" s="180" t="s">
        <v>993</v>
      </c>
      <c r="E1067" s="180" t="s">
        <v>980</v>
      </c>
      <c r="F1067" s="672">
        <v>1869696.89</v>
      </c>
      <c r="G1067" s="672">
        <v>16829.03</v>
      </c>
      <c r="H1067" s="672">
        <v>17148.03</v>
      </c>
      <c r="I1067" s="672">
        <v>17061.419999999998</v>
      </c>
      <c r="J1067" s="672">
        <v>116656.39</v>
      </c>
      <c r="K1067" s="672">
        <v>362123.4</v>
      </c>
      <c r="L1067" s="672">
        <v>1339878.6200000001</v>
      </c>
    </row>
    <row r="1068" spans="2:12">
      <c r="B1068" s="180" t="s">
        <v>1049</v>
      </c>
      <c r="C1068" s="180" t="s">
        <v>1050</v>
      </c>
      <c r="D1068" s="180" t="s">
        <v>974</v>
      </c>
      <c r="E1068" s="180" t="s">
        <v>980</v>
      </c>
      <c r="F1068" s="672">
        <v>-14949.34</v>
      </c>
      <c r="G1068" s="672">
        <v>503.86</v>
      </c>
      <c r="H1068" s="672">
        <v>450.15</v>
      </c>
      <c r="I1068" s="672">
        <v>471.48</v>
      </c>
      <c r="J1068" s="672">
        <v>582.04</v>
      </c>
      <c r="K1068" s="672">
        <v>-16956.87</v>
      </c>
      <c r="L1068" s="672">
        <v>0</v>
      </c>
    </row>
    <row r="1069" spans="2:12">
      <c r="B1069" s="180" t="s">
        <v>1839</v>
      </c>
      <c r="C1069" s="180" t="s">
        <v>1840</v>
      </c>
      <c r="D1069" s="180" t="s">
        <v>974</v>
      </c>
      <c r="E1069" s="180" t="s">
        <v>980</v>
      </c>
      <c r="F1069" s="672">
        <v>244689.56</v>
      </c>
      <c r="G1069" s="672">
        <v>243005.65</v>
      </c>
      <c r="H1069" s="672">
        <v>-51531.13</v>
      </c>
      <c r="I1069" s="672">
        <v>-136071.64000000001</v>
      </c>
      <c r="J1069" s="672">
        <v>-259533.69</v>
      </c>
      <c r="K1069" s="672">
        <v>-1268351.02</v>
      </c>
      <c r="L1069" s="672">
        <v>1717171.39</v>
      </c>
    </row>
    <row r="1070" spans="2:12">
      <c r="B1070" s="180" t="s">
        <v>1509</v>
      </c>
      <c r="C1070" s="180" t="s">
        <v>1510</v>
      </c>
      <c r="D1070" s="180" t="s">
        <v>974</v>
      </c>
      <c r="E1070" s="180" t="s">
        <v>990</v>
      </c>
      <c r="F1070" s="672">
        <v>0</v>
      </c>
      <c r="G1070" s="672">
        <v>0</v>
      </c>
      <c r="H1070" s="672">
        <v>0</v>
      </c>
      <c r="I1070" s="672">
        <v>0</v>
      </c>
      <c r="J1070" s="672">
        <v>0</v>
      </c>
      <c r="K1070" s="672">
        <v>0</v>
      </c>
      <c r="L1070" s="672">
        <v>0</v>
      </c>
    </row>
    <row r="1071" spans="2:12">
      <c r="B1071" s="180" t="s">
        <v>1613</v>
      </c>
      <c r="C1071" s="180" t="s">
        <v>1269</v>
      </c>
      <c r="D1071" s="180" t="s">
        <v>974</v>
      </c>
      <c r="E1071" s="180" t="s">
        <v>990</v>
      </c>
      <c r="F1071" s="672">
        <v>71.010000000000005</v>
      </c>
      <c r="G1071" s="672">
        <v>0</v>
      </c>
      <c r="H1071" s="672">
        <v>0</v>
      </c>
      <c r="I1071" s="672">
        <v>0</v>
      </c>
      <c r="J1071" s="672">
        <v>0</v>
      </c>
      <c r="K1071" s="672">
        <v>0</v>
      </c>
      <c r="L1071" s="672">
        <v>71.010000000000005</v>
      </c>
    </row>
    <row r="1072" spans="2:12">
      <c r="B1072" s="180" t="s">
        <v>1093</v>
      </c>
      <c r="C1072" s="180" t="s">
        <v>1094</v>
      </c>
      <c r="D1072" s="180" t="s">
        <v>974</v>
      </c>
      <c r="E1072" s="180" t="s">
        <v>980</v>
      </c>
      <c r="F1072" s="672">
        <v>4287643.57</v>
      </c>
      <c r="G1072" s="672">
        <v>3558.74</v>
      </c>
      <c r="H1072" s="672">
        <v>51297.94</v>
      </c>
      <c r="I1072" s="672">
        <v>1592784.5</v>
      </c>
      <c r="J1072" s="672">
        <v>-95510.79</v>
      </c>
      <c r="K1072" s="672">
        <v>394462.66</v>
      </c>
      <c r="L1072" s="672">
        <v>2341050.52</v>
      </c>
    </row>
    <row r="1073" spans="2:12">
      <c r="B1073" s="180" t="s">
        <v>1807</v>
      </c>
      <c r="C1073" s="180" t="s">
        <v>1062</v>
      </c>
      <c r="D1073" s="180" t="s">
        <v>993</v>
      </c>
      <c r="E1073" s="180" t="s">
        <v>990</v>
      </c>
      <c r="F1073" s="672">
        <v>0</v>
      </c>
      <c r="G1073" s="672">
        <v>0</v>
      </c>
      <c r="H1073" s="672">
        <v>0</v>
      </c>
      <c r="I1073" s="672">
        <v>0</v>
      </c>
      <c r="J1073" s="672">
        <v>0</v>
      </c>
      <c r="K1073" s="672">
        <v>0</v>
      </c>
      <c r="L1073" s="672">
        <v>0</v>
      </c>
    </row>
    <row r="1074" spans="2:12">
      <c r="B1074" s="180" t="s">
        <v>1533</v>
      </c>
      <c r="C1074" s="180" t="s">
        <v>1534</v>
      </c>
      <c r="D1074" s="180" t="s">
        <v>974</v>
      </c>
      <c r="E1074" s="180" t="s">
        <v>975</v>
      </c>
      <c r="F1074" s="672">
        <v>-5068.0600000000004</v>
      </c>
      <c r="G1074" s="672">
        <v>0</v>
      </c>
      <c r="H1074" s="672">
        <v>0</v>
      </c>
      <c r="I1074" s="672">
        <v>0</v>
      </c>
      <c r="J1074" s="672">
        <v>0</v>
      </c>
      <c r="K1074" s="672">
        <v>0</v>
      </c>
      <c r="L1074" s="672">
        <v>-5068.0600000000004</v>
      </c>
    </row>
    <row r="1075" spans="2:12">
      <c r="B1075" s="180" t="s">
        <v>1921</v>
      </c>
      <c r="C1075" s="180" t="s">
        <v>1427</v>
      </c>
      <c r="D1075" s="180" t="s">
        <v>993</v>
      </c>
      <c r="E1075" s="180" t="s">
        <v>980</v>
      </c>
      <c r="F1075" s="672">
        <v>23515.65</v>
      </c>
      <c r="G1075" s="672">
        <v>306.47000000000003</v>
      </c>
      <c r="H1075" s="672">
        <v>386.2</v>
      </c>
      <c r="I1075" s="672">
        <v>571.91999999999996</v>
      </c>
      <c r="J1075" s="672">
        <v>491.4</v>
      </c>
      <c r="K1075" s="672">
        <v>2935.07</v>
      </c>
      <c r="L1075" s="672">
        <v>18824.59</v>
      </c>
    </row>
    <row r="1076" spans="2:12">
      <c r="B1076" s="180" t="s">
        <v>1897</v>
      </c>
      <c r="C1076" s="180" t="s">
        <v>1488</v>
      </c>
      <c r="D1076" s="180" t="s">
        <v>974</v>
      </c>
      <c r="E1076" s="180" t="s">
        <v>980</v>
      </c>
      <c r="F1076" s="672">
        <v>-7182.52</v>
      </c>
      <c r="G1076" s="672">
        <v>-66549.33</v>
      </c>
      <c r="H1076" s="672">
        <v>79365.36</v>
      </c>
      <c r="I1076" s="672">
        <v>11806.04</v>
      </c>
      <c r="J1076" s="672">
        <v>-33.19</v>
      </c>
      <c r="K1076" s="672">
        <v>106242.12</v>
      </c>
      <c r="L1076" s="672">
        <v>-138013.51999999999</v>
      </c>
    </row>
    <row r="1077" spans="2:12">
      <c r="B1077" s="180" t="s">
        <v>1946</v>
      </c>
      <c r="C1077" s="180" t="s">
        <v>1947</v>
      </c>
      <c r="D1077" s="180" t="s">
        <v>974</v>
      </c>
      <c r="E1077" s="180" t="s">
        <v>980</v>
      </c>
      <c r="F1077" s="672">
        <v>1456657.15</v>
      </c>
      <c r="G1077" s="672">
        <v>33924.17</v>
      </c>
      <c r="H1077" s="672">
        <v>33941.99</v>
      </c>
      <c r="I1077" s="672">
        <v>33894.83</v>
      </c>
      <c r="J1077" s="672">
        <v>33854.629999999997</v>
      </c>
      <c r="K1077" s="672">
        <v>267014.82</v>
      </c>
      <c r="L1077" s="672">
        <v>1054026.71</v>
      </c>
    </row>
    <row r="1078" spans="2:12">
      <c r="B1078" s="180" t="s">
        <v>1868</v>
      </c>
      <c r="C1078" s="180" t="s">
        <v>1869</v>
      </c>
      <c r="D1078" s="180" t="s">
        <v>974</v>
      </c>
      <c r="E1078" s="180" t="s">
        <v>983</v>
      </c>
      <c r="F1078" s="672">
        <v>21025.67</v>
      </c>
      <c r="G1078" s="672">
        <v>335.8</v>
      </c>
      <c r="H1078" s="672">
        <v>224.24</v>
      </c>
      <c r="I1078" s="672">
        <v>217.53</v>
      </c>
      <c r="J1078" s="672">
        <v>213.65</v>
      </c>
      <c r="K1078" s="672">
        <v>2515.2399999999998</v>
      </c>
      <c r="L1078" s="672">
        <v>17519.21</v>
      </c>
    </row>
    <row r="1079" spans="2:12">
      <c r="B1079" s="180" t="s">
        <v>1454</v>
      </c>
      <c r="C1079" s="180" t="s">
        <v>1455</v>
      </c>
      <c r="D1079" s="180" t="s">
        <v>993</v>
      </c>
      <c r="E1079" s="180" t="s">
        <v>980</v>
      </c>
      <c r="F1079" s="672">
        <v>769235.76</v>
      </c>
      <c r="G1079" s="672">
        <v>20297.060000000001</v>
      </c>
      <c r="H1079" s="672">
        <v>23953.66</v>
      </c>
      <c r="I1079" s="672">
        <v>23189.91</v>
      </c>
      <c r="J1079" s="672">
        <v>21368.89</v>
      </c>
      <c r="K1079" s="672">
        <v>156510.18</v>
      </c>
      <c r="L1079" s="672">
        <v>523916.06</v>
      </c>
    </row>
    <row r="1080" spans="2:12">
      <c r="B1080" s="180" t="s">
        <v>1700</v>
      </c>
      <c r="C1080" s="180" t="s">
        <v>1701</v>
      </c>
      <c r="D1080" s="180" t="s">
        <v>974</v>
      </c>
      <c r="E1080" s="180" t="s">
        <v>980</v>
      </c>
      <c r="F1080" s="672">
        <v>0</v>
      </c>
      <c r="G1080" s="672">
        <v>0</v>
      </c>
      <c r="H1080" s="672">
        <v>0.67</v>
      </c>
      <c r="I1080" s="672">
        <v>-0.67</v>
      </c>
      <c r="J1080" s="672">
        <v>0</v>
      </c>
      <c r="K1080" s="672">
        <v>0</v>
      </c>
      <c r="L1080" s="672">
        <v>0</v>
      </c>
    </row>
    <row r="1081" spans="2:12">
      <c r="B1081" s="180" t="s">
        <v>1479</v>
      </c>
      <c r="C1081" s="180" t="s">
        <v>1480</v>
      </c>
      <c r="D1081" s="180" t="s">
        <v>974</v>
      </c>
      <c r="E1081" s="180" t="s">
        <v>980</v>
      </c>
      <c r="F1081" s="672">
        <v>390912.76</v>
      </c>
      <c r="G1081" s="672">
        <v>-22983.22</v>
      </c>
      <c r="H1081" s="672">
        <v>-5600.44</v>
      </c>
      <c r="I1081" s="672">
        <v>134385.89000000001</v>
      </c>
      <c r="J1081" s="672">
        <v>173084.87</v>
      </c>
      <c r="K1081" s="672">
        <v>-224818.02</v>
      </c>
      <c r="L1081" s="672">
        <v>336843.68</v>
      </c>
    </row>
    <row r="1082" spans="2:12">
      <c r="B1082" s="180" t="s">
        <v>1948</v>
      </c>
      <c r="C1082" s="180" t="s">
        <v>1069</v>
      </c>
      <c r="D1082" s="180" t="s">
        <v>993</v>
      </c>
      <c r="E1082" s="180" t="s">
        <v>980</v>
      </c>
      <c r="F1082" s="672">
        <v>118395.08</v>
      </c>
      <c r="G1082" s="672">
        <v>1827.44</v>
      </c>
      <c r="H1082" s="672">
        <v>1835.44</v>
      </c>
      <c r="I1082" s="672">
        <v>2052.36</v>
      </c>
      <c r="J1082" s="672">
        <v>2565.4299999999998</v>
      </c>
      <c r="K1082" s="672">
        <v>18190.84</v>
      </c>
      <c r="L1082" s="672">
        <v>91923.57</v>
      </c>
    </row>
    <row r="1083" spans="2:12">
      <c r="B1083" s="180" t="s">
        <v>1913</v>
      </c>
      <c r="C1083" s="180" t="s">
        <v>1914</v>
      </c>
      <c r="D1083" s="180" t="s">
        <v>974</v>
      </c>
      <c r="E1083" s="180" t="s">
        <v>975</v>
      </c>
      <c r="F1083" s="672">
        <v>2167.48</v>
      </c>
      <c r="G1083" s="672">
        <v>0</v>
      </c>
      <c r="H1083" s="672">
        <v>0</v>
      </c>
      <c r="I1083" s="672">
        <v>0</v>
      </c>
      <c r="J1083" s="672">
        <v>0</v>
      </c>
      <c r="K1083" s="672">
        <v>0</v>
      </c>
      <c r="L1083" s="672">
        <v>2167.48</v>
      </c>
    </row>
    <row r="1084" spans="2:12">
      <c r="B1084" s="180" t="s">
        <v>1949</v>
      </c>
      <c r="C1084" s="180" t="s">
        <v>1258</v>
      </c>
      <c r="D1084" s="180" t="s">
        <v>993</v>
      </c>
      <c r="E1084" s="180" t="s">
        <v>980</v>
      </c>
      <c r="F1084" s="672">
        <v>146942.69</v>
      </c>
      <c r="G1084" s="672">
        <v>3639.83</v>
      </c>
      <c r="H1084" s="672">
        <v>3708.89</v>
      </c>
      <c r="I1084" s="672">
        <v>3358.74</v>
      </c>
      <c r="J1084" s="672">
        <v>4201.46</v>
      </c>
      <c r="K1084" s="672">
        <v>26568.92</v>
      </c>
      <c r="L1084" s="672">
        <v>105464.85</v>
      </c>
    </row>
    <row r="1085" spans="2:12">
      <c r="B1085" s="180" t="s">
        <v>1071</v>
      </c>
      <c r="C1085" s="180" t="s">
        <v>1072</v>
      </c>
      <c r="D1085" s="180" t="s">
        <v>993</v>
      </c>
      <c r="E1085" s="180" t="s">
        <v>990</v>
      </c>
      <c r="F1085" s="672">
        <v>0</v>
      </c>
      <c r="G1085" s="672">
        <v>0</v>
      </c>
      <c r="H1085" s="672">
        <v>0</v>
      </c>
      <c r="I1085" s="672">
        <v>0</v>
      </c>
      <c r="J1085" s="672">
        <v>0</v>
      </c>
      <c r="K1085" s="672">
        <v>0</v>
      </c>
      <c r="L1085" s="672">
        <v>0</v>
      </c>
    </row>
    <row r="1086" spans="2:12">
      <c r="B1086" s="180" t="s">
        <v>1654</v>
      </c>
      <c r="C1086" s="180" t="s">
        <v>1488</v>
      </c>
      <c r="D1086" s="180" t="s">
        <v>974</v>
      </c>
      <c r="E1086" s="180" t="s">
        <v>990</v>
      </c>
      <c r="F1086" s="672">
        <v>0</v>
      </c>
      <c r="G1086" s="672">
        <v>0</v>
      </c>
      <c r="H1086" s="672">
        <v>0</v>
      </c>
      <c r="I1086" s="672">
        <v>0</v>
      </c>
      <c r="J1086" s="672">
        <v>0</v>
      </c>
      <c r="K1086" s="672">
        <v>0</v>
      </c>
      <c r="L1086" s="672">
        <v>0</v>
      </c>
    </row>
    <row r="1087" spans="2:12">
      <c r="B1087" s="180" t="s">
        <v>1361</v>
      </c>
      <c r="C1087" s="180" t="s">
        <v>1362</v>
      </c>
      <c r="D1087" s="180" t="s">
        <v>974</v>
      </c>
      <c r="E1087" s="180" t="s">
        <v>980</v>
      </c>
      <c r="F1087" s="672">
        <v>7468546.0999999996</v>
      </c>
      <c r="G1087" s="672">
        <v>173661.85</v>
      </c>
      <c r="H1087" s="672">
        <v>175883.32</v>
      </c>
      <c r="I1087" s="672">
        <v>173660.26</v>
      </c>
      <c r="J1087" s="672">
        <v>176205.88</v>
      </c>
      <c r="K1087" s="672">
        <v>1357192.94</v>
      </c>
      <c r="L1087" s="672">
        <v>5411941.8499999996</v>
      </c>
    </row>
    <row r="1088" spans="2:12">
      <c r="B1088" s="180" t="s">
        <v>1557</v>
      </c>
      <c r="C1088" s="180" t="s">
        <v>1032</v>
      </c>
      <c r="D1088" s="180" t="s">
        <v>974</v>
      </c>
      <c r="E1088" s="180" t="s">
        <v>975</v>
      </c>
      <c r="F1088" s="672">
        <v>-27086.93</v>
      </c>
      <c r="G1088" s="672">
        <v>0</v>
      </c>
      <c r="H1088" s="672">
        <v>0</v>
      </c>
      <c r="I1088" s="672">
        <v>0</v>
      </c>
      <c r="J1088" s="672">
        <v>0</v>
      </c>
      <c r="K1088" s="672">
        <v>-201.59</v>
      </c>
      <c r="L1088" s="672">
        <v>-26885.34</v>
      </c>
    </row>
    <row r="1089" spans="2:12">
      <c r="B1089" s="180" t="s">
        <v>1614</v>
      </c>
      <c r="C1089" s="180" t="s">
        <v>1615</v>
      </c>
      <c r="D1089" s="180" t="s">
        <v>974</v>
      </c>
      <c r="E1089" s="180" t="s">
        <v>980</v>
      </c>
      <c r="F1089" s="672">
        <v>3442223.93</v>
      </c>
      <c r="G1089" s="672">
        <v>80450.55</v>
      </c>
      <c r="H1089" s="672">
        <v>80272.88</v>
      </c>
      <c r="I1089" s="672">
        <v>80277.84</v>
      </c>
      <c r="J1089" s="672">
        <v>80277.179999999993</v>
      </c>
      <c r="K1089" s="672">
        <v>632072.37</v>
      </c>
      <c r="L1089" s="672">
        <v>2488873.11</v>
      </c>
    </row>
    <row r="1090" spans="2:12">
      <c r="B1090" s="180" t="s">
        <v>1950</v>
      </c>
      <c r="C1090" s="180" t="s">
        <v>1439</v>
      </c>
      <c r="D1090" s="180" t="s">
        <v>993</v>
      </c>
      <c r="E1090" s="180" t="s">
        <v>975</v>
      </c>
      <c r="F1090" s="672">
        <v>-131236.19</v>
      </c>
      <c r="G1090" s="672">
        <v>0</v>
      </c>
      <c r="H1090" s="672">
        <v>0</v>
      </c>
      <c r="I1090" s="672">
        <v>0</v>
      </c>
      <c r="J1090" s="672">
        <v>0</v>
      </c>
      <c r="K1090" s="672">
        <v>0</v>
      </c>
      <c r="L1090" s="672">
        <v>-131236.19</v>
      </c>
    </row>
    <row r="1091" spans="2:12">
      <c r="B1091" s="180" t="s">
        <v>1599</v>
      </c>
      <c r="C1091" s="180" t="s">
        <v>1600</v>
      </c>
      <c r="D1091" s="180" t="s">
        <v>974</v>
      </c>
      <c r="E1091" s="180" t="s">
        <v>975</v>
      </c>
      <c r="F1091" s="672">
        <v>4273.59</v>
      </c>
      <c r="G1091" s="672">
        <v>0</v>
      </c>
      <c r="H1091" s="672">
        <v>0</v>
      </c>
      <c r="I1091" s="672">
        <v>0</v>
      </c>
      <c r="J1091" s="672">
        <v>0</v>
      </c>
      <c r="K1091" s="672">
        <v>0</v>
      </c>
      <c r="L1091" s="672">
        <v>4273.59</v>
      </c>
    </row>
    <row r="1092" spans="2:12">
      <c r="B1092" s="180" t="s">
        <v>1951</v>
      </c>
      <c r="C1092" s="180" t="s">
        <v>1267</v>
      </c>
      <c r="D1092" s="180" t="s">
        <v>993</v>
      </c>
      <c r="E1092" s="180" t="s">
        <v>980</v>
      </c>
      <c r="F1092" s="672">
        <v>77603.460000000006</v>
      </c>
      <c r="G1092" s="672">
        <v>1503.68</v>
      </c>
      <c r="H1092" s="672">
        <v>2078.58</v>
      </c>
      <c r="I1092" s="672">
        <v>2195.4</v>
      </c>
      <c r="J1092" s="672">
        <v>2305.1</v>
      </c>
      <c r="K1092" s="672">
        <v>19265.099999999999</v>
      </c>
      <c r="L1092" s="672">
        <v>50255.6</v>
      </c>
    </row>
    <row r="1093" spans="2:12">
      <c r="B1093" s="180" t="s">
        <v>1315</v>
      </c>
      <c r="C1093" s="180" t="s">
        <v>1316</v>
      </c>
      <c r="D1093" s="180" t="s">
        <v>974</v>
      </c>
      <c r="E1093" s="180" t="s">
        <v>980</v>
      </c>
      <c r="F1093" s="672">
        <v>-175.32</v>
      </c>
      <c r="G1093" s="672">
        <v>0</v>
      </c>
      <c r="H1093" s="672">
        <v>0</v>
      </c>
      <c r="I1093" s="672">
        <v>0</v>
      </c>
      <c r="J1093" s="672">
        <v>0</v>
      </c>
      <c r="K1093" s="672">
        <v>0</v>
      </c>
      <c r="L1093" s="672">
        <v>-175.32</v>
      </c>
    </row>
    <row r="1094" spans="2:12">
      <c r="B1094" s="180" t="s">
        <v>1843</v>
      </c>
      <c r="C1094" s="180" t="s">
        <v>1844</v>
      </c>
      <c r="D1094" s="180" t="s">
        <v>974</v>
      </c>
      <c r="E1094" s="180" t="s">
        <v>990</v>
      </c>
      <c r="F1094" s="672">
        <v>0</v>
      </c>
      <c r="G1094" s="672">
        <v>0</v>
      </c>
      <c r="H1094" s="672">
        <v>0</v>
      </c>
      <c r="I1094" s="672">
        <v>0</v>
      </c>
      <c r="J1094" s="672">
        <v>0</v>
      </c>
      <c r="K1094" s="672">
        <v>0</v>
      </c>
      <c r="L1094" s="672">
        <v>0</v>
      </c>
    </row>
    <row r="1095" spans="2:12">
      <c r="B1095" s="180" t="s">
        <v>1079</v>
      </c>
      <c r="C1095" s="180" t="s">
        <v>1080</v>
      </c>
      <c r="D1095" s="180" t="s">
        <v>974</v>
      </c>
      <c r="E1095" s="180" t="s">
        <v>990</v>
      </c>
      <c r="F1095" s="672">
        <v>0</v>
      </c>
      <c r="G1095" s="672">
        <v>0</v>
      </c>
      <c r="H1095" s="672">
        <v>0</v>
      </c>
      <c r="I1095" s="672">
        <v>0</v>
      </c>
      <c r="J1095" s="672">
        <v>0</v>
      </c>
      <c r="K1095" s="672">
        <v>0</v>
      </c>
      <c r="L1095" s="672">
        <v>0</v>
      </c>
    </row>
    <row r="1096" spans="2:12">
      <c r="B1096" s="180" t="s">
        <v>1845</v>
      </c>
      <c r="C1096" s="180" t="s">
        <v>1846</v>
      </c>
      <c r="D1096" s="180" t="s">
        <v>974</v>
      </c>
      <c r="E1096" s="180" t="s">
        <v>990</v>
      </c>
      <c r="F1096" s="672">
        <v>0</v>
      </c>
      <c r="G1096" s="672">
        <v>0</v>
      </c>
      <c r="H1096" s="672">
        <v>0</v>
      </c>
      <c r="I1096" s="672">
        <v>0</v>
      </c>
      <c r="J1096" s="672">
        <v>0</v>
      </c>
      <c r="K1096" s="672">
        <v>0</v>
      </c>
      <c r="L1096" s="672">
        <v>0</v>
      </c>
    </row>
    <row r="1097" spans="2:12">
      <c r="B1097" s="180" t="s">
        <v>1446</v>
      </c>
      <c r="C1097" s="180" t="s">
        <v>1447</v>
      </c>
      <c r="D1097" s="180" t="s">
        <v>974</v>
      </c>
      <c r="E1097" s="180" t="s">
        <v>980</v>
      </c>
      <c r="F1097" s="672">
        <v>359489.28000000003</v>
      </c>
      <c r="G1097" s="672">
        <v>172569.91</v>
      </c>
      <c r="H1097" s="672">
        <v>-2162.31</v>
      </c>
      <c r="I1097" s="672">
        <v>-17527.52</v>
      </c>
      <c r="J1097" s="672">
        <v>1106.3800000000001</v>
      </c>
      <c r="K1097" s="672">
        <v>-157300.04</v>
      </c>
      <c r="L1097" s="672">
        <v>362802.86</v>
      </c>
    </row>
    <row r="1098" spans="2:12">
      <c r="B1098" s="180" t="s">
        <v>1306</v>
      </c>
      <c r="C1098" s="180" t="s">
        <v>1307</v>
      </c>
      <c r="D1098" s="180" t="s">
        <v>993</v>
      </c>
      <c r="E1098" s="180" t="s">
        <v>980</v>
      </c>
      <c r="F1098" s="672">
        <v>2211704.31</v>
      </c>
      <c r="G1098" s="672">
        <v>54207.58</v>
      </c>
      <c r="H1098" s="672">
        <v>55175.55</v>
      </c>
      <c r="I1098" s="672">
        <v>56080.78</v>
      </c>
      <c r="J1098" s="672">
        <v>56514.71</v>
      </c>
      <c r="K1098" s="672">
        <v>420035.73</v>
      </c>
      <c r="L1098" s="672">
        <v>1569689.96</v>
      </c>
    </row>
    <row r="1099" spans="2:12">
      <c r="B1099" s="180" t="s">
        <v>1763</v>
      </c>
      <c r="C1099" s="180" t="s">
        <v>1764</v>
      </c>
      <c r="D1099" s="180" t="s">
        <v>974</v>
      </c>
      <c r="E1099" s="180" t="s">
        <v>980</v>
      </c>
      <c r="F1099" s="672">
        <v>1296.1199999999999</v>
      </c>
      <c r="G1099" s="672">
        <v>-3816.11</v>
      </c>
      <c r="H1099" s="672">
        <v>3954.64</v>
      </c>
      <c r="I1099" s="672">
        <v>-712.47</v>
      </c>
      <c r="J1099" s="672">
        <v>121.53</v>
      </c>
      <c r="K1099" s="672">
        <v>1458.17</v>
      </c>
      <c r="L1099" s="672">
        <v>290.36</v>
      </c>
    </row>
    <row r="1100" spans="2:12">
      <c r="B1100" s="180" t="s">
        <v>1951</v>
      </c>
      <c r="C1100" s="180" t="s">
        <v>1267</v>
      </c>
      <c r="D1100" s="180" t="s">
        <v>993</v>
      </c>
      <c r="E1100" s="180" t="s">
        <v>990</v>
      </c>
      <c r="F1100" s="672">
        <v>0</v>
      </c>
      <c r="G1100" s="672">
        <v>0</v>
      </c>
      <c r="H1100" s="672">
        <v>0</v>
      </c>
      <c r="I1100" s="672">
        <v>0</v>
      </c>
      <c r="J1100" s="672">
        <v>0</v>
      </c>
      <c r="K1100" s="672">
        <v>0</v>
      </c>
      <c r="L1100" s="672">
        <v>0</v>
      </c>
    </row>
    <row r="1101" spans="2:12">
      <c r="B1101" s="180" t="s">
        <v>1952</v>
      </c>
      <c r="C1101" s="180" t="s">
        <v>1365</v>
      </c>
      <c r="D1101" s="180" t="s">
        <v>993</v>
      </c>
      <c r="E1101" s="180" t="s">
        <v>975</v>
      </c>
      <c r="F1101" s="672">
        <v>-164.84</v>
      </c>
      <c r="G1101" s="672">
        <v>0</v>
      </c>
      <c r="H1101" s="672">
        <v>0</v>
      </c>
      <c r="I1101" s="672">
        <v>0</v>
      </c>
      <c r="J1101" s="672">
        <v>0</v>
      </c>
      <c r="K1101" s="672">
        <v>3469.14</v>
      </c>
      <c r="L1101" s="672">
        <v>-3633.98</v>
      </c>
    </row>
    <row r="1102" spans="2:12">
      <c r="B1102" s="180" t="s">
        <v>1868</v>
      </c>
      <c r="C1102" s="180" t="s">
        <v>1869</v>
      </c>
      <c r="D1102" s="180" t="s">
        <v>974</v>
      </c>
      <c r="E1102" s="180" t="s">
        <v>990</v>
      </c>
      <c r="F1102" s="672">
        <v>0</v>
      </c>
      <c r="G1102" s="672">
        <v>0</v>
      </c>
      <c r="H1102" s="672">
        <v>0</v>
      </c>
      <c r="I1102" s="672">
        <v>0</v>
      </c>
      <c r="J1102" s="672">
        <v>0</v>
      </c>
      <c r="K1102" s="672">
        <v>0</v>
      </c>
      <c r="L1102" s="672">
        <v>0</v>
      </c>
    </row>
    <row r="1103" spans="2:12">
      <c r="B1103" s="180" t="s">
        <v>1331</v>
      </c>
      <c r="C1103" s="180" t="s">
        <v>1009</v>
      </c>
      <c r="D1103" s="180" t="s">
        <v>974</v>
      </c>
      <c r="E1103" s="180" t="s">
        <v>990</v>
      </c>
      <c r="F1103" s="672">
        <v>0</v>
      </c>
      <c r="G1103" s="672">
        <v>0</v>
      </c>
      <c r="H1103" s="672">
        <v>0</v>
      </c>
      <c r="I1103" s="672">
        <v>0</v>
      </c>
      <c r="J1103" s="672">
        <v>0</v>
      </c>
      <c r="K1103" s="672">
        <v>0</v>
      </c>
      <c r="L1103" s="672">
        <v>0</v>
      </c>
    </row>
    <row r="1104" spans="2:12">
      <c r="B1104" s="180" t="s">
        <v>1953</v>
      </c>
      <c r="C1104" s="180" t="s">
        <v>1954</v>
      </c>
      <c r="D1104" s="180" t="s">
        <v>974</v>
      </c>
      <c r="E1104" s="180" t="s">
        <v>980</v>
      </c>
      <c r="F1104" s="672">
        <v>-5371.67</v>
      </c>
      <c r="G1104" s="672">
        <v>0</v>
      </c>
      <c r="H1104" s="672">
        <v>0</v>
      </c>
      <c r="I1104" s="672">
        <v>0</v>
      </c>
      <c r="J1104" s="672">
        <v>0</v>
      </c>
      <c r="K1104" s="672">
        <v>0</v>
      </c>
      <c r="L1104" s="672">
        <v>-5371.67</v>
      </c>
    </row>
    <row r="1105" spans="2:12">
      <c r="B1105" s="180" t="s">
        <v>1717</v>
      </c>
      <c r="C1105" s="180" t="s">
        <v>1718</v>
      </c>
      <c r="D1105" s="180" t="s">
        <v>974</v>
      </c>
      <c r="E1105" s="180" t="s">
        <v>980</v>
      </c>
      <c r="F1105" s="672">
        <v>-1739.39</v>
      </c>
      <c r="G1105" s="672">
        <v>-2525.71</v>
      </c>
      <c r="H1105" s="672">
        <v>2069.77</v>
      </c>
      <c r="I1105" s="672">
        <v>-119</v>
      </c>
      <c r="J1105" s="672">
        <v>-84.34</v>
      </c>
      <c r="K1105" s="672">
        <v>512.9</v>
      </c>
      <c r="L1105" s="672">
        <v>-1593.01</v>
      </c>
    </row>
    <row r="1106" spans="2:12">
      <c r="B1106" s="180" t="s">
        <v>1673</v>
      </c>
      <c r="C1106" s="180" t="s">
        <v>1455</v>
      </c>
      <c r="D1106" s="180" t="s">
        <v>993</v>
      </c>
      <c r="E1106" s="180" t="s">
        <v>980</v>
      </c>
      <c r="F1106" s="672">
        <v>11085.06</v>
      </c>
      <c r="G1106" s="672">
        <v>257.18</v>
      </c>
      <c r="H1106" s="672">
        <v>257.18</v>
      </c>
      <c r="I1106" s="672">
        <v>255.08</v>
      </c>
      <c r="J1106" s="672">
        <v>257.18</v>
      </c>
      <c r="K1106" s="672">
        <v>2016.28</v>
      </c>
      <c r="L1106" s="672">
        <v>8042.16</v>
      </c>
    </row>
    <row r="1107" spans="2:12">
      <c r="B1107" s="180" t="s">
        <v>1463</v>
      </c>
      <c r="C1107" s="180" t="s">
        <v>1464</v>
      </c>
      <c r="D1107" s="180" t="s">
        <v>974</v>
      </c>
      <c r="E1107" s="180" t="s">
        <v>983</v>
      </c>
      <c r="F1107" s="672">
        <v>17704.7</v>
      </c>
      <c r="G1107" s="672">
        <v>397.78</v>
      </c>
      <c r="H1107" s="672">
        <v>403.23</v>
      </c>
      <c r="I1107" s="672">
        <v>369.1</v>
      </c>
      <c r="J1107" s="672">
        <v>366.82</v>
      </c>
      <c r="K1107" s="672">
        <v>3039.33</v>
      </c>
      <c r="L1107" s="672">
        <v>13128.44</v>
      </c>
    </row>
    <row r="1108" spans="2:12">
      <c r="B1108" s="180" t="s">
        <v>1448</v>
      </c>
      <c r="C1108" s="180" t="s">
        <v>1333</v>
      </c>
      <c r="D1108" s="180" t="s">
        <v>993</v>
      </c>
      <c r="E1108" s="180" t="s">
        <v>1075</v>
      </c>
      <c r="F1108" s="672">
        <v>0</v>
      </c>
      <c r="G1108" s="672">
        <v>0</v>
      </c>
      <c r="H1108" s="672">
        <v>0</v>
      </c>
      <c r="I1108" s="672">
        <v>0</v>
      </c>
      <c r="J1108" s="672">
        <v>0</v>
      </c>
      <c r="K1108" s="672">
        <v>0</v>
      </c>
      <c r="L1108" s="672">
        <v>0</v>
      </c>
    </row>
    <row r="1109" spans="2:12">
      <c r="B1109" s="180" t="s">
        <v>1908</v>
      </c>
      <c r="C1109" s="180" t="s">
        <v>1909</v>
      </c>
      <c r="D1109" s="180" t="s">
        <v>974</v>
      </c>
      <c r="E1109" s="180" t="s">
        <v>975</v>
      </c>
      <c r="F1109" s="672">
        <v>18122.29</v>
      </c>
      <c r="G1109" s="672">
        <v>12440.63</v>
      </c>
      <c r="H1109" s="672">
        <v>3047.29</v>
      </c>
      <c r="I1109" s="672">
        <v>0</v>
      </c>
      <c r="J1109" s="672">
        <v>0</v>
      </c>
      <c r="K1109" s="672">
        <v>2634.37</v>
      </c>
      <c r="L1109" s="672">
        <v>0</v>
      </c>
    </row>
    <row r="1110" spans="2:12">
      <c r="B1110" s="180" t="s">
        <v>1190</v>
      </c>
      <c r="C1110" s="180" t="s">
        <v>1191</v>
      </c>
      <c r="D1110" s="180" t="s">
        <v>974</v>
      </c>
      <c r="E1110" s="180" t="s">
        <v>1075</v>
      </c>
      <c r="F1110" s="672">
        <v>0</v>
      </c>
      <c r="G1110" s="672">
        <v>0</v>
      </c>
      <c r="H1110" s="672">
        <v>0</v>
      </c>
      <c r="I1110" s="672">
        <v>0</v>
      </c>
      <c r="J1110" s="672">
        <v>0</v>
      </c>
      <c r="K1110" s="672">
        <v>0</v>
      </c>
      <c r="L1110" s="672">
        <v>0</v>
      </c>
    </row>
    <row r="1111" spans="2:12">
      <c r="B1111" s="180" t="s">
        <v>1955</v>
      </c>
      <c r="C1111" s="180" t="s">
        <v>1302</v>
      </c>
      <c r="D1111" s="180" t="s">
        <v>993</v>
      </c>
      <c r="E1111" s="180" t="s">
        <v>975</v>
      </c>
      <c r="F1111" s="672">
        <v>-346936.36</v>
      </c>
      <c r="G1111" s="672">
        <v>0</v>
      </c>
      <c r="H1111" s="672">
        <v>0</v>
      </c>
      <c r="I1111" s="672">
        <v>0</v>
      </c>
      <c r="J1111" s="672">
        <v>0</v>
      </c>
      <c r="K1111" s="672">
        <v>0</v>
      </c>
      <c r="L1111" s="672">
        <v>-346936.36</v>
      </c>
    </row>
    <row r="1112" spans="2:12">
      <c r="B1112" s="180" t="s">
        <v>1873</v>
      </c>
      <c r="C1112" s="180" t="s">
        <v>1072</v>
      </c>
      <c r="D1112" s="180" t="s">
        <v>993</v>
      </c>
      <c r="E1112" s="180" t="s">
        <v>980</v>
      </c>
      <c r="F1112" s="672">
        <v>11957.82</v>
      </c>
      <c r="G1112" s="672">
        <v>485</v>
      </c>
      <c r="H1112" s="672">
        <v>367.89</v>
      </c>
      <c r="I1112" s="672">
        <v>386.16</v>
      </c>
      <c r="J1112" s="672">
        <v>326.83</v>
      </c>
      <c r="K1112" s="672">
        <v>6247.54</v>
      </c>
      <c r="L1112" s="672">
        <v>4144.3999999999996</v>
      </c>
    </row>
    <row r="1113" spans="2:12">
      <c r="B1113" s="180" t="s">
        <v>1645</v>
      </c>
      <c r="C1113" s="180" t="s">
        <v>1062</v>
      </c>
      <c r="D1113" s="180" t="s">
        <v>993</v>
      </c>
      <c r="E1113" s="180" t="s">
        <v>975</v>
      </c>
      <c r="F1113" s="672">
        <v>-118.33</v>
      </c>
      <c r="G1113" s="672">
        <v>0</v>
      </c>
      <c r="H1113" s="672">
        <v>0</v>
      </c>
      <c r="I1113" s="672">
        <v>0</v>
      </c>
      <c r="J1113" s="672">
        <v>0</v>
      </c>
      <c r="K1113" s="672">
        <v>-118.33</v>
      </c>
      <c r="L1113" s="672">
        <v>0</v>
      </c>
    </row>
    <row r="1114" spans="2:12">
      <c r="B1114" s="180" t="s">
        <v>1801</v>
      </c>
      <c r="C1114" s="180" t="s">
        <v>1378</v>
      </c>
      <c r="D1114" s="180" t="s">
        <v>974</v>
      </c>
      <c r="E1114" s="180" t="s">
        <v>980</v>
      </c>
      <c r="F1114" s="672">
        <v>-3021881.87</v>
      </c>
      <c r="G1114" s="672">
        <v>-192857.15</v>
      </c>
      <c r="H1114" s="672">
        <v>975563.88</v>
      </c>
      <c r="I1114" s="672">
        <v>-340671.68</v>
      </c>
      <c r="J1114" s="672">
        <v>1216139.6399999999</v>
      </c>
      <c r="K1114" s="672">
        <v>-2818255.78</v>
      </c>
      <c r="L1114" s="672">
        <v>-1861800.78</v>
      </c>
    </row>
    <row r="1115" spans="2:12">
      <c r="B1115" s="180" t="s">
        <v>1687</v>
      </c>
      <c r="C1115" s="180" t="s">
        <v>1589</v>
      </c>
      <c r="D1115" s="180" t="s">
        <v>974</v>
      </c>
      <c r="E1115" s="180" t="s">
        <v>975</v>
      </c>
      <c r="F1115" s="672">
        <v>94507.82</v>
      </c>
      <c r="G1115" s="672">
        <v>0</v>
      </c>
      <c r="H1115" s="672">
        <v>0</v>
      </c>
      <c r="I1115" s="672">
        <v>0</v>
      </c>
      <c r="J1115" s="672">
        <v>0</v>
      </c>
      <c r="K1115" s="672">
        <v>0</v>
      </c>
      <c r="L1115" s="672">
        <v>94507.82</v>
      </c>
    </row>
    <row r="1116" spans="2:12">
      <c r="B1116" s="180" t="s">
        <v>1956</v>
      </c>
      <c r="C1116" s="180" t="s">
        <v>1957</v>
      </c>
      <c r="D1116" s="180" t="s">
        <v>974</v>
      </c>
      <c r="E1116" s="180" t="s">
        <v>975</v>
      </c>
      <c r="F1116" s="672">
        <v>2764</v>
      </c>
      <c r="G1116" s="672">
        <v>0</v>
      </c>
      <c r="H1116" s="672">
        <v>0</v>
      </c>
      <c r="I1116" s="672">
        <v>0</v>
      </c>
      <c r="J1116" s="672">
        <v>0</v>
      </c>
      <c r="K1116" s="672">
        <v>0</v>
      </c>
      <c r="L1116" s="672">
        <v>2764</v>
      </c>
    </row>
    <row r="1117" spans="2:12">
      <c r="B1117" s="180" t="s">
        <v>1511</v>
      </c>
      <c r="C1117" s="180" t="s">
        <v>1399</v>
      </c>
      <c r="D1117" s="180" t="s">
        <v>993</v>
      </c>
      <c r="E1117" s="180" t="s">
        <v>975</v>
      </c>
      <c r="F1117" s="672">
        <v>-75894.8</v>
      </c>
      <c r="G1117" s="672">
        <v>0</v>
      </c>
      <c r="H1117" s="672">
        <v>0</v>
      </c>
      <c r="I1117" s="672">
        <v>0</v>
      </c>
      <c r="J1117" s="672">
        <v>0</v>
      </c>
      <c r="K1117" s="672">
        <v>-75894.8</v>
      </c>
      <c r="L1117" s="672">
        <v>0</v>
      </c>
    </row>
    <row r="1118" spans="2:12">
      <c r="B1118" s="180" t="s">
        <v>1958</v>
      </c>
      <c r="C1118" s="180" t="s">
        <v>1531</v>
      </c>
      <c r="D1118" s="180" t="s">
        <v>974</v>
      </c>
      <c r="E1118" s="180" t="s">
        <v>990</v>
      </c>
      <c r="F1118" s="672">
        <v>0</v>
      </c>
      <c r="G1118" s="672">
        <v>0</v>
      </c>
      <c r="H1118" s="672">
        <v>0</v>
      </c>
      <c r="I1118" s="672">
        <v>0</v>
      </c>
      <c r="J1118" s="672">
        <v>0</v>
      </c>
      <c r="K1118" s="672">
        <v>0</v>
      </c>
      <c r="L1118" s="672">
        <v>0</v>
      </c>
    </row>
    <row r="1119" spans="2:12">
      <c r="B1119" s="180" t="s">
        <v>1930</v>
      </c>
      <c r="C1119" s="180" t="s">
        <v>1931</v>
      </c>
      <c r="D1119" s="180" t="s">
        <v>974</v>
      </c>
      <c r="E1119" s="180" t="s">
        <v>980</v>
      </c>
      <c r="F1119" s="672">
        <v>586241.59</v>
      </c>
      <c r="G1119" s="672">
        <v>-609467.68000000005</v>
      </c>
      <c r="H1119" s="672">
        <v>73465.259999999995</v>
      </c>
      <c r="I1119" s="672">
        <v>81200.11</v>
      </c>
      <c r="J1119" s="672">
        <v>79841.61</v>
      </c>
      <c r="K1119" s="672">
        <v>630453.54</v>
      </c>
      <c r="L1119" s="672">
        <v>330748.75</v>
      </c>
    </row>
    <row r="1120" spans="2:12">
      <c r="B1120" s="180" t="s">
        <v>1606</v>
      </c>
      <c r="C1120" s="180" t="s">
        <v>1607</v>
      </c>
      <c r="D1120" s="180" t="s">
        <v>974</v>
      </c>
      <c r="E1120" s="180" t="s">
        <v>1075</v>
      </c>
      <c r="F1120" s="672">
        <v>0</v>
      </c>
      <c r="G1120" s="672">
        <v>0</v>
      </c>
      <c r="H1120" s="672">
        <v>0</v>
      </c>
      <c r="I1120" s="672">
        <v>0</v>
      </c>
      <c r="J1120" s="672">
        <v>0</v>
      </c>
      <c r="K1120" s="672">
        <v>0</v>
      </c>
      <c r="L1120" s="672">
        <v>0</v>
      </c>
    </row>
    <row r="1121" spans="2:12">
      <c r="B1121" s="180" t="s">
        <v>1140</v>
      </c>
      <c r="C1121" s="180" t="s">
        <v>1069</v>
      </c>
      <c r="D1121" s="180" t="s">
        <v>993</v>
      </c>
      <c r="E1121" s="180" t="s">
        <v>990</v>
      </c>
      <c r="F1121" s="672">
        <v>0</v>
      </c>
      <c r="G1121" s="672">
        <v>0</v>
      </c>
      <c r="H1121" s="672">
        <v>0</v>
      </c>
      <c r="I1121" s="672">
        <v>0</v>
      </c>
      <c r="J1121" s="672">
        <v>0</v>
      </c>
      <c r="K1121" s="672">
        <v>0</v>
      </c>
      <c r="L1121" s="672">
        <v>0</v>
      </c>
    </row>
    <row r="1122" spans="2:12">
      <c r="B1122" s="180" t="s">
        <v>1025</v>
      </c>
      <c r="C1122" s="180" t="s">
        <v>1026</v>
      </c>
      <c r="D1122" s="180" t="s">
        <v>993</v>
      </c>
      <c r="E1122" s="180" t="s">
        <v>983</v>
      </c>
      <c r="F1122" s="672">
        <v>1727.29</v>
      </c>
      <c r="G1122" s="672">
        <v>1727.29</v>
      </c>
      <c r="H1122" s="672">
        <v>0</v>
      </c>
      <c r="I1122" s="672">
        <v>0</v>
      </c>
      <c r="J1122" s="672">
        <v>0</v>
      </c>
      <c r="K1122" s="672">
        <v>0</v>
      </c>
      <c r="L1122" s="672">
        <v>0</v>
      </c>
    </row>
    <row r="1123" spans="2:12">
      <c r="B1123" s="180" t="s">
        <v>1959</v>
      </c>
      <c r="C1123" s="180" t="s">
        <v>1960</v>
      </c>
      <c r="D1123" s="180" t="s">
        <v>974</v>
      </c>
      <c r="E1123" s="180" t="s">
        <v>980</v>
      </c>
      <c r="F1123" s="672">
        <v>2335649.67</v>
      </c>
      <c r="G1123" s="672">
        <v>54606.85</v>
      </c>
      <c r="H1123" s="672">
        <v>54517.89</v>
      </c>
      <c r="I1123" s="672">
        <v>54450.11</v>
      </c>
      <c r="J1123" s="672">
        <v>54447.72</v>
      </c>
      <c r="K1123" s="672">
        <v>428626.06</v>
      </c>
      <c r="L1123" s="672">
        <v>1689001.04</v>
      </c>
    </row>
    <row r="1124" spans="2:12">
      <c r="B1124" s="180" t="s">
        <v>1934</v>
      </c>
      <c r="C1124" s="180" t="s">
        <v>1935</v>
      </c>
      <c r="D1124" s="180" t="s">
        <v>974</v>
      </c>
      <c r="E1124" s="180" t="s">
        <v>975</v>
      </c>
      <c r="F1124" s="672">
        <v>-217.51</v>
      </c>
      <c r="G1124" s="672">
        <v>0</v>
      </c>
      <c r="H1124" s="672">
        <v>0</v>
      </c>
      <c r="I1124" s="672">
        <v>0</v>
      </c>
      <c r="J1124" s="672">
        <v>0</v>
      </c>
      <c r="K1124" s="672">
        <v>-217.51</v>
      </c>
      <c r="L1124" s="672">
        <v>0</v>
      </c>
    </row>
    <row r="1125" spans="2:12">
      <c r="B1125" s="180" t="s">
        <v>1786</v>
      </c>
      <c r="C1125" s="180" t="s">
        <v>1787</v>
      </c>
      <c r="D1125" s="180" t="s">
        <v>974</v>
      </c>
      <c r="E1125" s="180" t="s">
        <v>990</v>
      </c>
      <c r="F1125" s="672">
        <v>0</v>
      </c>
      <c r="G1125" s="672">
        <v>0</v>
      </c>
      <c r="H1125" s="672">
        <v>0</v>
      </c>
      <c r="I1125" s="672">
        <v>0</v>
      </c>
      <c r="J1125" s="672">
        <v>0</v>
      </c>
      <c r="K1125" s="672">
        <v>0</v>
      </c>
      <c r="L1125" s="672">
        <v>0</v>
      </c>
    </row>
    <row r="1126" spans="2:12">
      <c r="B1126" s="180" t="s">
        <v>1961</v>
      </c>
      <c r="C1126" s="180" t="s">
        <v>1701</v>
      </c>
      <c r="D1126" s="180" t="s">
        <v>974</v>
      </c>
      <c r="E1126" s="180" t="s">
        <v>975</v>
      </c>
      <c r="F1126" s="672">
        <v>50349.01</v>
      </c>
      <c r="G1126" s="672">
        <v>-3683.81</v>
      </c>
      <c r="H1126" s="672">
        <v>-3841.09</v>
      </c>
      <c r="I1126" s="672">
        <v>-3585.15</v>
      </c>
      <c r="J1126" s="672">
        <v>-3817.51</v>
      </c>
      <c r="K1126" s="672">
        <v>-26657.22</v>
      </c>
      <c r="L1126" s="672">
        <v>91933.79</v>
      </c>
    </row>
    <row r="1127" spans="2:12">
      <c r="B1127" s="180" t="s">
        <v>1860</v>
      </c>
      <c r="C1127" s="180" t="s">
        <v>1861</v>
      </c>
      <c r="D1127" s="180" t="s">
        <v>974</v>
      </c>
      <c r="E1127" s="180" t="s">
        <v>975</v>
      </c>
      <c r="F1127" s="672">
        <v>1103.56</v>
      </c>
      <c r="G1127" s="672">
        <v>0</v>
      </c>
      <c r="H1127" s="672">
        <v>0</v>
      </c>
      <c r="I1127" s="672">
        <v>0</v>
      </c>
      <c r="J1127" s="672">
        <v>0</v>
      </c>
      <c r="K1127" s="672">
        <v>0</v>
      </c>
      <c r="L1127" s="672">
        <v>1103.56</v>
      </c>
    </row>
    <row r="1128" spans="2:12">
      <c r="B1128" s="180" t="s">
        <v>1366</v>
      </c>
      <c r="C1128" s="180" t="s">
        <v>1367</v>
      </c>
      <c r="D1128" s="180" t="s">
        <v>993</v>
      </c>
      <c r="E1128" s="180" t="s">
        <v>990</v>
      </c>
      <c r="F1128" s="672">
        <v>0</v>
      </c>
      <c r="G1128" s="672">
        <v>0</v>
      </c>
      <c r="H1128" s="672">
        <v>0</v>
      </c>
      <c r="I1128" s="672">
        <v>0</v>
      </c>
      <c r="J1128" s="672">
        <v>0</v>
      </c>
      <c r="K1128" s="672">
        <v>0</v>
      </c>
      <c r="L1128" s="672">
        <v>0</v>
      </c>
    </row>
    <row r="1129" spans="2:12">
      <c r="B1129" s="180" t="s">
        <v>1016</v>
      </c>
      <c r="C1129" s="180" t="s">
        <v>1017</v>
      </c>
      <c r="D1129" s="180" t="s">
        <v>974</v>
      </c>
      <c r="E1129" s="180" t="s">
        <v>980</v>
      </c>
      <c r="F1129" s="672">
        <v>3244480.59</v>
      </c>
      <c r="G1129" s="672">
        <v>49732.36</v>
      </c>
      <c r="H1129" s="672">
        <v>1099370.43</v>
      </c>
      <c r="I1129" s="672">
        <v>113690.54</v>
      </c>
      <c r="J1129" s="672">
        <v>-281812.82</v>
      </c>
      <c r="K1129" s="672">
        <v>-994971.67</v>
      </c>
      <c r="L1129" s="672">
        <v>3258471.75</v>
      </c>
    </row>
    <row r="1130" spans="2:12">
      <c r="B1130" s="180" t="s">
        <v>1962</v>
      </c>
      <c r="C1130" s="180" t="s">
        <v>1963</v>
      </c>
      <c r="D1130" s="180" t="s">
        <v>974</v>
      </c>
      <c r="E1130" s="180" t="s">
        <v>975</v>
      </c>
      <c r="F1130" s="672">
        <v>-992.93</v>
      </c>
      <c r="G1130" s="672">
        <v>0</v>
      </c>
      <c r="H1130" s="672">
        <v>0</v>
      </c>
      <c r="I1130" s="672">
        <v>0</v>
      </c>
      <c r="J1130" s="672">
        <v>0</v>
      </c>
      <c r="K1130" s="672">
        <v>-992.93</v>
      </c>
      <c r="L1130" s="672">
        <v>0</v>
      </c>
    </row>
    <row r="1131" spans="2:12">
      <c r="B1131" s="180" t="s">
        <v>1540</v>
      </c>
      <c r="C1131" s="180" t="s">
        <v>1541</v>
      </c>
      <c r="D1131" s="180" t="s">
        <v>974</v>
      </c>
      <c r="E1131" s="180" t="s">
        <v>980</v>
      </c>
      <c r="F1131" s="672">
        <v>285654.21000000002</v>
      </c>
      <c r="G1131" s="672">
        <v>285047.7</v>
      </c>
      <c r="H1131" s="672">
        <v>-268406.69</v>
      </c>
      <c r="I1131" s="672">
        <v>-134465.10999999999</v>
      </c>
      <c r="J1131" s="672">
        <v>142096.76999999999</v>
      </c>
      <c r="K1131" s="672">
        <v>-9579.4500000000007</v>
      </c>
      <c r="L1131" s="672">
        <v>270960.99</v>
      </c>
    </row>
    <row r="1132" spans="2:12">
      <c r="B1132" s="180" t="s">
        <v>1964</v>
      </c>
      <c r="C1132" s="180" t="s">
        <v>979</v>
      </c>
      <c r="D1132" s="180" t="s">
        <v>974</v>
      </c>
      <c r="E1132" s="180" t="s">
        <v>990</v>
      </c>
      <c r="F1132" s="672">
        <v>0</v>
      </c>
      <c r="G1132" s="672">
        <v>0</v>
      </c>
      <c r="H1132" s="672">
        <v>0</v>
      </c>
      <c r="I1132" s="672">
        <v>0</v>
      </c>
      <c r="J1132" s="672">
        <v>0</v>
      </c>
      <c r="K1132" s="672">
        <v>0</v>
      </c>
      <c r="L1132" s="672">
        <v>0</v>
      </c>
    </row>
    <row r="1133" spans="2:12">
      <c r="B1133" s="180" t="s">
        <v>1377</v>
      </c>
      <c r="C1133" s="180" t="s">
        <v>1378</v>
      </c>
      <c r="D1133" s="180" t="s">
        <v>974</v>
      </c>
      <c r="E1133" s="180" t="s">
        <v>990</v>
      </c>
      <c r="F1133" s="672">
        <v>0</v>
      </c>
      <c r="G1133" s="672">
        <v>0</v>
      </c>
      <c r="H1133" s="672">
        <v>0</v>
      </c>
      <c r="I1133" s="672">
        <v>0</v>
      </c>
      <c r="J1133" s="672">
        <v>0</v>
      </c>
      <c r="K1133" s="672">
        <v>0</v>
      </c>
      <c r="L1133" s="672">
        <v>0</v>
      </c>
    </row>
    <row r="1134" spans="2:12">
      <c r="B1134" s="180" t="s">
        <v>1751</v>
      </c>
      <c r="C1134" s="180" t="s">
        <v>1631</v>
      </c>
      <c r="D1134" s="180" t="s">
        <v>993</v>
      </c>
      <c r="E1134" s="180" t="s">
        <v>975</v>
      </c>
      <c r="F1134" s="672">
        <v>-978.22</v>
      </c>
      <c r="G1134" s="672">
        <v>0</v>
      </c>
      <c r="H1134" s="672">
        <v>0</v>
      </c>
      <c r="I1134" s="672">
        <v>0</v>
      </c>
      <c r="J1134" s="672">
        <v>0</v>
      </c>
      <c r="K1134" s="672">
        <v>0</v>
      </c>
      <c r="L1134" s="672">
        <v>-978.22</v>
      </c>
    </row>
    <row r="1135" spans="2:12">
      <c r="B1135" s="180" t="s">
        <v>1834</v>
      </c>
      <c r="C1135" s="180" t="s">
        <v>1835</v>
      </c>
      <c r="D1135" s="180" t="s">
        <v>974</v>
      </c>
      <c r="E1135" s="180" t="s">
        <v>990</v>
      </c>
      <c r="F1135" s="672">
        <v>0</v>
      </c>
      <c r="G1135" s="672">
        <v>0</v>
      </c>
      <c r="H1135" s="672">
        <v>0</v>
      </c>
      <c r="I1135" s="672">
        <v>0</v>
      </c>
      <c r="J1135" s="672">
        <v>0</v>
      </c>
      <c r="K1135" s="672">
        <v>0</v>
      </c>
      <c r="L1135" s="672">
        <v>0</v>
      </c>
    </row>
    <row r="1136" spans="2:12">
      <c r="B1136" s="180" t="s">
        <v>996</v>
      </c>
      <c r="C1136" s="180" t="s">
        <v>997</v>
      </c>
      <c r="D1136" s="180" t="s">
        <v>974</v>
      </c>
      <c r="E1136" s="180" t="s">
        <v>980</v>
      </c>
      <c r="F1136" s="672">
        <v>-73941.86</v>
      </c>
      <c r="G1136" s="672">
        <v>-561086.25</v>
      </c>
      <c r="H1136" s="672">
        <v>-589744.23</v>
      </c>
      <c r="I1136" s="672">
        <v>-81668.56</v>
      </c>
      <c r="J1136" s="672">
        <v>442576.45</v>
      </c>
      <c r="K1136" s="672">
        <v>583838.28</v>
      </c>
      <c r="L1136" s="672">
        <v>132142.45000000001</v>
      </c>
    </row>
    <row r="1137" spans="2:12">
      <c r="B1137" s="180" t="s">
        <v>1627</v>
      </c>
      <c r="C1137" s="180" t="s">
        <v>1220</v>
      </c>
      <c r="D1137" s="180" t="s">
        <v>974</v>
      </c>
      <c r="E1137" s="180" t="s">
        <v>990</v>
      </c>
      <c r="F1137" s="672">
        <v>0</v>
      </c>
      <c r="G1137" s="672">
        <v>0</v>
      </c>
      <c r="H1137" s="672">
        <v>0</v>
      </c>
      <c r="I1137" s="672">
        <v>0</v>
      </c>
      <c r="J1137" s="672">
        <v>0</v>
      </c>
      <c r="K1137" s="672">
        <v>0</v>
      </c>
      <c r="L1137" s="672">
        <v>0</v>
      </c>
    </row>
    <row r="1138" spans="2:12">
      <c r="B1138" s="180" t="s">
        <v>1794</v>
      </c>
      <c r="C1138" s="180" t="s">
        <v>995</v>
      </c>
      <c r="D1138" s="180" t="s">
        <v>993</v>
      </c>
      <c r="E1138" s="180" t="s">
        <v>990</v>
      </c>
      <c r="F1138" s="672">
        <v>0</v>
      </c>
      <c r="G1138" s="672">
        <v>0</v>
      </c>
      <c r="H1138" s="672">
        <v>0</v>
      </c>
      <c r="I1138" s="672">
        <v>0</v>
      </c>
      <c r="J1138" s="672">
        <v>0</v>
      </c>
      <c r="K1138" s="672">
        <v>0</v>
      </c>
      <c r="L1138" s="672">
        <v>0</v>
      </c>
    </row>
    <row r="1139" spans="2:12">
      <c r="B1139" s="180" t="s">
        <v>1503</v>
      </c>
      <c r="C1139" s="180" t="s">
        <v>1504</v>
      </c>
      <c r="D1139" s="180" t="s">
        <v>974</v>
      </c>
      <c r="E1139" s="180" t="s">
        <v>990</v>
      </c>
      <c r="F1139" s="672">
        <v>0</v>
      </c>
      <c r="G1139" s="672">
        <v>0</v>
      </c>
      <c r="H1139" s="672">
        <v>0</v>
      </c>
      <c r="I1139" s="672">
        <v>0</v>
      </c>
      <c r="J1139" s="672">
        <v>0</v>
      </c>
      <c r="K1139" s="672">
        <v>0</v>
      </c>
      <c r="L1139" s="672">
        <v>0</v>
      </c>
    </row>
    <row r="1140" spans="2:12">
      <c r="B1140" s="180" t="s">
        <v>1190</v>
      </c>
      <c r="C1140" s="180" t="s">
        <v>1191</v>
      </c>
      <c r="D1140" s="180" t="s">
        <v>974</v>
      </c>
      <c r="E1140" s="180" t="s">
        <v>990</v>
      </c>
      <c r="F1140" s="672">
        <v>0.06</v>
      </c>
      <c r="G1140" s="672">
        <v>0</v>
      </c>
      <c r="H1140" s="672">
        <v>0</v>
      </c>
      <c r="I1140" s="672">
        <v>0</v>
      </c>
      <c r="J1140" s="672">
        <v>0</v>
      </c>
      <c r="K1140" s="672">
        <v>0</v>
      </c>
      <c r="L1140" s="672">
        <v>0.06</v>
      </c>
    </row>
    <row r="1141" spans="2:12">
      <c r="B1141" s="180" t="s">
        <v>1683</v>
      </c>
      <c r="C1141" s="180" t="s">
        <v>1032</v>
      </c>
      <c r="D1141" s="180" t="s">
        <v>974</v>
      </c>
      <c r="E1141" s="180" t="s">
        <v>990</v>
      </c>
      <c r="F1141" s="672">
        <v>0</v>
      </c>
      <c r="G1141" s="672">
        <v>0</v>
      </c>
      <c r="H1141" s="672">
        <v>0</v>
      </c>
      <c r="I1141" s="672">
        <v>0</v>
      </c>
      <c r="J1141" s="672">
        <v>0</v>
      </c>
      <c r="K1141" s="672">
        <v>0</v>
      </c>
      <c r="L1141" s="672">
        <v>0</v>
      </c>
    </row>
    <row r="1142" spans="2:12">
      <c r="B1142" s="180" t="s">
        <v>1965</v>
      </c>
      <c r="C1142" s="180" t="s">
        <v>1094</v>
      </c>
      <c r="D1142" s="180" t="s">
        <v>974</v>
      </c>
      <c r="E1142" s="180" t="s">
        <v>990</v>
      </c>
      <c r="F1142" s="672">
        <v>0</v>
      </c>
      <c r="G1142" s="672">
        <v>0</v>
      </c>
      <c r="H1142" s="672">
        <v>0</v>
      </c>
      <c r="I1142" s="672">
        <v>0</v>
      </c>
      <c r="J1142" s="672">
        <v>0</v>
      </c>
      <c r="K1142" s="672">
        <v>0</v>
      </c>
      <c r="L1142" s="672">
        <v>0</v>
      </c>
    </row>
    <row r="1143" spans="2:12">
      <c r="B1143" s="180" t="s">
        <v>1733</v>
      </c>
      <c r="C1143" s="180" t="s">
        <v>1174</v>
      </c>
      <c r="D1143" s="180" t="s">
        <v>993</v>
      </c>
      <c r="E1143" s="180" t="s">
        <v>990</v>
      </c>
      <c r="F1143" s="672">
        <v>0</v>
      </c>
      <c r="G1143" s="672">
        <v>0</v>
      </c>
      <c r="H1143" s="672">
        <v>0</v>
      </c>
      <c r="I1143" s="672">
        <v>0</v>
      </c>
      <c r="J1143" s="672">
        <v>0</v>
      </c>
      <c r="K1143" s="672">
        <v>0</v>
      </c>
      <c r="L1143" s="672">
        <v>0</v>
      </c>
    </row>
    <row r="1144" spans="2:12">
      <c r="B1144" s="180" t="s">
        <v>1966</v>
      </c>
      <c r="C1144" s="180" t="s">
        <v>1197</v>
      </c>
      <c r="D1144" s="180" t="s">
        <v>993</v>
      </c>
      <c r="E1144" s="180" t="s">
        <v>990</v>
      </c>
      <c r="F1144" s="672">
        <v>0</v>
      </c>
      <c r="G1144" s="672">
        <v>0</v>
      </c>
      <c r="H1144" s="672">
        <v>0</v>
      </c>
      <c r="I1144" s="672">
        <v>0</v>
      </c>
      <c r="J1144" s="672">
        <v>0</v>
      </c>
      <c r="K1144" s="672">
        <v>0</v>
      </c>
      <c r="L1144" s="672">
        <v>0</v>
      </c>
    </row>
    <row r="1145" spans="2:12">
      <c r="B1145" s="180" t="s">
        <v>1538</v>
      </c>
      <c r="C1145" s="180" t="s">
        <v>1539</v>
      </c>
      <c r="D1145" s="180" t="s">
        <v>974</v>
      </c>
      <c r="E1145" s="180" t="s">
        <v>975</v>
      </c>
      <c r="F1145" s="672">
        <v>1029576.54</v>
      </c>
      <c r="G1145" s="672">
        <v>0</v>
      </c>
      <c r="H1145" s="672">
        <v>8481.2800000000007</v>
      </c>
      <c r="I1145" s="672">
        <v>40140.57</v>
      </c>
      <c r="J1145" s="672">
        <v>44365.11</v>
      </c>
      <c r="K1145" s="672">
        <v>283381.21000000002</v>
      </c>
      <c r="L1145" s="672">
        <v>653208.37</v>
      </c>
    </row>
    <row r="1146" spans="2:12">
      <c r="B1146" s="180" t="s">
        <v>1076</v>
      </c>
      <c r="C1146" s="180" t="s">
        <v>1077</v>
      </c>
      <c r="D1146" s="180" t="s">
        <v>974</v>
      </c>
      <c r="E1146" s="180" t="s">
        <v>1967</v>
      </c>
      <c r="F1146" s="672">
        <v>0</v>
      </c>
      <c r="G1146" s="672">
        <v>0</v>
      </c>
      <c r="H1146" s="672">
        <v>0</v>
      </c>
      <c r="I1146" s="672">
        <v>0</v>
      </c>
      <c r="J1146" s="672">
        <v>0</v>
      </c>
      <c r="K1146" s="672">
        <v>0</v>
      </c>
      <c r="L1146" s="672">
        <v>0</v>
      </c>
    </row>
    <row r="1147" spans="2:12">
      <c r="B1147" s="180" t="s">
        <v>1297</v>
      </c>
      <c r="C1147" s="180" t="s">
        <v>1298</v>
      </c>
      <c r="D1147" s="180" t="s">
        <v>974</v>
      </c>
      <c r="E1147" s="180" t="s">
        <v>1181</v>
      </c>
      <c r="F1147" s="672">
        <v>0</v>
      </c>
      <c r="G1147" s="672">
        <v>0</v>
      </c>
      <c r="H1147" s="672">
        <v>0</v>
      </c>
      <c r="I1147" s="672">
        <v>0</v>
      </c>
      <c r="J1147" s="672">
        <v>0</v>
      </c>
      <c r="K1147" s="672">
        <v>0</v>
      </c>
      <c r="L1147" s="672">
        <v>0</v>
      </c>
    </row>
    <row r="1148" spans="2:12">
      <c r="B1148" s="180" t="s">
        <v>1968</v>
      </c>
      <c r="C1148" s="180" t="s">
        <v>1969</v>
      </c>
      <c r="D1148" s="180" t="s">
        <v>974</v>
      </c>
      <c r="E1148" s="180" t="s">
        <v>990</v>
      </c>
      <c r="F1148" s="672">
        <v>0</v>
      </c>
      <c r="G1148" s="672">
        <v>0</v>
      </c>
      <c r="H1148" s="672">
        <v>0</v>
      </c>
      <c r="I1148" s="672">
        <v>0</v>
      </c>
      <c r="J1148" s="672">
        <v>0</v>
      </c>
      <c r="K1148" s="672">
        <v>0</v>
      </c>
      <c r="L1148" s="672">
        <v>0</v>
      </c>
    </row>
    <row r="1149" spans="2:12">
      <c r="B1149" s="180" t="s">
        <v>1055</v>
      </c>
      <c r="C1149" s="180" t="s">
        <v>1056</v>
      </c>
      <c r="D1149" s="180" t="s">
        <v>993</v>
      </c>
      <c r="E1149" s="180" t="s">
        <v>990</v>
      </c>
      <c r="F1149" s="672">
        <v>0</v>
      </c>
      <c r="G1149" s="672">
        <v>0</v>
      </c>
      <c r="H1149" s="672">
        <v>0</v>
      </c>
      <c r="I1149" s="672">
        <v>0</v>
      </c>
      <c r="J1149" s="672">
        <v>0</v>
      </c>
      <c r="K1149" s="672">
        <v>0</v>
      </c>
      <c r="L1149" s="672">
        <v>0</v>
      </c>
    </row>
    <row r="1150" spans="2:12">
      <c r="B1150" s="180" t="s">
        <v>1655</v>
      </c>
      <c r="C1150" s="180" t="s">
        <v>1656</v>
      </c>
      <c r="D1150" s="180" t="s">
        <v>974</v>
      </c>
      <c r="E1150" s="180" t="s">
        <v>990</v>
      </c>
      <c r="F1150" s="672">
        <v>0</v>
      </c>
      <c r="G1150" s="672">
        <v>0</v>
      </c>
      <c r="H1150" s="672">
        <v>0</v>
      </c>
      <c r="I1150" s="672">
        <v>0</v>
      </c>
      <c r="J1150" s="672">
        <v>0</v>
      </c>
      <c r="K1150" s="672">
        <v>0</v>
      </c>
      <c r="L1150" s="672">
        <v>0</v>
      </c>
    </row>
    <row r="1151" spans="2:12">
      <c r="B1151" s="180" t="s">
        <v>1173</v>
      </c>
      <c r="C1151" s="180" t="s">
        <v>1174</v>
      </c>
      <c r="D1151" s="180" t="s">
        <v>993</v>
      </c>
      <c r="E1151" s="180" t="s">
        <v>990</v>
      </c>
      <c r="F1151" s="672">
        <v>0</v>
      </c>
      <c r="G1151" s="672">
        <v>0</v>
      </c>
      <c r="H1151" s="672">
        <v>0</v>
      </c>
      <c r="I1151" s="672">
        <v>0</v>
      </c>
      <c r="J1151" s="672">
        <v>0</v>
      </c>
      <c r="K1151" s="672">
        <v>0</v>
      </c>
      <c r="L1151" s="672">
        <v>0</v>
      </c>
    </row>
    <row r="1152" spans="2:12">
      <c r="B1152" s="180" t="s">
        <v>1303</v>
      </c>
      <c r="C1152" s="180" t="s">
        <v>1176</v>
      </c>
      <c r="D1152" s="180" t="s">
        <v>993</v>
      </c>
      <c r="E1152" s="180" t="s">
        <v>990</v>
      </c>
      <c r="F1152" s="672">
        <v>0</v>
      </c>
      <c r="G1152" s="672">
        <v>0</v>
      </c>
      <c r="H1152" s="672">
        <v>0</v>
      </c>
      <c r="I1152" s="672">
        <v>0</v>
      </c>
      <c r="J1152" s="672">
        <v>0</v>
      </c>
      <c r="K1152" s="672">
        <v>0</v>
      </c>
      <c r="L1152" s="672">
        <v>0</v>
      </c>
    </row>
    <row r="1153" spans="2:12">
      <c r="B1153" s="180" t="s">
        <v>1970</v>
      </c>
      <c r="C1153" s="180" t="s">
        <v>1273</v>
      </c>
      <c r="D1153" s="180" t="s">
        <v>993</v>
      </c>
      <c r="E1153" s="180" t="s">
        <v>975</v>
      </c>
      <c r="F1153" s="672">
        <v>-148.06</v>
      </c>
      <c r="G1153" s="672">
        <v>0</v>
      </c>
      <c r="H1153" s="672">
        <v>0</v>
      </c>
      <c r="I1153" s="672">
        <v>0</v>
      </c>
      <c r="J1153" s="672">
        <v>0</v>
      </c>
      <c r="K1153" s="672">
        <v>0</v>
      </c>
      <c r="L1153" s="672">
        <v>-148.06</v>
      </c>
    </row>
    <row r="1154" spans="2:12">
      <c r="B1154" s="180" t="s">
        <v>1501</v>
      </c>
      <c r="C1154" s="180" t="s">
        <v>1502</v>
      </c>
      <c r="D1154" s="180" t="s">
        <v>993</v>
      </c>
      <c r="E1154" s="180" t="s">
        <v>975</v>
      </c>
      <c r="F1154" s="672">
        <v>-50554.7</v>
      </c>
      <c r="G1154" s="672">
        <v>0</v>
      </c>
      <c r="H1154" s="672">
        <v>0</v>
      </c>
      <c r="I1154" s="672">
        <v>0</v>
      </c>
      <c r="J1154" s="672">
        <v>0</v>
      </c>
      <c r="K1154" s="672">
        <v>-50554.7</v>
      </c>
      <c r="L1154" s="672">
        <v>0</v>
      </c>
    </row>
    <row r="1155" spans="2:12">
      <c r="B1155" s="180" t="s">
        <v>1253</v>
      </c>
      <c r="C1155" s="180" t="s">
        <v>1048</v>
      </c>
      <c r="D1155" s="180" t="s">
        <v>993</v>
      </c>
      <c r="E1155" s="180" t="s">
        <v>975</v>
      </c>
      <c r="F1155" s="672">
        <v>-62593.55</v>
      </c>
      <c r="G1155" s="672">
        <v>0</v>
      </c>
      <c r="H1155" s="672">
        <v>0</v>
      </c>
      <c r="I1155" s="672">
        <v>0</v>
      </c>
      <c r="J1155" s="672">
        <v>0</v>
      </c>
      <c r="K1155" s="672">
        <v>0</v>
      </c>
      <c r="L1155" s="672">
        <v>-62593.55</v>
      </c>
    </row>
    <row r="1156" spans="2:12">
      <c r="B1156" s="180" t="s">
        <v>1372</v>
      </c>
      <c r="C1156" s="180" t="s">
        <v>1300</v>
      </c>
      <c r="D1156" s="180" t="s">
        <v>993</v>
      </c>
      <c r="E1156" s="180" t="s">
        <v>990</v>
      </c>
      <c r="F1156" s="672">
        <v>0</v>
      </c>
      <c r="G1156" s="672">
        <v>0</v>
      </c>
      <c r="H1156" s="672">
        <v>0</v>
      </c>
      <c r="I1156" s="672">
        <v>0</v>
      </c>
      <c r="J1156" s="672">
        <v>0</v>
      </c>
      <c r="K1156" s="672">
        <v>0</v>
      </c>
      <c r="L1156" s="672">
        <v>0</v>
      </c>
    </row>
    <row r="1157" spans="2:12">
      <c r="B1157" s="180" t="s">
        <v>1925</v>
      </c>
      <c r="C1157" s="180" t="s">
        <v>1115</v>
      </c>
      <c r="D1157" s="180" t="s">
        <v>974</v>
      </c>
      <c r="E1157" s="180" t="s">
        <v>980</v>
      </c>
      <c r="F1157" s="672">
        <v>-82653.42</v>
      </c>
      <c r="G1157" s="672">
        <v>3152.55</v>
      </c>
      <c r="H1157" s="672">
        <v>3430.74</v>
      </c>
      <c r="I1157" s="672">
        <v>5391.98</v>
      </c>
      <c r="J1157" s="672">
        <v>2663.32</v>
      </c>
      <c r="K1157" s="672">
        <v>23271.8</v>
      </c>
      <c r="L1157" s="672">
        <v>-120563.81</v>
      </c>
    </row>
    <row r="1158" spans="2:12">
      <c r="B1158" s="180" t="s">
        <v>1894</v>
      </c>
      <c r="C1158" s="180" t="s">
        <v>1895</v>
      </c>
      <c r="D1158" s="180" t="s">
        <v>974</v>
      </c>
      <c r="E1158" s="180" t="s">
        <v>975</v>
      </c>
      <c r="F1158" s="672">
        <v>-93020.69</v>
      </c>
      <c r="G1158" s="672">
        <v>0</v>
      </c>
      <c r="H1158" s="672">
        <v>0</v>
      </c>
      <c r="I1158" s="672">
        <v>-287500.5</v>
      </c>
      <c r="J1158" s="672">
        <v>287500.5</v>
      </c>
      <c r="K1158" s="672">
        <v>0</v>
      </c>
      <c r="L1158" s="672">
        <v>-93020.69</v>
      </c>
    </row>
    <row r="1159" spans="2:12">
      <c r="B1159" s="180" t="s">
        <v>1601</v>
      </c>
      <c r="C1159" s="180" t="s">
        <v>1602</v>
      </c>
      <c r="D1159" s="180" t="s">
        <v>974</v>
      </c>
      <c r="E1159" s="180" t="s">
        <v>990</v>
      </c>
      <c r="F1159" s="672">
        <v>0</v>
      </c>
      <c r="G1159" s="672">
        <v>0</v>
      </c>
      <c r="H1159" s="672">
        <v>0</v>
      </c>
      <c r="I1159" s="672">
        <v>0</v>
      </c>
      <c r="J1159" s="672">
        <v>0</v>
      </c>
      <c r="K1159" s="672">
        <v>0</v>
      </c>
      <c r="L1159" s="672">
        <v>0</v>
      </c>
    </row>
    <row r="1160" spans="2:12">
      <c r="B1160" s="180" t="s">
        <v>1029</v>
      </c>
      <c r="C1160" s="180" t="s">
        <v>1030</v>
      </c>
      <c r="D1160" s="180" t="s">
        <v>993</v>
      </c>
      <c r="E1160" s="180" t="s">
        <v>980</v>
      </c>
      <c r="F1160" s="672">
        <v>1642936.71</v>
      </c>
      <c r="G1160" s="672">
        <v>26600.76</v>
      </c>
      <c r="H1160" s="672">
        <v>59583.03</v>
      </c>
      <c r="I1160" s="672">
        <v>35088.29</v>
      </c>
      <c r="J1160" s="672">
        <v>34371.51</v>
      </c>
      <c r="K1160" s="672">
        <v>385746.41</v>
      </c>
      <c r="L1160" s="672">
        <v>1101546.71</v>
      </c>
    </row>
    <row r="1161" spans="2:12">
      <c r="B1161" s="180" t="s">
        <v>1728</v>
      </c>
      <c r="C1161" s="180" t="s">
        <v>1502</v>
      </c>
      <c r="D1161" s="180" t="s">
        <v>993</v>
      </c>
      <c r="E1161" s="180" t="s">
        <v>975</v>
      </c>
      <c r="F1161" s="672">
        <v>-11272</v>
      </c>
      <c r="G1161" s="672">
        <v>0</v>
      </c>
      <c r="H1161" s="672">
        <v>0</v>
      </c>
      <c r="I1161" s="672">
        <v>0</v>
      </c>
      <c r="J1161" s="672">
        <v>0</v>
      </c>
      <c r="K1161" s="672">
        <v>0</v>
      </c>
      <c r="L1161" s="672">
        <v>-11272</v>
      </c>
    </row>
    <row r="1162" spans="2:12">
      <c r="B1162" s="180" t="s">
        <v>1971</v>
      </c>
      <c r="C1162" s="180" t="s">
        <v>1972</v>
      </c>
      <c r="D1162" s="180" t="s">
        <v>974</v>
      </c>
      <c r="E1162" s="180" t="s">
        <v>975</v>
      </c>
      <c r="F1162" s="672">
        <v>3007748.52</v>
      </c>
      <c r="G1162" s="672">
        <v>0</v>
      </c>
      <c r="H1162" s="672">
        <v>0</v>
      </c>
      <c r="I1162" s="672">
        <v>0</v>
      </c>
      <c r="J1162" s="672">
        <v>0</v>
      </c>
      <c r="K1162" s="672">
        <v>570595.99</v>
      </c>
      <c r="L1162" s="672">
        <v>2437152.5299999998</v>
      </c>
    </row>
    <row r="1163" spans="2:12">
      <c r="B1163" s="180" t="s">
        <v>1053</v>
      </c>
      <c r="C1163" s="180" t="s">
        <v>1054</v>
      </c>
      <c r="D1163" s="180" t="s">
        <v>974</v>
      </c>
      <c r="E1163" s="180" t="s">
        <v>1075</v>
      </c>
      <c r="F1163" s="672">
        <v>0</v>
      </c>
      <c r="G1163" s="672">
        <v>0</v>
      </c>
      <c r="H1163" s="672">
        <v>0</v>
      </c>
      <c r="I1163" s="672">
        <v>0</v>
      </c>
      <c r="J1163" s="672">
        <v>0</v>
      </c>
      <c r="K1163" s="672">
        <v>0</v>
      </c>
      <c r="L1163" s="672">
        <v>0</v>
      </c>
    </row>
    <row r="1164" spans="2:12">
      <c r="B1164" s="180" t="s">
        <v>1472</v>
      </c>
      <c r="C1164" s="180" t="s">
        <v>1060</v>
      </c>
      <c r="D1164" s="180" t="s">
        <v>993</v>
      </c>
      <c r="E1164" s="180" t="s">
        <v>975</v>
      </c>
      <c r="F1164" s="672">
        <v>-29780.57</v>
      </c>
      <c r="G1164" s="672">
        <v>0</v>
      </c>
      <c r="H1164" s="672">
        <v>0</v>
      </c>
      <c r="I1164" s="672">
        <v>0</v>
      </c>
      <c r="J1164" s="672">
        <v>0</v>
      </c>
      <c r="K1164" s="672">
        <v>0</v>
      </c>
      <c r="L1164" s="672">
        <v>-29780.57</v>
      </c>
    </row>
    <row r="1165" spans="2:12">
      <c r="B1165" s="180" t="s">
        <v>1404</v>
      </c>
      <c r="C1165" s="180" t="s">
        <v>1405</v>
      </c>
      <c r="D1165" s="180" t="s">
        <v>974</v>
      </c>
      <c r="E1165" s="180" t="s">
        <v>990</v>
      </c>
      <c r="F1165" s="672">
        <v>0</v>
      </c>
      <c r="G1165" s="672">
        <v>0</v>
      </c>
      <c r="H1165" s="672">
        <v>0</v>
      </c>
      <c r="I1165" s="672">
        <v>0</v>
      </c>
      <c r="J1165" s="672">
        <v>0</v>
      </c>
      <c r="K1165" s="672">
        <v>0</v>
      </c>
      <c r="L1165" s="672">
        <v>0</v>
      </c>
    </row>
    <row r="1166" spans="2:12">
      <c r="B1166" s="180" t="s">
        <v>1783</v>
      </c>
      <c r="C1166" s="180" t="s">
        <v>1701</v>
      </c>
      <c r="D1166" s="180" t="s">
        <v>974</v>
      </c>
      <c r="E1166" s="180" t="s">
        <v>975</v>
      </c>
      <c r="F1166" s="672">
        <v>53858.03</v>
      </c>
      <c r="G1166" s="672">
        <v>0</v>
      </c>
      <c r="H1166" s="672">
        <v>0</v>
      </c>
      <c r="I1166" s="672">
        <v>0</v>
      </c>
      <c r="J1166" s="672">
        <v>0</v>
      </c>
      <c r="K1166" s="672">
        <v>0</v>
      </c>
      <c r="L1166" s="672">
        <v>53858.03</v>
      </c>
    </row>
    <row r="1167" spans="2:12">
      <c r="B1167" s="180" t="s">
        <v>1973</v>
      </c>
      <c r="C1167" s="180" t="s">
        <v>1974</v>
      </c>
      <c r="D1167" s="180" t="s">
        <v>974</v>
      </c>
      <c r="E1167" s="180" t="s">
        <v>980</v>
      </c>
      <c r="F1167" s="672">
        <v>25967.48</v>
      </c>
      <c r="G1167" s="672">
        <v>30180.17</v>
      </c>
      <c r="H1167" s="672">
        <v>10159.57</v>
      </c>
      <c r="I1167" s="672">
        <v>4424.96</v>
      </c>
      <c r="J1167" s="672">
        <v>-20738.36</v>
      </c>
      <c r="K1167" s="672">
        <v>65428.11</v>
      </c>
      <c r="L1167" s="672">
        <v>-63486.97</v>
      </c>
    </row>
    <row r="1168" spans="2:12">
      <c r="B1168" s="180" t="s">
        <v>1280</v>
      </c>
      <c r="C1168" s="180" t="s">
        <v>1281</v>
      </c>
      <c r="D1168" s="180" t="s">
        <v>993</v>
      </c>
      <c r="E1168" s="180" t="s">
        <v>990</v>
      </c>
      <c r="F1168" s="672">
        <v>0</v>
      </c>
      <c r="G1168" s="672">
        <v>0</v>
      </c>
      <c r="H1168" s="672">
        <v>0</v>
      </c>
      <c r="I1168" s="672">
        <v>0</v>
      </c>
      <c r="J1168" s="672">
        <v>0</v>
      </c>
      <c r="K1168" s="672">
        <v>0</v>
      </c>
      <c r="L1168" s="672">
        <v>0</v>
      </c>
    </row>
    <row r="1169" spans="2:12">
      <c r="B1169" s="180" t="s">
        <v>1728</v>
      </c>
      <c r="C1169" s="180" t="s">
        <v>1502</v>
      </c>
      <c r="D1169" s="180" t="s">
        <v>993</v>
      </c>
      <c r="E1169" s="180" t="s">
        <v>990</v>
      </c>
      <c r="F1169" s="672">
        <v>0</v>
      </c>
      <c r="G1169" s="672">
        <v>0</v>
      </c>
      <c r="H1169" s="672">
        <v>0</v>
      </c>
      <c r="I1169" s="672">
        <v>0</v>
      </c>
      <c r="J1169" s="672">
        <v>0</v>
      </c>
      <c r="K1169" s="672">
        <v>0</v>
      </c>
      <c r="L1169" s="672">
        <v>0</v>
      </c>
    </row>
    <row r="1170" spans="2:12">
      <c r="B1170" s="180" t="s">
        <v>1559</v>
      </c>
      <c r="C1170" s="180" t="s">
        <v>1560</v>
      </c>
      <c r="D1170" s="180" t="s">
        <v>974</v>
      </c>
      <c r="E1170" s="180" t="s">
        <v>980</v>
      </c>
      <c r="F1170" s="672">
        <v>18480.59</v>
      </c>
      <c r="G1170" s="672">
        <v>7953.65</v>
      </c>
      <c r="H1170" s="672">
        <v>556.79999999999995</v>
      </c>
      <c r="I1170" s="672">
        <v>2094.5700000000002</v>
      </c>
      <c r="J1170" s="672">
        <v>-1601.11</v>
      </c>
      <c r="K1170" s="672">
        <v>-10669.66</v>
      </c>
      <c r="L1170" s="672">
        <v>20146.34</v>
      </c>
    </row>
    <row r="1171" spans="2:12">
      <c r="B1171" s="180" t="s">
        <v>1785</v>
      </c>
      <c r="C1171" s="180" t="s">
        <v>1707</v>
      </c>
      <c r="D1171" s="180" t="s">
        <v>993</v>
      </c>
      <c r="E1171" s="180" t="s">
        <v>975</v>
      </c>
      <c r="F1171" s="672">
        <v>2.52</v>
      </c>
      <c r="G1171" s="672">
        <v>0</v>
      </c>
      <c r="H1171" s="672">
        <v>0</v>
      </c>
      <c r="I1171" s="672">
        <v>0</v>
      </c>
      <c r="J1171" s="672">
        <v>0</v>
      </c>
      <c r="K1171" s="672">
        <v>0</v>
      </c>
      <c r="L1171" s="672">
        <v>2.52</v>
      </c>
    </row>
    <row r="1172" spans="2:12">
      <c r="B1172" s="180" t="s">
        <v>1245</v>
      </c>
      <c r="C1172" s="180" t="s">
        <v>1246</v>
      </c>
      <c r="D1172" s="180" t="s">
        <v>974</v>
      </c>
      <c r="E1172" s="180" t="s">
        <v>975</v>
      </c>
      <c r="F1172" s="672">
        <v>502.2</v>
      </c>
      <c r="G1172" s="672">
        <v>0</v>
      </c>
      <c r="H1172" s="672">
        <v>0</v>
      </c>
      <c r="I1172" s="672">
        <v>0</v>
      </c>
      <c r="J1172" s="672">
        <v>0</v>
      </c>
      <c r="K1172" s="672">
        <v>0</v>
      </c>
      <c r="L1172" s="672">
        <v>502.2</v>
      </c>
    </row>
    <row r="1173" spans="2:12">
      <c r="B1173" s="180" t="s">
        <v>1882</v>
      </c>
      <c r="C1173" s="180" t="s">
        <v>1883</v>
      </c>
      <c r="D1173" s="180" t="s">
        <v>974</v>
      </c>
      <c r="E1173" s="180" t="s">
        <v>975</v>
      </c>
      <c r="F1173" s="672">
        <v>0</v>
      </c>
      <c r="G1173" s="672">
        <v>0</v>
      </c>
      <c r="H1173" s="672">
        <v>0</v>
      </c>
      <c r="I1173" s="672">
        <v>0</v>
      </c>
      <c r="J1173" s="672">
        <v>0</v>
      </c>
      <c r="K1173" s="672">
        <v>0</v>
      </c>
      <c r="L1173" s="672">
        <v>0</v>
      </c>
    </row>
    <row r="1174" spans="2:12">
      <c r="B1174" s="180" t="s">
        <v>1805</v>
      </c>
      <c r="C1174" s="180" t="s">
        <v>982</v>
      </c>
      <c r="D1174" s="180" t="s">
        <v>974</v>
      </c>
      <c r="E1174" s="180" t="s">
        <v>983</v>
      </c>
      <c r="F1174" s="672">
        <v>-62311.94</v>
      </c>
      <c r="G1174" s="672">
        <v>482.66</v>
      </c>
      <c r="H1174" s="672">
        <v>-3378.54</v>
      </c>
      <c r="I1174" s="672">
        <v>-1973.57</v>
      </c>
      <c r="J1174" s="672">
        <v>-33492.49</v>
      </c>
      <c r="K1174" s="672">
        <v>-73234.570000000007</v>
      </c>
      <c r="L1174" s="672">
        <v>49284.57</v>
      </c>
    </row>
    <row r="1175" spans="2:12">
      <c r="B1175" s="180" t="s">
        <v>1729</v>
      </c>
      <c r="C1175" s="180" t="s">
        <v>1210</v>
      </c>
      <c r="D1175" s="180" t="s">
        <v>993</v>
      </c>
      <c r="E1175" s="180" t="s">
        <v>990</v>
      </c>
      <c r="F1175" s="672">
        <v>0</v>
      </c>
      <c r="G1175" s="672">
        <v>0</v>
      </c>
      <c r="H1175" s="672">
        <v>0</v>
      </c>
      <c r="I1175" s="672">
        <v>0</v>
      </c>
      <c r="J1175" s="672">
        <v>0</v>
      </c>
      <c r="K1175" s="672">
        <v>0</v>
      </c>
      <c r="L1175" s="672">
        <v>0</v>
      </c>
    </row>
    <row r="1176" spans="2:12">
      <c r="B1176" s="180" t="s">
        <v>1658</v>
      </c>
      <c r="C1176" s="180" t="s">
        <v>1659</v>
      </c>
      <c r="D1176" s="180" t="s">
        <v>974</v>
      </c>
      <c r="E1176" s="180" t="s">
        <v>1111</v>
      </c>
      <c r="F1176" s="672">
        <v>-43.59</v>
      </c>
      <c r="G1176" s="672">
        <v>0</v>
      </c>
      <c r="H1176" s="672">
        <v>0</v>
      </c>
      <c r="I1176" s="672">
        <v>0</v>
      </c>
      <c r="J1176" s="672">
        <v>0</v>
      </c>
      <c r="K1176" s="672">
        <v>-43.59</v>
      </c>
      <c r="L1176" s="672">
        <v>0</v>
      </c>
    </row>
    <row r="1177" spans="2:12">
      <c r="B1177" s="180" t="s">
        <v>1890</v>
      </c>
      <c r="C1177" s="180" t="s">
        <v>1067</v>
      </c>
      <c r="D1177" s="180" t="s">
        <v>993</v>
      </c>
      <c r="E1177" s="180" t="s">
        <v>990</v>
      </c>
      <c r="F1177" s="672">
        <v>0</v>
      </c>
      <c r="G1177" s="672">
        <v>0</v>
      </c>
      <c r="H1177" s="672">
        <v>0</v>
      </c>
      <c r="I1177" s="672">
        <v>0</v>
      </c>
      <c r="J1177" s="672">
        <v>0</v>
      </c>
      <c r="K1177" s="672">
        <v>0</v>
      </c>
      <c r="L1177" s="672">
        <v>0</v>
      </c>
    </row>
    <row r="1178" spans="2:12">
      <c r="B1178" s="180" t="s">
        <v>1452</v>
      </c>
      <c r="C1178" s="180" t="s">
        <v>1453</v>
      </c>
      <c r="D1178" s="180" t="s">
        <v>974</v>
      </c>
      <c r="E1178" s="180" t="s">
        <v>983</v>
      </c>
      <c r="F1178" s="672">
        <v>3103.25</v>
      </c>
      <c r="G1178" s="672">
        <v>75.5</v>
      </c>
      <c r="H1178" s="672">
        <v>69.290000000000006</v>
      </c>
      <c r="I1178" s="672">
        <v>76.27</v>
      </c>
      <c r="J1178" s="672">
        <v>78.84</v>
      </c>
      <c r="K1178" s="672">
        <v>523.59</v>
      </c>
      <c r="L1178" s="672">
        <v>2279.7600000000002</v>
      </c>
    </row>
    <row r="1179" spans="2:12">
      <c r="B1179" s="180" t="s">
        <v>1722</v>
      </c>
      <c r="C1179" s="180" t="s">
        <v>1723</v>
      </c>
      <c r="D1179" s="180" t="s">
        <v>974</v>
      </c>
      <c r="E1179" s="180" t="s">
        <v>1034</v>
      </c>
      <c r="F1179" s="672">
        <v>0</v>
      </c>
      <c r="G1179" s="672">
        <v>0</v>
      </c>
      <c r="H1179" s="672">
        <v>0</v>
      </c>
      <c r="I1179" s="672">
        <v>0</v>
      </c>
      <c r="J1179" s="672">
        <v>0</v>
      </c>
      <c r="K1179" s="672">
        <v>0</v>
      </c>
      <c r="L1179" s="672">
        <v>0</v>
      </c>
    </row>
    <row r="1180" spans="2:12">
      <c r="B1180" s="180" t="s">
        <v>1266</v>
      </c>
      <c r="C1180" s="180" t="s">
        <v>1267</v>
      </c>
      <c r="D1180" s="180" t="s">
        <v>993</v>
      </c>
      <c r="E1180" s="180" t="s">
        <v>975</v>
      </c>
      <c r="F1180" s="672">
        <v>-72556.490000000005</v>
      </c>
      <c r="G1180" s="672">
        <v>0</v>
      </c>
      <c r="H1180" s="672">
        <v>0</v>
      </c>
      <c r="I1180" s="672">
        <v>0</v>
      </c>
      <c r="J1180" s="672">
        <v>0</v>
      </c>
      <c r="K1180" s="672">
        <v>-37310.46</v>
      </c>
      <c r="L1180" s="672">
        <v>-35246.03</v>
      </c>
    </row>
    <row r="1181" spans="2:12">
      <c r="B1181" s="180" t="s">
        <v>1247</v>
      </c>
      <c r="C1181" s="180" t="s">
        <v>1248</v>
      </c>
      <c r="D1181" s="180" t="s">
        <v>974</v>
      </c>
      <c r="E1181" s="180" t="s">
        <v>980</v>
      </c>
      <c r="F1181" s="672">
        <v>7730.46</v>
      </c>
      <c r="G1181" s="672">
        <v>-4060.83</v>
      </c>
      <c r="H1181" s="672">
        <v>4271.24</v>
      </c>
      <c r="I1181" s="672">
        <v>126.16</v>
      </c>
      <c r="J1181" s="672">
        <v>440.99</v>
      </c>
      <c r="K1181" s="672">
        <v>-272.54000000000002</v>
      </c>
      <c r="L1181" s="672">
        <v>7225.44</v>
      </c>
    </row>
    <row r="1182" spans="2:12">
      <c r="B1182" s="180" t="s">
        <v>1567</v>
      </c>
      <c r="C1182" s="180" t="s">
        <v>982</v>
      </c>
      <c r="D1182" s="180" t="s">
        <v>974</v>
      </c>
      <c r="E1182" s="180" t="s">
        <v>990</v>
      </c>
      <c r="F1182" s="672">
        <v>0</v>
      </c>
      <c r="G1182" s="672">
        <v>0</v>
      </c>
      <c r="H1182" s="672">
        <v>0</v>
      </c>
      <c r="I1182" s="672">
        <v>0</v>
      </c>
      <c r="J1182" s="672">
        <v>0</v>
      </c>
      <c r="K1182" s="672">
        <v>0</v>
      </c>
      <c r="L1182" s="672">
        <v>0</v>
      </c>
    </row>
    <row r="1183" spans="2:12">
      <c r="B1183" s="180" t="s">
        <v>1975</v>
      </c>
      <c r="C1183" s="180" t="s">
        <v>1333</v>
      </c>
      <c r="D1183" s="180" t="s">
        <v>993</v>
      </c>
      <c r="E1183" s="180" t="s">
        <v>990</v>
      </c>
      <c r="F1183" s="672">
        <v>0</v>
      </c>
      <c r="G1183" s="672">
        <v>0</v>
      </c>
      <c r="H1183" s="672">
        <v>0</v>
      </c>
      <c r="I1183" s="672">
        <v>0</v>
      </c>
      <c r="J1183" s="672">
        <v>0</v>
      </c>
      <c r="K1183" s="672">
        <v>0</v>
      </c>
      <c r="L1183" s="672">
        <v>0</v>
      </c>
    </row>
    <row r="1184" spans="2:12">
      <c r="B1184" s="180" t="s">
        <v>1257</v>
      </c>
      <c r="C1184" s="180" t="s">
        <v>1258</v>
      </c>
      <c r="D1184" s="180" t="s">
        <v>993</v>
      </c>
      <c r="E1184" s="180" t="s">
        <v>990</v>
      </c>
      <c r="F1184" s="672">
        <v>0</v>
      </c>
      <c r="G1184" s="672">
        <v>0</v>
      </c>
      <c r="H1184" s="672">
        <v>0</v>
      </c>
      <c r="I1184" s="672">
        <v>0</v>
      </c>
      <c r="J1184" s="672">
        <v>0</v>
      </c>
      <c r="K1184" s="672">
        <v>0</v>
      </c>
      <c r="L1184" s="672">
        <v>0</v>
      </c>
    </row>
    <row r="1185" spans="2:12">
      <c r="B1185" s="180" t="s">
        <v>1879</v>
      </c>
      <c r="C1185" s="180" t="s">
        <v>1220</v>
      </c>
      <c r="D1185" s="180" t="s">
        <v>974</v>
      </c>
      <c r="E1185" s="180" t="s">
        <v>990</v>
      </c>
      <c r="F1185" s="672">
        <v>0</v>
      </c>
      <c r="G1185" s="672">
        <v>0</v>
      </c>
      <c r="H1185" s="672">
        <v>0</v>
      </c>
      <c r="I1185" s="672">
        <v>0</v>
      </c>
      <c r="J1185" s="672">
        <v>0</v>
      </c>
      <c r="K1185" s="672">
        <v>0</v>
      </c>
      <c r="L1185" s="672">
        <v>0</v>
      </c>
    </row>
    <row r="1186" spans="2:12">
      <c r="B1186" s="180" t="s">
        <v>1812</v>
      </c>
      <c r="C1186" s="180" t="s">
        <v>1813</v>
      </c>
      <c r="D1186" s="180" t="s">
        <v>974</v>
      </c>
      <c r="E1186" s="180" t="s">
        <v>990</v>
      </c>
      <c r="F1186" s="672">
        <v>0</v>
      </c>
      <c r="G1186" s="672">
        <v>0</v>
      </c>
      <c r="H1186" s="672">
        <v>0</v>
      </c>
      <c r="I1186" s="672">
        <v>0</v>
      </c>
      <c r="J1186" s="672">
        <v>0</v>
      </c>
      <c r="K1186" s="672">
        <v>0</v>
      </c>
      <c r="L1186" s="672">
        <v>0</v>
      </c>
    </row>
    <row r="1187" spans="2:12">
      <c r="B1187" s="180" t="s">
        <v>1406</v>
      </c>
      <c r="C1187" s="180" t="s">
        <v>1187</v>
      </c>
      <c r="D1187" s="180" t="s">
        <v>993</v>
      </c>
      <c r="E1187" s="180" t="s">
        <v>990</v>
      </c>
      <c r="F1187" s="672">
        <v>0</v>
      </c>
      <c r="G1187" s="672">
        <v>0</v>
      </c>
      <c r="H1187" s="672">
        <v>0</v>
      </c>
      <c r="I1187" s="672">
        <v>0</v>
      </c>
      <c r="J1187" s="672">
        <v>0</v>
      </c>
      <c r="K1187" s="672">
        <v>0</v>
      </c>
      <c r="L1187" s="672">
        <v>0</v>
      </c>
    </row>
    <row r="1188" spans="2:12">
      <c r="B1188" s="180" t="s">
        <v>1872</v>
      </c>
      <c r="C1188" s="180" t="s">
        <v>1302</v>
      </c>
      <c r="D1188" s="180" t="s">
        <v>993</v>
      </c>
      <c r="E1188" s="180" t="s">
        <v>1478</v>
      </c>
      <c r="F1188" s="672">
        <v>2125.2800000000002</v>
      </c>
      <c r="G1188" s="672">
        <v>0</v>
      </c>
      <c r="H1188" s="672">
        <v>0</v>
      </c>
      <c r="I1188" s="672">
        <v>0</v>
      </c>
      <c r="J1188" s="672">
        <v>0</v>
      </c>
      <c r="K1188" s="672">
        <v>2125.2800000000002</v>
      </c>
      <c r="L1188" s="672">
        <v>0</v>
      </c>
    </row>
    <row r="1189" spans="2:12">
      <c r="B1189" s="180" t="s">
        <v>1342</v>
      </c>
      <c r="C1189" s="180" t="s">
        <v>1343</v>
      </c>
      <c r="D1189" s="180" t="s">
        <v>974</v>
      </c>
      <c r="E1189" s="180" t="s">
        <v>980</v>
      </c>
      <c r="F1189" s="672">
        <v>-55785.53</v>
      </c>
      <c r="G1189" s="672">
        <v>-13173.47</v>
      </c>
      <c r="H1189" s="672">
        <v>-12496.43</v>
      </c>
      <c r="I1189" s="672">
        <v>22614.98</v>
      </c>
      <c r="J1189" s="672">
        <v>-11921.31</v>
      </c>
      <c r="K1189" s="672">
        <v>-21838.55</v>
      </c>
      <c r="L1189" s="672">
        <v>-18970.75</v>
      </c>
    </row>
    <row r="1190" spans="2:12">
      <c r="B1190" s="180" t="s">
        <v>1205</v>
      </c>
      <c r="C1190" s="180" t="s">
        <v>1206</v>
      </c>
      <c r="D1190" s="180" t="s">
        <v>974</v>
      </c>
      <c r="E1190" s="180" t="s">
        <v>980</v>
      </c>
      <c r="F1190" s="672">
        <v>-13026.38</v>
      </c>
      <c r="G1190" s="672">
        <v>-14992.98</v>
      </c>
      <c r="H1190" s="672">
        <v>4000.81</v>
      </c>
      <c r="I1190" s="672">
        <v>4525.3900000000003</v>
      </c>
      <c r="J1190" s="672">
        <v>4251.8999999999996</v>
      </c>
      <c r="K1190" s="672">
        <v>15356.22</v>
      </c>
      <c r="L1190" s="672">
        <v>-26167.72</v>
      </c>
    </row>
    <row r="1191" spans="2:12">
      <c r="B1191" s="180" t="s">
        <v>1902</v>
      </c>
      <c r="C1191" s="180" t="s">
        <v>1267</v>
      </c>
      <c r="D1191" s="180" t="s">
        <v>993</v>
      </c>
      <c r="E1191" s="180" t="s">
        <v>980</v>
      </c>
      <c r="F1191" s="672">
        <v>448648.65</v>
      </c>
      <c r="G1191" s="672">
        <v>10429.68</v>
      </c>
      <c r="H1191" s="672">
        <v>6150.17</v>
      </c>
      <c r="I1191" s="672">
        <v>6382.78</v>
      </c>
      <c r="J1191" s="672">
        <v>15138.79</v>
      </c>
      <c r="K1191" s="672">
        <v>187585.64</v>
      </c>
      <c r="L1191" s="672">
        <v>222961.59</v>
      </c>
    </row>
    <row r="1192" spans="2:12">
      <c r="B1192" s="180" t="s">
        <v>1360</v>
      </c>
      <c r="C1192" s="180" t="s">
        <v>1026</v>
      </c>
      <c r="D1192" s="180" t="s">
        <v>993</v>
      </c>
      <c r="E1192" s="180" t="s">
        <v>975</v>
      </c>
      <c r="F1192" s="672">
        <v>-9766.5300000000007</v>
      </c>
      <c r="G1192" s="672">
        <v>0</v>
      </c>
      <c r="H1192" s="672">
        <v>0</v>
      </c>
      <c r="I1192" s="672">
        <v>0</v>
      </c>
      <c r="J1192" s="672">
        <v>0</v>
      </c>
      <c r="K1192" s="672">
        <v>0</v>
      </c>
      <c r="L1192" s="672">
        <v>-9766.5300000000007</v>
      </c>
    </row>
    <row r="1193" spans="2:12">
      <c r="B1193" s="180" t="s">
        <v>1941</v>
      </c>
      <c r="C1193" s="180" t="s">
        <v>1389</v>
      </c>
      <c r="D1193" s="180" t="s">
        <v>993</v>
      </c>
      <c r="E1193" s="180" t="s">
        <v>975</v>
      </c>
      <c r="F1193" s="672">
        <v>-39364.400000000001</v>
      </c>
      <c r="G1193" s="672">
        <v>0</v>
      </c>
      <c r="H1193" s="672">
        <v>0</v>
      </c>
      <c r="I1193" s="672">
        <v>0</v>
      </c>
      <c r="J1193" s="672">
        <v>0</v>
      </c>
      <c r="K1193" s="672">
        <v>-15761.87</v>
      </c>
      <c r="L1193" s="672">
        <v>-23602.53</v>
      </c>
    </row>
    <row r="1194" spans="2:12">
      <c r="B1194" s="180" t="s">
        <v>1240</v>
      </c>
      <c r="C1194" s="180" t="s">
        <v>1241</v>
      </c>
      <c r="D1194" s="180" t="s">
        <v>974</v>
      </c>
      <c r="E1194" s="180" t="s">
        <v>990</v>
      </c>
      <c r="F1194" s="672">
        <v>0</v>
      </c>
      <c r="G1194" s="672">
        <v>0</v>
      </c>
      <c r="H1194" s="672">
        <v>0</v>
      </c>
      <c r="I1194" s="672">
        <v>0</v>
      </c>
      <c r="J1194" s="672">
        <v>0</v>
      </c>
      <c r="K1194" s="672">
        <v>0</v>
      </c>
      <c r="L1194" s="672">
        <v>0</v>
      </c>
    </row>
    <row r="1195" spans="2:12">
      <c r="B1195" s="180" t="s">
        <v>1976</v>
      </c>
      <c r="C1195" s="180" t="s">
        <v>1080</v>
      </c>
      <c r="D1195" s="180" t="s">
        <v>974</v>
      </c>
      <c r="E1195" s="180" t="s">
        <v>990</v>
      </c>
      <c r="F1195" s="672">
        <v>0</v>
      </c>
      <c r="G1195" s="672">
        <v>0</v>
      </c>
      <c r="H1195" s="672">
        <v>0</v>
      </c>
      <c r="I1195" s="672">
        <v>0</v>
      </c>
      <c r="J1195" s="672">
        <v>0</v>
      </c>
      <c r="K1195" s="672">
        <v>0</v>
      </c>
      <c r="L1195" s="672">
        <v>0</v>
      </c>
    </row>
    <row r="1196" spans="2:12">
      <c r="B1196" s="180" t="s">
        <v>1319</v>
      </c>
      <c r="C1196" s="180" t="s">
        <v>1320</v>
      </c>
      <c r="D1196" s="180" t="s">
        <v>974</v>
      </c>
      <c r="E1196" s="180" t="s">
        <v>990</v>
      </c>
      <c r="F1196" s="672">
        <v>0</v>
      </c>
      <c r="G1196" s="672">
        <v>0</v>
      </c>
      <c r="H1196" s="672">
        <v>0</v>
      </c>
      <c r="I1196" s="672">
        <v>0</v>
      </c>
      <c r="J1196" s="672">
        <v>0</v>
      </c>
      <c r="K1196" s="672">
        <v>0</v>
      </c>
      <c r="L1196" s="672">
        <v>0</v>
      </c>
    </row>
    <row r="1197" spans="2:12">
      <c r="B1197" s="180" t="s">
        <v>1574</v>
      </c>
      <c r="C1197" s="180" t="s">
        <v>1397</v>
      </c>
      <c r="D1197" s="180" t="s">
        <v>993</v>
      </c>
      <c r="E1197" s="180" t="s">
        <v>980</v>
      </c>
      <c r="F1197" s="672">
        <v>715756.4</v>
      </c>
      <c r="G1197" s="672">
        <v>17507.099999999999</v>
      </c>
      <c r="H1197" s="672">
        <v>19542.22</v>
      </c>
      <c r="I1197" s="672">
        <v>19454.04</v>
      </c>
      <c r="J1197" s="672">
        <v>13710.5</v>
      </c>
      <c r="K1197" s="672">
        <v>189029.34</v>
      </c>
      <c r="L1197" s="672">
        <v>456513.2</v>
      </c>
    </row>
    <row r="1198" spans="2:12">
      <c r="B1198" s="180" t="s">
        <v>1977</v>
      </c>
      <c r="C1198" s="180" t="s">
        <v>1978</v>
      </c>
      <c r="D1198" s="180" t="s">
        <v>974</v>
      </c>
      <c r="E1198" s="180" t="s">
        <v>975</v>
      </c>
      <c r="F1198" s="672">
        <v>-30211.74</v>
      </c>
      <c r="G1198" s="672">
        <v>0</v>
      </c>
      <c r="H1198" s="672">
        <v>0</v>
      </c>
      <c r="I1198" s="672">
        <v>0</v>
      </c>
      <c r="J1198" s="672">
        <v>0</v>
      </c>
      <c r="K1198" s="672">
        <v>-6163.93</v>
      </c>
      <c r="L1198" s="672">
        <v>-24047.81</v>
      </c>
    </row>
    <row r="1199" spans="2:12">
      <c r="B1199" s="180" t="s">
        <v>1465</v>
      </c>
      <c r="C1199" s="180" t="s">
        <v>1115</v>
      </c>
      <c r="D1199" s="180" t="s">
        <v>974</v>
      </c>
      <c r="E1199" s="180" t="s">
        <v>975</v>
      </c>
      <c r="F1199" s="672">
        <v>378812.44</v>
      </c>
      <c r="G1199" s="672">
        <v>11565.12</v>
      </c>
      <c r="H1199" s="672">
        <v>12666.66</v>
      </c>
      <c r="I1199" s="672">
        <v>13688.74</v>
      </c>
      <c r="J1199" s="672">
        <v>12682.72</v>
      </c>
      <c r="K1199" s="672">
        <v>117438.1</v>
      </c>
      <c r="L1199" s="672">
        <v>210771.1</v>
      </c>
    </row>
    <row r="1200" spans="2:12">
      <c r="B1200" s="180" t="s">
        <v>1940</v>
      </c>
      <c r="C1200" s="180" t="s">
        <v>1115</v>
      </c>
      <c r="D1200" s="180" t="s">
        <v>974</v>
      </c>
      <c r="E1200" s="180" t="s">
        <v>990</v>
      </c>
      <c r="F1200" s="672">
        <v>0</v>
      </c>
      <c r="G1200" s="672">
        <v>0</v>
      </c>
      <c r="H1200" s="672">
        <v>0</v>
      </c>
      <c r="I1200" s="672">
        <v>0</v>
      </c>
      <c r="J1200" s="672">
        <v>0</v>
      </c>
      <c r="K1200" s="672">
        <v>0</v>
      </c>
      <c r="L1200" s="672">
        <v>0</v>
      </c>
    </row>
    <row r="1201" spans="2:12">
      <c r="B1201" s="180" t="s">
        <v>1868</v>
      </c>
      <c r="C1201" s="180" t="s">
        <v>1869</v>
      </c>
      <c r="D1201" s="180" t="s">
        <v>974</v>
      </c>
      <c r="E1201" s="180" t="s">
        <v>975</v>
      </c>
      <c r="F1201" s="672">
        <v>-28.33</v>
      </c>
      <c r="G1201" s="672">
        <v>0</v>
      </c>
      <c r="H1201" s="672">
        <v>0</v>
      </c>
      <c r="I1201" s="672">
        <v>0</v>
      </c>
      <c r="J1201" s="672">
        <v>0</v>
      </c>
      <c r="K1201" s="672">
        <v>0</v>
      </c>
      <c r="L1201" s="672">
        <v>-28.33</v>
      </c>
    </row>
    <row r="1202" spans="2:12">
      <c r="B1202" s="180" t="s">
        <v>1483</v>
      </c>
      <c r="C1202" s="180" t="s">
        <v>1094</v>
      </c>
      <c r="D1202" s="180" t="s">
        <v>974</v>
      </c>
      <c r="E1202" s="180" t="s">
        <v>975</v>
      </c>
      <c r="F1202" s="672">
        <v>1515201.35</v>
      </c>
      <c r="G1202" s="672">
        <v>1401087.41</v>
      </c>
      <c r="H1202" s="672">
        <v>0</v>
      </c>
      <c r="I1202" s="672">
        <v>0</v>
      </c>
      <c r="J1202" s="672">
        <v>0</v>
      </c>
      <c r="K1202" s="672">
        <v>9106.15</v>
      </c>
      <c r="L1202" s="672">
        <v>105007.79</v>
      </c>
    </row>
    <row r="1203" spans="2:12">
      <c r="B1203" s="180" t="s">
        <v>1550</v>
      </c>
      <c r="C1203" s="180" t="s">
        <v>979</v>
      </c>
      <c r="D1203" s="180" t="s">
        <v>974</v>
      </c>
      <c r="E1203" s="180" t="s">
        <v>990</v>
      </c>
      <c r="F1203" s="672">
        <v>0</v>
      </c>
      <c r="G1203" s="672">
        <v>0</v>
      </c>
      <c r="H1203" s="672">
        <v>0</v>
      </c>
      <c r="I1203" s="672">
        <v>0</v>
      </c>
      <c r="J1203" s="672">
        <v>0</v>
      </c>
      <c r="K1203" s="672">
        <v>0</v>
      </c>
      <c r="L1203" s="672">
        <v>0</v>
      </c>
    </row>
    <row r="1204" spans="2:12">
      <c r="B1204" s="180" t="s">
        <v>1558</v>
      </c>
      <c r="C1204" s="180" t="s">
        <v>1009</v>
      </c>
      <c r="D1204" s="180" t="s">
        <v>974</v>
      </c>
      <c r="E1204" s="180" t="s">
        <v>980</v>
      </c>
      <c r="F1204" s="672">
        <v>0</v>
      </c>
      <c r="G1204" s="672">
        <v>-6933.35</v>
      </c>
      <c r="H1204" s="672">
        <v>3807.96</v>
      </c>
      <c r="I1204" s="672">
        <v>1809.3</v>
      </c>
      <c r="J1204" s="672">
        <v>3689.5</v>
      </c>
      <c r="K1204" s="672">
        <v>0</v>
      </c>
      <c r="L1204" s="672">
        <v>-2373.41</v>
      </c>
    </row>
    <row r="1205" spans="2:12">
      <c r="B1205" s="180" t="s">
        <v>1979</v>
      </c>
      <c r="C1205" s="180" t="s">
        <v>1220</v>
      </c>
      <c r="D1205" s="180" t="s">
        <v>974</v>
      </c>
      <c r="E1205" s="180" t="s">
        <v>990</v>
      </c>
      <c r="F1205" s="672">
        <v>0</v>
      </c>
      <c r="G1205" s="672">
        <v>0</v>
      </c>
      <c r="H1205" s="672">
        <v>0</v>
      </c>
      <c r="I1205" s="672">
        <v>0</v>
      </c>
      <c r="J1205" s="672">
        <v>0</v>
      </c>
      <c r="K1205" s="672">
        <v>0</v>
      </c>
      <c r="L1205" s="672">
        <v>0</v>
      </c>
    </row>
    <row r="1206" spans="2:12">
      <c r="B1206" s="180" t="s">
        <v>1948</v>
      </c>
      <c r="C1206" s="180" t="s">
        <v>1069</v>
      </c>
      <c r="D1206" s="180" t="s">
        <v>993</v>
      </c>
      <c r="E1206" s="180" t="s">
        <v>990</v>
      </c>
      <c r="F1206" s="672">
        <v>0</v>
      </c>
      <c r="G1206" s="672">
        <v>0</v>
      </c>
      <c r="H1206" s="672">
        <v>0</v>
      </c>
      <c r="I1206" s="672">
        <v>0</v>
      </c>
      <c r="J1206" s="672">
        <v>0</v>
      </c>
      <c r="K1206" s="672">
        <v>0</v>
      </c>
      <c r="L1206" s="672">
        <v>0</v>
      </c>
    </row>
    <row r="1207" spans="2:12">
      <c r="B1207" s="180" t="s">
        <v>1643</v>
      </c>
      <c r="C1207" s="180" t="s">
        <v>1644</v>
      </c>
      <c r="D1207" s="180" t="s">
        <v>974</v>
      </c>
      <c r="E1207" s="180" t="s">
        <v>975</v>
      </c>
      <c r="F1207" s="672">
        <v>2680710.73</v>
      </c>
      <c r="G1207" s="672">
        <v>0</v>
      </c>
      <c r="H1207" s="672">
        <v>0</v>
      </c>
      <c r="I1207" s="672">
        <v>0</v>
      </c>
      <c r="J1207" s="672">
        <v>0</v>
      </c>
      <c r="K1207" s="672">
        <v>337256.6</v>
      </c>
      <c r="L1207" s="672">
        <v>2343454.13</v>
      </c>
    </row>
    <row r="1208" spans="2:12">
      <c r="B1208" s="180" t="s">
        <v>1939</v>
      </c>
      <c r="C1208" s="180" t="s">
        <v>1330</v>
      </c>
      <c r="D1208" s="180" t="s">
        <v>993</v>
      </c>
      <c r="E1208" s="180" t="s">
        <v>1018</v>
      </c>
      <c r="F1208" s="672">
        <v>0</v>
      </c>
      <c r="G1208" s="672">
        <v>0</v>
      </c>
      <c r="H1208" s="672">
        <v>0</v>
      </c>
      <c r="I1208" s="672">
        <v>0</v>
      </c>
      <c r="J1208" s="672">
        <v>0</v>
      </c>
      <c r="K1208" s="672">
        <v>0</v>
      </c>
      <c r="L1208" s="672">
        <v>0</v>
      </c>
    </row>
    <row r="1209" spans="2:12">
      <c r="B1209" s="180" t="s">
        <v>1896</v>
      </c>
      <c r="C1209" s="180" t="s">
        <v>1060</v>
      </c>
      <c r="D1209" s="180" t="s">
        <v>993</v>
      </c>
      <c r="E1209" s="180" t="s">
        <v>975</v>
      </c>
      <c r="F1209" s="672">
        <v>-79897.070000000007</v>
      </c>
      <c r="G1209" s="672">
        <v>0</v>
      </c>
      <c r="H1209" s="672">
        <v>0</v>
      </c>
      <c r="I1209" s="672">
        <v>0</v>
      </c>
      <c r="J1209" s="672">
        <v>0</v>
      </c>
      <c r="K1209" s="672">
        <v>0</v>
      </c>
      <c r="L1209" s="672">
        <v>-79897.070000000007</v>
      </c>
    </row>
    <row r="1210" spans="2:12">
      <c r="B1210" s="180" t="s">
        <v>1980</v>
      </c>
      <c r="C1210" s="180" t="s">
        <v>1185</v>
      </c>
      <c r="D1210" s="180" t="s">
        <v>993</v>
      </c>
      <c r="E1210" s="180" t="s">
        <v>990</v>
      </c>
      <c r="F1210" s="672">
        <v>0</v>
      </c>
      <c r="G1210" s="672">
        <v>0</v>
      </c>
      <c r="H1210" s="672">
        <v>0</v>
      </c>
      <c r="I1210" s="672">
        <v>0</v>
      </c>
      <c r="J1210" s="672">
        <v>0</v>
      </c>
      <c r="K1210" s="672">
        <v>0</v>
      </c>
      <c r="L1210" s="672">
        <v>0</v>
      </c>
    </row>
    <row r="1211" spans="2:12">
      <c r="B1211" s="180" t="s">
        <v>1981</v>
      </c>
      <c r="C1211" s="180" t="s">
        <v>1067</v>
      </c>
      <c r="D1211" s="180" t="s">
        <v>993</v>
      </c>
      <c r="E1211" s="180" t="s">
        <v>980</v>
      </c>
      <c r="F1211" s="672">
        <v>7432.55</v>
      </c>
      <c r="G1211" s="672">
        <v>139.57</v>
      </c>
      <c r="H1211" s="672">
        <v>202.35</v>
      </c>
      <c r="I1211" s="672">
        <v>203.85</v>
      </c>
      <c r="J1211" s="672">
        <v>175.06</v>
      </c>
      <c r="K1211" s="672">
        <v>1238.24</v>
      </c>
      <c r="L1211" s="672">
        <v>5473.48</v>
      </c>
    </row>
    <row r="1212" spans="2:12">
      <c r="B1212" s="180" t="s">
        <v>1696</v>
      </c>
      <c r="C1212" s="180" t="s">
        <v>1697</v>
      </c>
      <c r="D1212" s="180" t="s">
        <v>974</v>
      </c>
      <c r="E1212" s="180" t="s">
        <v>1018</v>
      </c>
      <c r="F1212" s="672">
        <v>0</v>
      </c>
      <c r="G1212" s="672">
        <v>0</v>
      </c>
      <c r="H1212" s="672">
        <v>0</v>
      </c>
      <c r="I1212" s="672">
        <v>0</v>
      </c>
      <c r="J1212" s="672">
        <v>0</v>
      </c>
      <c r="K1212" s="672">
        <v>0</v>
      </c>
      <c r="L1212" s="672">
        <v>0</v>
      </c>
    </row>
    <row r="1213" spans="2:12">
      <c r="B1213" s="180" t="s">
        <v>1982</v>
      </c>
      <c r="C1213" s="180" t="s">
        <v>1455</v>
      </c>
      <c r="D1213" s="180" t="s">
        <v>993</v>
      </c>
      <c r="E1213" s="180" t="s">
        <v>980</v>
      </c>
      <c r="F1213" s="672">
        <v>23053.94</v>
      </c>
      <c r="G1213" s="672">
        <v>637.07000000000005</v>
      </c>
      <c r="H1213" s="672">
        <v>747.83</v>
      </c>
      <c r="I1213" s="672">
        <v>603.98</v>
      </c>
      <c r="J1213" s="672">
        <v>199.36</v>
      </c>
      <c r="K1213" s="672">
        <v>3141.17</v>
      </c>
      <c r="L1213" s="672">
        <v>17724.53</v>
      </c>
    </row>
    <row r="1214" spans="2:12">
      <c r="B1214" s="180" t="s">
        <v>1982</v>
      </c>
      <c r="C1214" s="180" t="s">
        <v>1455</v>
      </c>
      <c r="D1214" s="180" t="s">
        <v>993</v>
      </c>
      <c r="E1214" s="180" t="s">
        <v>990</v>
      </c>
      <c r="F1214" s="672">
        <v>0</v>
      </c>
      <c r="G1214" s="672">
        <v>0</v>
      </c>
      <c r="H1214" s="672">
        <v>0</v>
      </c>
      <c r="I1214" s="672">
        <v>0</v>
      </c>
      <c r="J1214" s="672">
        <v>0</v>
      </c>
      <c r="K1214" s="672">
        <v>0</v>
      </c>
      <c r="L1214" s="672">
        <v>0</v>
      </c>
    </row>
    <row r="1215" spans="2:12">
      <c r="B1215" s="180" t="s">
        <v>1095</v>
      </c>
      <c r="C1215" s="180" t="s">
        <v>1096</v>
      </c>
      <c r="D1215" s="180" t="s">
        <v>974</v>
      </c>
      <c r="E1215" s="180" t="s">
        <v>980</v>
      </c>
      <c r="F1215" s="672">
        <v>1979904.68</v>
      </c>
      <c r="G1215" s="672">
        <v>45847.27</v>
      </c>
      <c r="H1215" s="672">
        <v>45818.49</v>
      </c>
      <c r="I1215" s="672">
        <v>45709.47</v>
      </c>
      <c r="J1215" s="672">
        <v>45725.78</v>
      </c>
      <c r="K1215" s="672">
        <v>359623.02</v>
      </c>
      <c r="L1215" s="672">
        <v>1437180.65</v>
      </c>
    </row>
    <row r="1216" spans="2:12">
      <c r="B1216" s="180" t="s">
        <v>1535</v>
      </c>
      <c r="C1216" s="180" t="s">
        <v>1536</v>
      </c>
      <c r="D1216" s="180" t="s">
        <v>974</v>
      </c>
      <c r="E1216" s="180" t="s">
        <v>990</v>
      </c>
      <c r="F1216" s="672">
        <v>0</v>
      </c>
      <c r="G1216" s="672">
        <v>0</v>
      </c>
      <c r="H1216" s="672">
        <v>0</v>
      </c>
      <c r="I1216" s="672">
        <v>0</v>
      </c>
      <c r="J1216" s="672">
        <v>0</v>
      </c>
      <c r="K1216" s="672">
        <v>0</v>
      </c>
      <c r="L1216" s="672">
        <v>0</v>
      </c>
    </row>
    <row r="1217" spans="2:12">
      <c r="B1217" s="180" t="s">
        <v>1454</v>
      </c>
      <c r="C1217" s="180" t="s">
        <v>1455</v>
      </c>
      <c r="D1217" s="180" t="s">
        <v>993</v>
      </c>
      <c r="E1217" s="180" t="s">
        <v>1075</v>
      </c>
      <c r="F1217" s="672">
        <v>0</v>
      </c>
      <c r="G1217" s="672">
        <v>0</v>
      </c>
      <c r="H1217" s="672">
        <v>0</v>
      </c>
      <c r="I1217" s="672">
        <v>0</v>
      </c>
      <c r="J1217" s="672">
        <v>0</v>
      </c>
      <c r="K1217" s="672">
        <v>0</v>
      </c>
      <c r="L1217" s="672">
        <v>0</v>
      </c>
    </row>
    <row r="1218" spans="2:12">
      <c r="B1218" s="180" t="s">
        <v>1777</v>
      </c>
      <c r="C1218" s="180" t="s">
        <v>1778</v>
      </c>
      <c r="D1218" s="180" t="s">
        <v>974</v>
      </c>
      <c r="E1218" s="180" t="s">
        <v>980</v>
      </c>
      <c r="F1218" s="672">
        <v>309199.89</v>
      </c>
      <c r="G1218" s="672">
        <v>-12878.13</v>
      </c>
      <c r="H1218" s="672">
        <v>39243.83</v>
      </c>
      <c r="I1218" s="672">
        <v>10751.8</v>
      </c>
      <c r="J1218" s="672">
        <v>16725.330000000002</v>
      </c>
      <c r="K1218" s="672">
        <v>1223.1099999999999</v>
      </c>
      <c r="L1218" s="672">
        <v>254133.95</v>
      </c>
    </row>
    <row r="1219" spans="2:12">
      <c r="B1219" s="180" t="s">
        <v>1979</v>
      </c>
      <c r="C1219" s="180" t="s">
        <v>1220</v>
      </c>
      <c r="D1219" s="180" t="s">
        <v>974</v>
      </c>
      <c r="E1219" s="180" t="s">
        <v>980</v>
      </c>
      <c r="F1219" s="672">
        <v>1487484.24</v>
      </c>
      <c r="G1219" s="672">
        <v>-516496.28</v>
      </c>
      <c r="H1219" s="672">
        <v>687362.79</v>
      </c>
      <c r="I1219" s="672">
        <v>1029471.65</v>
      </c>
      <c r="J1219" s="672">
        <v>597119.19999999995</v>
      </c>
      <c r="K1219" s="672">
        <v>-2438543.7200000002</v>
      </c>
      <c r="L1219" s="672">
        <v>2128570.6</v>
      </c>
    </row>
    <row r="1220" spans="2:12">
      <c r="B1220" s="180" t="s">
        <v>1751</v>
      </c>
      <c r="C1220" s="180" t="s">
        <v>1631</v>
      </c>
      <c r="D1220" s="180" t="s">
        <v>993</v>
      </c>
      <c r="E1220" s="180" t="s">
        <v>980</v>
      </c>
      <c r="F1220" s="672">
        <v>289530.83</v>
      </c>
      <c r="G1220" s="672">
        <v>12547.85</v>
      </c>
      <c r="H1220" s="672">
        <v>20012.03</v>
      </c>
      <c r="I1220" s="672">
        <v>21953.38</v>
      </c>
      <c r="J1220" s="672">
        <v>13318.2</v>
      </c>
      <c r="K1220" s="672">
        <v>58406.31</v>
      </c>
      <c r="L1220" s="672">
        <v>163293.06</v>
      </c>
    </row>
    <row r="1221" spans="2:12">
      <c r="B1221" s="180" t="s">
        <v>1983</v>
      </c>
      <c r="C1221" s="180" t="s">
        <v>1115</v>
      </c>
      <c r="D1221" s="180" t="s">
        <v>974</v>
      </c>
      <c r="E1221" s="180" t="s">
        <v>990</v>
      </c>
      <c r="F1221" s="672">
        <v>0</v>
      </c>
      <c r="G1221" s="672">
        <v>0</v>
      </c>
      <c r="H1221" s="672">
        <v>0</v>
      </c>
      <c r="I1221" s="672">
        <v>0</v>
      </c>
      <c r="J1221" s="672">
        <v>0</v>
      </c>
      <c r="K1221" s="672">
        <v>0</v>
      </c>
      <c r="L1221" s="672">
        <v>0</v>
      </c>
    </row>
    <row r="1222" spans="2:12">
      <c r="B1222" s="180" t="s">
        <v>1016</v>
      </c>
      <c r="C1222" s="180" t="s">
        <v>1017</v>
      </c>
      <c r="D1222" s="180" t="s">
        <v>974</v>
      </c>
      <c r="E1222" s="180" t="s">
        <v>983</v>
      </c>
      <c r="F1222" s="672">
        <v>-128.13</v>
      </c>
      <c r="G1222" s="672">
        <v>-128.13</v>
      </c>
      <c r="H1222" s="672">
        <v>0</v>
      </c>
      <c r="I1222" s="672">
        <v>0</v>
      </c>
      <c r="J1222" s="672">
        <v>0</v>
      </c>
      <c r="K1222" s="672">
        <v>0</v>
      </c>
      <c r="L1222" s="672">
        <v>0</v>
      </c>
    </row>
    <row r="1223" spans="2:12">
      <c r="B1223" s="180" t="s">
        <v>1743</v>
      </c>
      <c r="C1223" s="180" t="s">
        <v>1005</v>
      </c>
      <c r="D1223" s="180" t="s">
        <v>993</v>
      </c>
      <c r="E1223" s="180" t="s">
        <v>980</v>
      </c>
      <c r="F1223" s="672">
        <v>42780.34</v>
      </c>
      <c r="G1223" s="672">
        <v>85.54</v>
      </c>
      <c r="H1223" s="672">
        <v>68.31</v>
      </c>
      <c r="I1223" s="672">
        <v>77.95</v>
      </c>
      <c r="J1223" s="672">
        <v>165.28</v>
      </c>
      <c r="K1223" s="672">
        <v>2365.31</v>
      </c>
      <c r="L1223" s="672">
        <v>40017.949999999997</v>
      </c>
    </row>
    <row r="1224" spans="2:12">
      <c r="B1224" s="180" t="s">
        <v>1392</v>
      </c>
      <c r="C1224" s="180" t="s">
        <v>1307</v>
      </c>
      <c r="D1224" s="180" t="s">
        <v>993</v>
      </c>
      <c r="E1224" s="180" t="s">
        <v>990</v>
      </c>
      <c r="F1224" s="672">
        <v>0</v>
      </c>
      <c r="G1224" s="672">
        <v>0</v>
      </c>
      <c r="H1224" s="672">
        <v>0</v>
      </c>
      <c r="I1224" s="672">
        <v>0</v>
      </c>
      <c r="J1224" s="672">
        <v>0</v>
      </c>
      <c r="K1224" s="672">
        <v>0</v>
      </c>
      <c r="L1224" s="672">
        <v>0</v>
      </c>
    </row>
    <row r="1225" spans="2:12">
      <c r="B1225" s="180" t="s">
        <v>1219</v>
      </c>
      <c r="C1225" s="180" t="s">
        <v>1220</v>
      </c>
      <c r="D1225" s="180" t="s">
        <v>974</v>
      </c>
      <c r="E1225" s="180" t="s">
        <v>990</v>
      </c>
      <c r="F1225" s="672">
        <v>0</v>
      </c>
      <c r="G1225" s="672">
        <v>0</v>
      </c>
      <c r="H1225" s="672">
        <v>0</v>
      </c>
      <c r="I1225" s="672">
        <v>0</v>
      </c>
      <c r="J1225" s="672">
        <v>0</v>
      </c>
      <c r="K1225" s="672">
        <v>0</v>
      </c>
      <c r="L1225" s="672">
        <v>0</v>
      </c>
    </row>
    <row r="1226" spans="2:12">
      <c r="B1226" s="180" t="s">
        <v>1884</v>
      </c>
      <c r="C1226" s="180" t="s">
        <v>1115</v>
      </c>
      <c r="D1226" s="180" t="s">
        <v>974</v>
      </c>
      <c r="E1226" s="180" t="s">
        <v>990</v>
      </c>
      <c r="F1226" s="672">
        <v>0</v>
      </c>
      <c r="G1226" s="672">
        <v>0</v>
      </c>
      <c r="H1226" s="672">
        <v>0</v>
      </c>
      <c r="I1226" s="672">
        <v>0</v>
      </c>
      <c r="J1226" s="672">
        <v>0</v>
      </c>
      <c r="K1226" s="672">
        <v>0</v>
      </c>
      <c r="L1226" s="672">
        <v>0</v>
      </c>
    </row>
    <row r="1227" spans="2:12">
      <c r="B1227" s="180" t="s">
        <v>1340</v>
      </c>
      <c r="C1227" s="180" t="s">
        <v>1341</v>
      </c>
      <c r="D1227" s="180" t="s">
        <v>974</v>
      </c>
      <c r="E1227" s="180" t="s">
        <v>975</v>
      </c>
      <c r="F1227" s="672">
        <v>-1350.89</v>
      </c>
      <c r="G1227" s="672">
        <v>0</v>
      </c>
      <c r="H1227" s="672">
        <v>0</v>
      </c>
      <c r="I1227" s="672">
        <v>0</v>
      </c>
      <c r="J1227" s="672">
        <v>0</v>
      </c>
      <c r="K1227" s="672">
        <v>-4.33</v>
      </c>
      <c r="L1227" s="672">
        <v>-1346.56</v>
      </c>
    </row>
    <row r="1228" spans="2:12">
      <c r="B1228" s="180" t="s">
        <v>1918</v>
      </c>
      <c r="C1228" s="180" t="s">
        <v>1488</v>
      </c>
      <c r="D1228" s="180" t="s">
        <v>974</v>
      </c>
      <c r="E1228" s="180" t="s">
        <v>975</v>
      </c>
      <c r="F1228" s="672">
        <v>45931.37</v>
      </c>
      <c r="G1228" s="672">
        <v>0</v>
      </c>
      <c r="H1228" s="672">
        <v>0</v>
      </c>
      <c r="I1228" s="672">
        <v>0</v>
      </c>
      <c r="J1228" s="672">
        <v>0</v>
      </c>
      <c r="K1228" s="672">
        <v>0</v>
      </c>
      <c r="L1228" s="672">
        <v>45931.37</v>
      </c>
    </row>
    <row r="1229" spans="2:12">
      <c r="B1229" s="180" t="s">
        <v>1795</v>
      </c>
      <c r="C1229" s="180" t="s">
        <v>1796</v>
      </c>
      <c r="D1229" s="180" t="s">
        <v>974</v>
      </c>
      <c r="E1229" s="180" t="s">
        <v>980</v>
      </c>
      <c r="F1229" s="672">
        <v>14664534.09</v>
      </c>
      <c r="G1229" s="672">
        <v>338725.39</v>
      </c>
      <c r="H1229" s="672">
        <v>339375.62</v>
      </c>
      <c r="I1229" s="672">
        <v>339083.13</v>
      </c>
      <c r="J1229" s="672">
        <v>338698.84</v>
      </c>
      <c r="K1229" s="672">
        <v>2717490.7</v>
      </c>
      <c r="L1229" s="672">
        <v>10591160.41</v>
      </c>
    </row>
    <row r="1230" spans="2:12">
      <c r="B1230" s="180" t="s">
        <v>1984</v>
      </c>
      <c r="C1230" s="180" t="s">
        <v>1985</v>
      </c>
      <c r="D1230" s="180" t="s">
        <v>974</v>
      </c>
      <c r="E1230" s="180" t="s">
        <v>990</v>
      </c>
      <c r="F1230" s="672">
        <v>0</v>
      </c>
      <c r="G1230" s="672">
        <v>0</v>
      </c>
      <c r="H1230" s="672">
        <v>0</v>
      </c>
      <c r="I1230" s="672">
        <v>0</v>
      </c>
      <c r="J1230" s="672">
        <v>0</v>
      </c>
      <c r="K1230" s="672">
        <v>0</v>
      </c>
      <c r="L1230" s="672">
        <v>0</v>
      </c>
    </row>
    <row r="1231" spans="2:12">
      <c r="B1231" s="180" t="s">
        <v>1824</v>
      </c>
      <c r="C1231" s="180" t="s">
        <v>1825</v>
      </c>
      <c r="D1231" s="180" t="s">
        <v>974</v>
      </c>
      <c r="E1231" s="180" t="s">
        <v>980</v>
      </c>
      <c r="F1231" s="672">
        <v>-2597.87</v>
      </c>
      <c r="G1231" s="672">
        <v>-3423.61</v>
      </c>
      <c r="H1231" s="672">
        <v>3384.68</v>
      </c>
      <c r="I1231" s="672">
        <v>2967.68</v>
      </c>
      <c r="J1231" s="672">
        <v>3297.76</v>
      </c>
      <c r="K1231" s="672">
        <v>9432.92</v>
      </c>
      <c r="L1231" s="672">
        <v>-18257.3</v>
      </c>
    </row>
    <row r="1232" spans="2:12">
      <c r="B1232" s="180" t="s">
        <v>1442</v>
      </c>
      <c r="C1232" s="180" t="s">
        <v>1443</v>
      </c>
      <c r="D1232" s="180" t="s">
        <v>974</v>
      </c>
      <c r="E1232" s="180" t="s">
        <v>975</v>
      </c>
      <c r="F1232" s="672">
        <v>104496.6</v>
      </c>
      <c r="G1232" s="672">
        <v>45</v>
      </c>
      <c r="H1232" s="672">
        <v>0</v>
      </c>
      <c r="I1232" s="672">
        <v>0</v>
      </c>
      <c r="J1232" s="672">
        <v>0</v>
      </c>
      <c r="K1232" s="672">
        <v>0</v>
      </c>
      <c r="L1232" s="672">
        <v>104451.6</v>
      </c>
    </row>
    <row r="1233" spans="2:12">
      <c r="B1233" s="180" t="s">
        <v>1398</v>
      </c>
      <c r="C1233" s="180" t="s">
        <v>1399</v>
      </c>
      <c r="D1233" s="180" t="s">
        <v>993</v>
      </c>
      <c r="E1233" s="180" t="s">
        <v>980</v>
      </c>
      <c r="F1233" s="672">
        <v>165501.59</v>
      </c>
      <c r="G1233" s="672">
        <v>3524.75</v>
      </c>
      <c r="H1233" s="672">
        <v>3581.2</v>
      </c>
      <c r="I1233" s="672">
        <v>4831.7700000000004</v>
      </c>
      <c r="J1233" s="672">
        <v>5154.91</v>
      </c>
      <c r="K1233" s="672">
        <v>28838.39</v>
      </c>
      <c r="L1233" s="672">
        <v>119570.57</v>
      </c>
    </row>
    <row r="1234" spans="2:12">
      <c r="B1234" s="180" t="s">
        <v>1804</v>
      </c>
      <c r="C1234" s="180" t="s">
        <v>1529</v>
      </c>
      <c r="D1234" s="180" t="s">
        <v>974</v>
      </c>
      <c r="E1234" s="180" t="s">
        <v>980</v>
      </c>
      <c r="F1234" s="672">
        <v>54624.93</v>
      </c>
      <c r="G1234" s="672">
        <v>-103383.78</v>
      </c>
      <c r="H1234" s="672">
        <v>130332.8</v>
      </c>
      <c r="I1234" s="672">
        <v>-54765.14</v>
      </c>
      <c r="J1234" s="672">
        <v>-106800.36</v>
      </c>
      <c r="K1234" s="672">
        <v>141772.04999999999</v>
      </c>
      <c r="L1234" s="672">
        <v>47469.36</v>
      </c>
    </row>
    <row r="1235" spans="2:12">
      <c r="B1235" s="180" t="s">
        <v>1087</v>
      </c>
      <c r="C1235" s="180" t="s">
        <v>1088</v>
      </c>
      <c r="D1235" s="180" t="s">
        <v>974</v>
      </c>
      <c r="E1235" s="180" t="s">
        <v>975</v>
      </c>
      <c r="F1235" s="672">
        <v>33042.83</v>
      </c>
      <c r="G1235" s="672">
        <v>0</v>
      </c>
      <c r="H1235" s="672">
        <v>0</v>
      </c>
      <c r="I1235" s="672">
        <v>0</v>
      </c>
      <c r="J1235" s="672">
        <v>0</v>
      </c>
      <c r="K1235" s="672">
        <v>0</v>
      </c>
      <c r="L1235" s="672">
        <v>33042.83</v>
      </c>
    </row>
    <row r="1236" spans="2:12">
      <c r="B1236" s="180" t="s">
        <v>1872</v>
      </c>
      <c r="C1236" s="180" t="s">
        <v>1302</v>
      </c>
      <c r="D1236" s="180" t="s">
        <v>993</v>
      </c>
      <c r="E1236" s="180" t="s">
        <v>990</v>
      </c>
      <c r="F1236" s="672">
        <v>0</v>
      </c>
      <c r="G1236" s="672">
        <v>0</v>
      </c>
      <c r="H1236" s="672">
        <v>0</v>
      </c>
      <c r="I1236" s="672">
        <v>0</v>
      </c>
      <c r="J1236" s="672">
        <v>0</v>
      </c>
      <c r="K1236" s="672">
        <v>0</v>
      </c>
      <c r="L1236" s="672">
        <v>0</v>
      </c>
    </row>
    <row r="1237" spans="2:12">
      <c r="B1237" s="180" t="s">
        <v>1833</v>
      </c>
      <c r="C1237" s="180" t="s">
        <v>1246</v>
      </c>
      <c r="D1237" s="180" t="s">
        <v>974</v>
      </c>
      <c r="E1237" s="180" t="s">
        <v>980</v>
      </c>
      <c r="F1237" s="672">
        <v>-1040</v>
      </c>
      <c r="G1237" s="672">
        <v>-192.6</v>
      </c>
      <c r="H1237" s="672">
        <v>29.67</v>
      </c>
      <c r="I1237" s="672">
        <v>53.77</v>
      </c>
      <c r="J1237" s="672">
        <v>-102.79</v>
      </c>
      <c r="K1237" s="672">
        <v>224.54</v>
      </c>
      <c r="L1237" s="672">
        <v>-1052.5899999999999</v>
      </c>
    </row>
    <row r="1238" spans="2:12">
      <c r="B1238" s="180" t="s">
        <v>1070</v>
      </c>
      <c r="C1238" s="180" t="s">
        <v>1005</v>
      </c>
      <c r="D1238" s="180" t="s">
        <v>993</v>
      </c>
      <c r="E1238" s="180" t="s">
        <v>980</v>
      </c>
      <c r="F1238" s="672">
        <v>247941.87</v>
      </c>
      <c r="G1238" s="672">
        <v>16040.78</v>
      </c>
      <c r="H1238" s="672">
        <v>17569.48</v>
      </c>
      <c r="I1238" s="672">
        <v>16935.59</v>
      </c>
      <c r="J1238" s="672">
        <v>17217.71</v>
      </c>
      <c r="K1238" s="672">
        <v>48687.51</v>
      </c>
      <c r="L1238" s="672">
        <v>131490.79999999999</v>
      </c>
    </row>
    <row r="1239" spans="2:12">
      <c r="B1239" s="180" t="s">
        <v>1689</v>
      </c>
      <c r="C1239" s="180" t="s">
        <v>1506</v>
      </c>
      <c r="D1239" s="180" t="s">
        <v>993</v>
      </c>
      <c r="E1239" s="180" t="s">
        <v>980</v>
      </c>
      <c r="F1239" s="672">
        <v>156438.16</v>
      </c>
      <c r="G1239" s="672">
        <v>2998.71</v>
      </c>
      <c r="H1239" s="672">
        <v>3230.56</v>
      </c>
      <c r="I1239" s="672">
        <v>2654.11</v>
      </c>
      <c r="J1239" s="672">
        <v>2697.69</v>
      </c>
      <c r="K1239" s="672">
        <v>28295.9</v>
      </c>
      <c r="L1239" s="672">
        <v>116561.19</v>
      </c>
    </row>
    <row r="1240" spans="2:12">
      <c r="B1240" s="180" t="s">
        <v>1986</v>
      </c>
      <c r="C1240" s="180" t="s">
        <v>1987</v>
      </c>
      <c r="D1240" s="180" t="s">
        <v>974</v>
      </c>
      <c r="E1240" s="180" t="s">
        <v>980</v>
      </c>
      <c r="F1240" s="672">
        <v>-52217.4</v>
      </c>
      <c r="G1240" s="672">
        <v>-18386.419999999998</v>
      </c>
      <c r="H1240" s="672">
        <v>-18520.099999999999</v>
      </c>
      <c r="I1240" s="672">
        <v>-18034.75</v>
      </c>
      <c r="J1240" s="672">
        <v>-18762.48</v>
      </c>
      <c r="K1240" s="672">
        <v>-28379.77</v>
      </c>
      <c r="L1240" s="672">
        <v>49866.12</v>
      </c>
    </row>
    <row r="1241" spans="2:12">
      <c r="B1241" s="180" t="s">
        <v>1512</v>
      </c>
      <c r="C1241" s="180" t="s">
        <v>1152</v>
      </c>
      <c r="D1241" s="180" t="s">
        <v>993</v>
      </c>
      <c r="E1241" s="180" t="s">
        <v>975</v>
      </c>
      <c r="F1241" s="672">
        <v>595.55999999999995</v>
      </c>
      <c r="G1241" s="672">
        <v>0</v>
      </c>
      <c r="H1241" s="672">
        <v>0</v>
      </c>
      <c r="I1241" s="672">
        <v>0</v>
      </c>
      <c r="J1241" s="672">
        <v>0</v>
      </c>
      <c r="K1241" s="672">
        <v>0</v>
      </c>
      <c r="L1241" s="672">
        <v>595.55999999999995</v>
      </c>
    </row>
    <row r="1242" spans="2:12">
      <c r="B1242" s="180" t="s">
        <v>1738</v>
      </c>
      <c r="C1242" s="180" t="s">
        <v>1739</v>
      </c>
      <c r="D1242" s="180" t="s">
        <v>974</v>
      </c>
      <c r="E1242" s="180" t="s">
        <v>980</v>
      </c>
      <c r="F1242" s="672">
        <v>11087.36</v>
      </c>
      <c r="G1242" s="672">
        <v>11130.46</v>
      </c>
      <c r="H1242" s="672">
        <v>723.97</v>
      </c>
      <c r="I1242" s="672">
        <v>-289.58999999999997</v>
      </c>
      <c r="J1242" s="672">
        <v>144.78</v>
      </c>
      <c r="K1242" s="672">
        <v>98759.83</v>
      </c>
      <c r="L1242" s="672">
        <v>-99382.09</v>
      </c>
    </row>
    <row r="1243" spans="2:12">
      <c r="B1243" s="180" t="s">
        <v>1980</v>
      </c>
      <c r="C1243" s="180" t="s">
        <v>1185</v>
      </c>
      <c r="D1243" s="180" t="s">
        <v>993</v>
      </c>
      <c r="E1243" s="180" t="s">
        <v>980</v>
      </c>
      <c r="F1243" s="672">
        <v>45917.85</v>
      </c>
      <c r="G1243" s="672">
        <v>0</v>
      </c>
      <c r="H1243" s="672">
        <v>0</v>
      </c>
      <c r="I1243" s="672">
        <v>0</v>
      </c>
      <c r="J1243" s="672">
        <v>0</v>
      </c>
      <c r="K1243" s="672">
        <v>5611.62</v>
      </c>
      <c r="L1243" s="672">
        <v>40306.230000000003</v>
      </c>
    </row>
    <row r="1244" spans="2:12">
      <c r="B1244" s="180" t="s">
        <v>1988</v>
      </c>
      <c r="C1244" s="180" t="s">
        <v>1989</v>
      </c>
      <c r="D1244" s="180" t="s">
        <v>974</v>
      </c>
      <c r="E1244" s="180" t="s">
        <v>975</v>
      </c>
      <c r="F1244" s="672">
        <v>-548.67999999999995</v>
      </c>
      <c r="G1244" s="672">
        <v>0</v>
      </c>
      <c r="H1244" s="672">
        <v>0</v>
      </c>
      <c r="I1244" s="672">
        <v>0</v>
      </c>
      <c r="J1244" s="672">
        <v>0</v>
      </c>
      <c r="K1244" s="672">
        <v>0</v>
      </c>
      <c r="L1244" s="672">
        <v>-548.67999999999995</v>
      </c>
    </row>
    <row r="1245" spans="2:12">
      <c r="B1245" s="180" t="s">
        <v>1990</v>
      </c>
      <c r="C1245" s="180" t="s">
        <v>1991</v>
      </c>
      <c r="D1245" s="180" t="s">
        <v>974</v>
      </c>
      <c r="E1245" s="180" t="s">
        <v>980</v>
      </c>
      <c r="F1245" s="672">
        <v>9819288.1400000006</v>
      </c>
      <c r="G1245" s="672">
        <v>226328.01</v>
      </c>
      <c r="H1245" s="672">
        <v>226915.18</v>
      </c>
      <c r="I1245" s="672">
        <v>226380.88</v>
      </c>
      <c r="J1245" s="672">
        <v>226703.57</v>
      </c>
      <c r="K1245" s="672">
        <v>1821404.76</v>
      </c>
      <c r="L1245" s="672">
        <v>7091555.7400000002</v>
      </c>
    </row>
    <row r="1246" spans="2:12">
      <c r="B1246" s="180" t="s">
        <v>1568</v>
      </c>
      <c r="C1246" s="180" t="s">
        <v>1569</v>
      </c>
      <c r="D1246" s="180" t="s">
        <v>974</v>
      </c>
      <c r="E1246" s="180" t="s">
        <v>1075</v>
      </c>
      <c r="F1246" s="672">
        <v>0</v>
      </c>
      <c r="G1246" s="672">
        <v>0</v>
      </c>
      <c r="H1246" s="672">
        <v>0</v>
      </c>
      <c r="I1246" s="672">
        <v>0</v>
      </c>
      <c r="J1246" s="672">
        <v>0</v>
      </c>
      <c r="K1246" s="672">
        <v>0</v>
      </c>
      <c r="L1246" s="672">
        <v>0</v>
      </c>
    </row>
    <row r="1247" spans="2:12">
      <c r="B1247" s="180" t="s">
        <v>1992</v>
      </c>
      <c r="C1247" s="180" t="s">
        <v>1993</v>
      </c>
      <c r="D1247" s="180" t="s">
        <v>974</v>
      </c>
      <c r="E1247" s="180" t="s">
        <v>990</v>
      </c>
      <c r="F1247" s="672">
        <v>0</v>
      </c>
      <c r="G1247" s="672">
        <v>0</v>
      </c>
      <c r="H1247" s="672">
        <v>0</v>
      </c>
      <c r="I1247" s="672">
        <v>0</v>
      </c>
      <c r="J1247" s="672">
        <v>0</v>
      </c>
      <c r="K1247" s="672">
        <v>0</v>
      </c>
      <c r="L1247" s="672">
        <v>0</v>
      </c>
    </row>
    <row r="1248" spans="2:12">
      <c r="B1248" s="180" t="s">
        <v>1520</v>
      </c>
      <c r="C1248" s="180" t="s">
        <v>1065</v>
      </c>
      <c r="D1248" s="180" t="s">
        <v>993</v>
      </c>
      <c r="E1248" s="180" t="s">
        <v>980</v>
      </c>
      <c r="F1248" s="672">
        <v>177400.34</v>
      </c>
      <c r="G1248" s="672">
        <v>3707.3</v>
      </c>
      <c r="H1248" s="672">
        <v>4243.16</v>
      </c>
      <c r="I1248" s="672">
        <v>2527.6799999999998</v>
      </c>
      <c r="J1248" s="672">
        <v>3882.61</v>
      </c>
      <c r="K1248" s="672">
        <v>40934.42</v>
      </c>
      <c r="L1248" s="672">
        <v>122105.17</v>
      </c>
    </row>
    <row r="1249" spans="2:12">
      <c r="B1249" s="180" t="s">
        <v>1317</v>
      </c>
      <c r="C1249" s="180" t="s">
        <v>1084</v>
      </c>
      <c r="D1249" s="180" t="s">
        <v>993</v>
      </c>
      <c r="E1249" s="180" t="s">
        <v>980</v>
      </c>
      <c r="F1249" s="672">
        <v>420940.22</v>
      </c>
      <c r="G1249" s="672">
        <v>19192.18</v>
      </c>
      <c r="H1249" s="672">
        <v>5464.15</v>
      </c>
      <c r="I1249" s="672">
        <v>4349.8599999999997</v>
      </c>
      <c r="J1249" s="672">
        <v>10248.33</v>
      </c>
      <c r="K1249" s="672">
        <v>70631.929999999993</v>
      </c>
      <c r="L1249" s="672">
        <v>311053.77</v>
      </c>
    </row>
    <row r="1250" spans="2:12">
      <c r="B1250" s="180" t="s">
        <v>1876</v>
      </c>
      <c r="C1250" s="180" t="s">
        <v>1877</v>
      </c>
      <c r="D1250" s="180" t="s">
        <v>974</v>
      </c>
      <c r="E1250" s="180" t="s">
        <v>990</v>
      </c>
      <c r="F1250" s="672">
        <v>0</v>
      </c>
      <c r="G1250" s="672">
        <v>0</v>
      </c>
      <c r="H1250" s="672">
        <v>0</v>
      </c>
      <c r="I1250" s="672">
        <v>0</v>
      </c>
      <c r="J1250" s="672">
        <v>0</v>
      </c>
      <c r="K1250" s="672">
        <v>0</v>
      </c>
      <c r="L1250" s="672">
        <v>0</v>
      </c>
    </row>
    <row r="1251" spans="2:12">
      <c r="B1251" s="180" t="s">
        <v>1346</v>
      </c>
      <c r="C1251" s="180" t="s">
        <v>1347</v>
      </c>
      <c r="D1251" s="180" t="s">
        <v>974</v>
      </c>
      <c r="E1251" s="180" t="s">
        <v>990</v>
      </c>
      <c r="F1251" s="672">
        <v>0</v>
      </c>
      <c r="G1251" s="672">
        <v>0</v>
      </c>
      <c r="H1251" s="672">
        <v>0</v>
      </c>
      <c r="I1251" s="672">
        <v>0</v>
      </c>
      <c r="J1251" s="672">
        <v>0</v>
      </c>
      <c r="K1251" s="672">
        <v>0</v>
      </c>
      <c r="L1251" s="672">
        <v>0</v>
      </c>
    </row>
    <row r="1252" spans="2:12">
      <c r="B1252" s="180" t="s">
        <v>1943</v>
      </c>
      <c r="C1252" s="180" t="s">
        <v>1572</v>
      </c>
      <c r="D1252" s="180" t="s">
        <v>974</v>
      </c>
      <c r="E1252" s="180" t="s">
        <v>980</v>
      </c>
      <c r="F1252" s="672">
        <v>321351.2</v>
      </c>
      <c r="G1252" s="672">
        <v>-1646.57</v>
      </c>
      <c r="H1252" s="672">
        <v>-8891.82</v>
      </c>
      <c r="I1252" s="672">
        <v>-9863.3799999999992</v>
      </c>
      <c r="J1252" s="672">
        <v>29786.95</v>
      </c>
      <c r="K1252" s="672">
        <v>1094582.68</v>
      </c>
      <c r="L1252" s="672">
        <v>-782616.66</v>
      </c>
    </row>
    <row r="1253" spans="2:12">
      <c r="B1253" s="180" t="s">
        <v>1041</v>
      </c>
      <c r="C1253" s="180" t="s">
        <v>1042</v>
      </c>
      <c r="D1253" s="180" t="s">
        <v>974</v>
      </c>
      <c r="E1253" s="180" t="s">
        <v>975</v>
      </c>
      <c r="F1253" s="672">
        <v>-36268.5</v>
      </c>
      <c r="G1253" s="672">
        <v>0</v>
      </c>
      <c r="H1253" s="672">
        <v>0</v>
      </c>
      <c r="I1253" s="672">
        <v>0</v>
      </c>
      <c r="J1253" s="672">
        <v>0</v>
      </c>
      <c r="K1253" s="672">
        <v>0</v>
      </c>
      <c r="L1253" s="672">
        <v>-36268.5</v>
      </c>
    </row>
    <row r="1254" spans="2:12">
      <c r="B1254" s="180" t="s">
        <v>1751</v>
      </c>
      <c r="C1254" s="180" t="s">
        <v>1631</v>
      </c>
      <c r="D1254" s="180" t="s">
        <v>993</v>
      </c>
      <c r="E1254" s="180" t="s">
        <v>990</v>
      </c>
      <c r="F1254" s="672">
        <v>0</v>
      </c>
      <c r="G1254" s="672">
        <v>0</v>
      </c>
      <c r="H1254" s="672">
        <v>0</v>
      </c>
      <c r="I1254" s="672">
        <v>0</v>
      </c>
      <c r="J1254" s="672">
        <v>0</v>
      </c>
      <c r="K1254" s="672">
        <v>0</v>
      </c>
      <c r="L1254" s="672">
        <v>0</v>
      </c>
    </row>
    <row r="1255" spans="2:12">
      <c r="B1255" s="180" t="s">
        <v>1247</v>
      </c>
      <c r="C1255" s="180" t="s">
        <v>1248</v>
      </c>
      <c r="D1255" s="180" t="s">
        <v>974</v>
      </c>
      <c r="E1255" s="180" t="s">
        <v>975</v>
      </c>
      <c r="F1255" s="672">
        <v>1977.28</v>
      </c>
      <c r="G1255" s="672">
        <v>0</v>
      </c>
      <c r="H1255" s="672">
        <v>0</v>
      </c>
      <c r="I1255" s="672">
        <v>0</v>
      </c>
      <c r="J1255" s="672">
        <v>0</v>
      </c>
      <c r="K1255" s="672">
        <v>0</v>
      </c>
      <c r="L1255" s="672">
        <v>1977.28</v>
      </c>
    </row>
    <row r="1256" spans="2:12">
      <c r="B1256" s="180" t="s">
        <v>1403</v>
      </c>
      <c r="C1256" s="180" t="s">
        <v>1139</v>
      </c>
      <c r="D1256" s="180" t="s">
        <v>974</v>
      </c>
      <c r="E1256" s="180" t="s">
        <v>983</v>
      </c>
      <c r="F1256" s="672">
        <v>-623876.77</v>
      </c>
      <c r="G1256" s="672">
        <v>-4008.7</v>
      </c>
      <c r="H1256" s="672">
        <v>1420.72</v>
      </c>
      <c r="I1256" s="672">
        <v>-402911.31</v>
      </c>
      <c r="J1256" s="672">
        <v>-215171.52</v>
      </c>
      <c r="K1256" s="672">
        <v>-5577</v>
      </c>
      <c r="L1256" s="672">
        <v>2371.04</v>
      </c>
    </row>
    <row r="1257" spans="2:12">
      <c r="B1257" s="180" t="s">
        <v>1019</v>
      </c>
      <c r="C1257" s="180" t="s">
        <v>999</v>
      </c>
      <c r="D1257" s="180" t="s">
        <v>974</v>
      </c>
      <c r="E1257" s="180" t="s">
        <v>990</v>
      </c>
      <c r="F1257" s="672">
        <v>-1611.29</v>
      </c>
      <c r="G1257" s="672">
        <v>0</v>
      </c>
      <c r="H1257" s="672">
        <v>0</v>
      </c>
      <c r="I1257" s="672">
        <v>0</v>
      </c>
      <c r="J1257" s="672">
        <v>0</v>
      </c>
      <c r="K1257" s="672">
        <v>0</v>
      </c>
      <c r="L1257" s="672">
        <v>-1611.29</v>
      </c>
    </row>
    <row r="1258" spans="2:12">
      <c r="B1258" s="180" t="s">
        <v>1053</v>
      </c>
      <c r="C1258" s="180" t="s">
        <v>1054</v>
      </c>
      <c r="D1258" s="180" t="s">
        <v>974</v>
      </c>
      <c r="E1258" s="180" t="s">
        <v>980</v>
      </c>
      <c r="F1258" s="672">
        <v>-2118019.06</v>
      </c>
      <c r="G1258" s="672">
        <v>-40949.89</v>
      </c>
      <c r="H1258" s="672">
        <v>-132052.44</v>
      </c>
      <c r="I1258" s="672">
        <v>184319.77</v>
      </c>
      <c r="J1258" s="672">
        <v>-411817.1</v>
      </c>
      <c r="K1258" s="672">
        <v>283539.14</v>
      </c>
      <c r="L1258" s="672">
        <v>-2001058.54</v>
      </c>
    </row>
    <row r="1259" spans="2:12">
      <c r="B1259" s="180" t="s">
        <v>1765</v>
      </c>
      <c r="C1259" s="180" t="s">
        <v>1115</v>
      </c>
      <c r="D1259" s="180" t="s">
        <v>974</v>
      </c>
      <c r="E1259" s="180" t="s">
        <v>990</v>
      </c>
      <c r="F1259" s="672">
        <v>0</v>
      </c>
      <c r="G1259" s="672">
        <v>0</v>
      </c>
      <c r="H1259" s="672">
        <v>0</v>
      </c>
      <c r="I1259" s="672">
        <v>0</v>
      </c>
      <c r="J1259" s="672">
        <v>0</v>
      </c>
      <c r="K1259" s="672">
        <v>0</v>
      </c>
      <c r="L1259" s="672">
        <v>0</v>
      </c>
    </row>
    <row r="1260" spans="2:12">
      <c r="B1260" s="180" t="s">
        <v>1970</v>
      </c>
      <c r="C1260" s="180" t="s">
        <v>1273</v>
      </c>
      <c r="D1260" s="180" t="s">
        <v>993</v>
      </c>
      <c r="E1260" s="180" t="s">
        <v>990</v>
      </c>
      <c r="F1260" s="672">
        <v>-6.07</v>
      </c>
      <c r="G1260" s="672">
        <v>0</v>
      </c>
      <c r="H1260" s="672">
        <v>0</v>
      </c>
      <c r="I1260" s="672">
        <v>0</v>
      </c>
      <c r="J1260" s="672">
        <v>0</v>
      </c>
      <c r="K1260" s="672">
        <v>0</v>
      </c>
      <c r="L1260" s="672">
        <v>-6.07</v>
      </c>
    </row>
    <row r="1261" spans="2:12">
      <c r="B1261" s="180" t="s">
        <v>1710</v>
      </c>
      <c r="C1261" s="180" t="s">
        <v>1711</v>
      </c>
      <c r="D1261" s="180" t="s">
        <v>974</v>
      </c>
      <c r="E1261" s="180" t="s">
        <v>975</v>
      </c>
      <c r="F1261" s="672">
        <v>-10212.07</v>
      </c>
      <c r="G1261" s="672">
        <v>0</v>
      </c>
      <c r="H1261" s="672">
        <v>0</v>
      </c>
      <c r="I1261" s="672">
        <v>0</v>
      </c>
      <c r="J1261" s="672">
        <v>0</v>
      </c>
      <c r="K1261" s="672">
        <v>-10212.07</v>
      </c>
      <c r="L1261" s="672">
        <v>0</v>
      </c>
    </row>
    <row r="1262" spans="2:12">
      <c r="B1262" s="180" t="s">
        <v>1211</v>
      </c>
      <c r="C1262" s="180" t="s">
        <v>1212</v>
      </c>
      <c r="D1262" s="180" t="s">
        <v>974</v>
      </c>
      <c r="E1262" s="180" t="s">
        <v>980</v>
      </c>
      <c r="F1262" s="672">
        <v>5079727.62</v>
      </c>
      <c r="G1262" s="672">
        <v>117498.88</v>
      </c>
      <c r="H1262" s="672">
        <v>125694.02</v>
      </c>
      <c r="I1262" s="672">
        <v>132046.70000000001</v>
      </c>
      <c r="J1262" s="672">
        <v>132859.06</v>
      </c>
      <c r="K1262" s="672">
        <v>942339.55</v>
      </c>
      <c r="L1262" s="672">
        <v>3629289.41</v>
      </c>
    </row>
    <row r="1263" spans="2:12">
      <c r="B1263" s="180" t="s">
        <v>1619</v>
      </c>
      <c r="C1263" s="180" t="s">
        <v>1620</v>
      </c>
      <c r="D1263" s="180" t="s">
        <v>993</v>
      </c>
      <c r="E1263" s="180" t="s">
        <v>990</v>
      </c>
      <c r="F1263" s="672">
        <v>0</v>
      </c>
      <c r="G1263" s="672">
        <v>0</v>
      </c>
      <c r="H1263" s="672">
        <v>0</v>
      </c>
      <c r="I1263" s="672">
        <v>0</v>
      </c>
      <c r="J1263" s="672">
        <v>0</v>
      </c>
      <c r="K1263" s="672">
        <v>0</v>
      </c>
      <c r="L1263" s="672">
        <v>0</v>
      </c>
    </row>
    <row r="1264" spans="2:12">
      <c r="B1264" s="180" t="s">
        <v>1740</v>
      </c>
      <c r="C1264" s="180" t="s">
        <v>1741</v>
      </c>
      <c r="D1264" s="180" t="s">
        <v>974</v>
      </c>
      <c r="E1264" s="180" t="s">
        <v>990</v>
      </c>
      <c r="F1264" s="672">
        <v>0</v>
      </c>
      <c r="G1264" s="672">
        <v>0</v>
      </c>
      <c r="H1264" s="672">
        <v>0</v>
      </c>
      <c r="I1264" s="672">
        <v>0</v>
      </c>
      <c r="J1264" s="672">
        <v>0</v>
      </c>
      <c r="K1264" s="672">
        <v>0</v>
      </c>
      <c r="L1264" s="672">
        <v>0</v>
      </c>
    </row>
    <row r="1265" spans="2:12">
      <c r="B1265" s="180" t="s">
        <v>1994</v>
      </c>
      <c r="C1265" s="180" t="s">
        <v>1566</v>
      </c>
      <c r="D1265" s="180" t="s">
        <v>993</v>
      </c>
      <c r="E1265" s="180" t="s">
        <v>980</v>
      </c>
      <c r="F1265" s="672">
        <v>1106947.1399999999</v>
      </c>
      <c r="G1265" s="672">
        <v>23658.25</v>
      </c>
      <c r="H1265" s="672">
        <v>24901.54</v>
      </c>
      <c r="I1265" s="672">
        <v>27132.560000000001</v>
      </c>
      <c r="J1265" s="672">
        <v>31705.279999999999</v>
      </c>
      <c r="K1265" s="672">
        <v>195444.76</v>
      </c>
      <c r="L1265" s="672">
        <v>804104.75</v>
      </c>
    </row>
    <row r="1266" spans="2:12">
      <c r="B1266" s="180" t="s">
        <v>1489</v>
      </c>
      <c r="C1266" s="180" t="s">
        <v>1277</v>
      </c>
      <c r="D1266" s="180" t="s">
        <v>993</v>
      </c>
      <c r="E1266" s="180" t="s">
        <v>975</v>
      </c>
      <c r="F1266" s="672">
        <v>-4615.05</v>
      </c>
      <c r="G1266" s="672">
        <v>0</v>
      </c>
      <c r="H1266" s="672">
        <v>0</v>
      </c>
      <c r="I1266" s="672">
        <v>0</v>
      </c>
      <c r="J1266" s="672">
        <v>0</v>
      </c>
      <c r="K1266" s="672">
        <v>-4319.2700000000004</v>
      </c>
      <c r="L1266" s="672">
        <v>-295.77999999999997</v>
      </c>
    </row>
    <row r="1267" spans="2:12">
      <c r="B1267" s="180" t="s">
        <v>1622</v>
      </c>
      <c r="C1267" s="180" t="s">
        <v>1302</v>
      </c>
      <c r="D1267" s="180" t="s">
        <v>993</v>
      </c>
      <c r="E1267" s="180" t="s">
        <v>980</v>
      </c>
      <c r="F1267" s="672">
        <v>890272.18</v>
      </c>
      <c r="G1267" s="672">
        <v>5145.9799999999996</v>
      </c>
      <c r="H1267" s="672">
        <v>59832.04</v>
      </c>
      <c r="I1267" s="672">
        <v>11450.93</v>
      </c>
      <c r="J1267" s="672">
        <v>120387.1</v>
      </c>
      <c r="K1267" s="672">
        <v>228919.93</v>
      </c>
      <c r="L1267" s="672">
        <v>464536.2</v>
      </c>
    </row>
    <row r="1268" spans="2:12">
      <c r="B1268" s="180" t="s">
        <v>1428</v>
      </c>
      <c r="C1268" s="180" t="s">
        <v>1429</v>
      </c>
      <c r="D1268" s="180" t="s">
        <v>974</v>
      </c>
      <c r="E1268" s="180" t="s">
        <v>980</v>
      </c>
      <c r="F1268" s="672">
        <v>239.74</v>
      </c>
      <c r="G1268" s="672">
        <v>-27.82</v>
      </c>
      <c r="H1268" s="672">
        <v>267.56</v>
      </c>
      <c r="I1268" s="672">
        <v>0</v>
      </c>
      <c r="J1268" s="672">
        <v>-777.51</v>
      </c>
      <c r="K1268" s="672">
        <v>777.51</v>
      </c>
      <c r="L1268" s="672">
        <v>0</v>
      </c>
    </row>
    <row r="1269" spans="2:12">
      <c r="B1269" s="180" t="s">
        <v>1769</v>
      </c>
      <c r="C1269" s="180" t="s">
        <v>1770</v>
      </c>
      <c r="D1269" s="180" t="s">
        <v>974</v>
      </c>
      <c r="E1269" s="180" t="s">
        <v>980</v>
      </c>
      <c r="F1269" s="672">
        <v>4563995.04</v>
      </c>
      <c r="G1269" s="672">
        <v>106540.89</v>
      </c>
      <c r="H1269" s="672">
        <v>106537</v>
      </c>
      <c r="I1269" s="672">
        <v>106522.5</v>
      </c>
      <c r="J1269" s="672">
        <v>106471.47</v>
      </c>
      <c r="K1269" s="672">
        <v>836424.1</v>
      </c>
      <c r="L1269" s="672">
        <v>3301499.08</v>
      </c>
    </row>
    <row r="1270" spans="2:12">
      <c r="B1270" s="180" t="s">
        <v>1995</v>
      </c>
      <c r="C1270" s="180" t="s">
        <v>1996</v>
      </c>
      <c r="D1270" s="180" t="s">
        <v>974</v>
      </c>
      <c r="E1270" s="180" t="s">
        <v>975</v>
      </c>
      <c r="F1270" s="672">
        <v>860.14</v>
      </c>
      <c r="G1270" s="672">
        <v>0</v>
      </c>
      <c r="H1270" s="672">
        <v>0</v>
      </c>
      <c r="I1270" s="672">
        <v>0</v>
      </c>
      <c r="J1270" s="672">
        <v>0</v>
      </c>
      <c r="K1270" s="672">
        <v>860.14</v>
      </c>
      <c r="L1270" s="672">
        <v>0</v>
      </c>
    </row>
    <row r="1271" spans="2:12">
      <c r="B1271" s="180" t="s">
        <v>1997</v>
      </c>
      <c r="C1271" s="180" t="s">
        <v>1998</v>
      </c>
      <c r="D1271" s="180" t="s">
        <v>974</v>
      </c>
      <c r="E1271" s="180" t="s">
        <v>990</v>
      </c>
      <c r="F1271" s="672">
        <v>0</v>
      </c>
      <c r="G1271" s="672">
        <v>0</v>
      </c>
      <c r="H1271" s="672">
        <v>0</v>
      </c>
      <c r="I1271" s="672">
        <v>0</v>
      </c>
      <c r="J1271" s="672">
        <v>0</v>
      </c>
      <c r="K1271" s="672">
        <v>0</v>
      </c>
      <c r="L1271" s="672">
        <v>0</v>
      </c>
    </row>
    <row r="1272" spans="2:12">
      <c r="B1272" s="180" t="s">
        <v>1621</v>
      </c>
      <c r="C1272" s="180" t="s">
        <v>1156</v>
      </c>
      <c r="D1272" s="180" t="s">
        <v>974</v>
      </c>
      <c r="E1272" s="180" t="s">
        <v>975</v>
      </c>
      <c r="F1272" s="672">
        <v>-15</v>
      </c>
      <c r="G1272" s="672">
        <v>0</v>
      </c>
      <c r="H1272" s="672">
        <v>0</v>
      </c>
      <c r="I1272" s="672">
        <v>0</v>
      </c>
      <c r="J1272" s="672">
        <v>0</v>
      </c>
      <c r="K1272" s="672">
        <v>-15</v>
      </c>
      <c r="L1272" s="672">
        <v>0</v>
      </c>
    </row>
    <row r="1273" spans="2:12">
      <c r="B1273" s="180" t="s">
        <v>1938</v>
      </c>
      <c r="C1273" s="180" t="s">
        <v>1032</v>
      </c>
      <c r="D1273" s="180" t="s">
        <v>974</v>
      </c>
      <c r="E1273" s="180" t="s">
        <v>975</v>
      </c>
      <c r="F1273" s="672">
        <v>668172.51</v>
      </c>
      <c r="G1273" s="672">
        <v>0</v>
      </c>
      <c r="H1273" s="672">
        <v>0</v>
      </c>
      <c r="I1273" s="672">
        <v>0</v>
      </c>
      <c r="J1273" s="672">
        <v>0</v>
      </c>
      <c r="K1273" s="672">
        <v>-101.91</v>
      </c>
      <c r="L1273" s="672">
        <v>668274.42000000004</v>
      </c>
    </row>
    <row r="1274" spans="2:12">
      <c r="B1274" s="180" t="s">
        <v>1419</v>
      </c>
      <c r="C1274" s="180" t="s">
        <v>1159</v>
      </c>
      <c r="D1274" s="180" t="s">
        <v>993</v>
      </c>
      <c r="E1274" s="180" t="s">
        <v>975</v>
      </c>
      <c r="F1274" s="672">
        <v>-41582.07</v>
      </c>
      <c r="G1274" s="672">
        <v>0</v>
      </c>
      <c r="H1274" s="672">
        <v>0</v>
      </c>
      <c r="I1274" s="672">
        <v>0</v>
      </c>
      <c r="J1274" s="672">
        <v>0</v>
      </c>
      <c r="K1274" s="672">
        <v>0</v>
      </c>
      <c r="L1274" s="672">
        <v>-41582.07</v>
      </c>
    </row>
    <row r="1275" spans="2:12">
      <c r="B1275" s="180" t="s">
        <v>1448</v>
      </c>
      <c r="C1275" s="180" t="s">
        <v>1333</v>
      </c>
      <c r="D1275" s="180" t="s">
        <v>993</v>
      </c>
      <c r="E1275" s="180" t="s">
        <v>990</v>
      </c>
      <c r="F1275" s="672">
        <v>-29</v>
      </c>
      <c r="G1275" s="672">
        <v>0</v>
      </c>
      <c r="H1275" s="672">
        <v>0</v>
      </c>
      <c r="I1275" s="672">
        <v>0</v>
      </c>
      <c r="J1275" s="672">
        <v>0</v>
      </c>
      <c r="K1275" s="672">
        <v>1116.08</v>
      </c>
      <c r="L1275" s="672">
        <v>-1145.08</v>
      </c>
    </row>
    <row r="1276" spans="2:12">
      <c r="B1276" s="180" t="s">
        <v>1780</v>
      </c>
      <c r="C1276" s="180" t="s">
        <v>1781</v>
      </c>
      <c r="D1276" s="180" t="s">
        <v>993</v>
      </c>
      <c r="E1276" s="180" t="s">
        <v>980</v>
      </c>
      <c r="F1276" s="672">
        <v>185929.55</v>
      </c>
      <c r="G1276" s="672">
        <v>5162.78</v>
      </c>
      <c r="H1276" s="672">
        <v>4639.63</v>
      </c>
      <c r="I1276" s="672">
        <v>5241.45</v>
      </c>
      <c r="J1276" s="672">
        <v>7681.3</v>
      </c>
      <c r="K1276" s="672">
        <v>56974.12</v>
      </c>
      <c r="L1276" s="672">
        <v>106230.27</v>
      </c>
    </row>
    <row r="1277" spans="2:12">
      <c r="B1277" s="180" t="s">
        <v>1865</v>
      </c>
      <c r="C1277" s="180" t="s">
        <v>1287</v>
      </c>
      <c r="D1277" s="180" t="s">
        <v>974</v>
      </c>
      <c r="E1277" s="180" t="s">
        <v>980</v>
      </c>
      <c r="F1277" s="672">
        <v>3734.97</v>
      </c>
      <c r="G1277" s="672">
        <v>-806.21</v>
      </c>
      <c r="H1277" s="672">
        <v>-258.26</v>
      </c>
      <c r="I1277" s="672">
        <v>-434.28</v>
      </c>
      <c r="J1277" s="672">
        <v>-2997.63</v>
      </c>
      <c r="K1277" s="672">
        <v>157995.4</v>
      </c>
      <c r="L1277" s="672">
        <v>-149764.04999999999</v>
      </c>
    </row>
    <row r="1278" spans="2:12">
      <c r="B1278" s="180" t="s">
        <v>1999</v>
      </c>
      <c r="C1278" s="180" t="s">
        <v>1287</v>
      </c>
      <c r="D1278" s="180" t="s">
        <v>974</v>
      </c>
      <c r="E1278" s="180" t="s">
        <v>980</v>
      </c>
      <c r="F1278" s="672">
        <v>713716.21</v>
      </c>
      <c r="G1278" s="672">
        <v>-16822.080000000002</v>
      </c>
      <c r="H1278" s="672">
        <v>-25245.65</v>
      </c>
      <c r="I1278" s="672">
        <v>53124.89</v>
      </c>
      <c r="J1278" s="672">
        <v>-188184.09</v>
      </c>
      <c r="K1278" s="672">
        <v>225189.95</v>
      </c>
      <c r="L1278" s="672">
        <v>665653.18999999994</v>
      </c>
    </row>
    <row r="1279" spans="2:12">
      <c r="B1279" s="180" t="s">
        <v>2000</v>
      </c>
      <c r="C1279" s="180" t="s">
        <v>2001</v>
      </c>
      <c r="D1279" s="180" t="s">
        <v>974</v>
      </c>
      <c r="E1279" s="180" t="s">
        <v>990</v>
      </c>
      <c r="F1279" s="672">
        <v>0</v>
      </c>
      <c r="G1279" s="672">
        <v>0</v>
      </c>
      <c r="H1279" s="672">
        <v>0</v>
      </c>
      <c r="I1279" s="672">
        <v>0</v>
      </c>
      <c r="J1279" s="672">
        <v>0</v>
      </c>
      <c r="K1279" s="672">
        <v>0</v>
      </c>
      <c r="L1279" s="672">
        <v>0</v>
      </c>
    </row>
    <row r="1280" spans="2:12">
      <c r="B1280" s="180" t="s">
        <v>1290</v>
      </c>
      <c r="C1280" s="180" t="s">
        <v>1291</v>
      </c>
      <c r="D1280" s="180" t="s">
        <v>974</v>
      </c>
      <c r="E1280" s="180" t="s">
        <v>980</v>
      </c>
      <c r="F1280" s="672">
        <v>2521164.7000000002</v>
      </c>
      <c r="G1280" s="672">
        <v>58558.02</v>
      </c>
      <c r="H1280" s="672">
        <v>58882.879999999997</v>
      </c>
      <c r="I1280" s="672">
        <v>58884.46</v>
      </c>
      <c r="J1280" s="672">
        <v>58904.99</v>
      </c>
      <c r="K1280" s="672">
        <v>460777.66</v>
      </c>
      <c r="L1280" s="672">
        <v>1825156.69</v>
      </c>
    </row>
    <row r="1281" spans="2:12">
      <c r="B1281" s="180" t="s">
        <v>1027</v>
      </c>
      <c r="C1281" s="180" t="s">
        <v>1028</v>
      </c>
      <c r="D1281" s="180" t="s">
        <v>974</v>
      </c>
      <c r="E1281" s="180" t="s">
        <v>983</v>
      </c>
      <c r="F1281" s="672">
        <v>1160897.28</v>
      </c>
      <c r="G1281" s="672">
        <v>26851.45</v>
      </c>
      <c r="H1281" s="672">
        <v>26851.45</v>
      </c>
      <c r="I1281" s="672">
        <v>26851.45</v>
      </c>
      <c r="J1281" s="672">
        <v>26851.45</v>
      </c>
      <c r="K1281" s="672">
        <v>211068.29</v>
      </c>
      <c r="L1281" s="672">
        <v>842423.19</v>
      </c>
    </row>
    <row r="1282" spans="2:12">
      <c r="B1282" s="180" t="s">
        <v>1329</v>
      </c>
      <c r="C1282" s="180" t="s">
        <v>1330</v>
      </c>
      <c r="D1282" s="180" t="s">
        <v>993</v>
      </c>
      <c r="E1282" s="180" t="s">
        <v>980</v>
      </c>
      <c r="F1282" s="672">
        <v>234054.39999999999</v>
      </c>
      <c r="G1282" s="672">
        <v>6697.93</v>
      </c>
      <c r="H1282" s="672">
        <v>7055.6</v>
      </c>
      <c r="I1282" s="672">
        <v>7076.43</v>
      </c>
      <c r="J1282" s="672">
        <v>6337.33</v>
      </c>
      <c r="K1282" s="672">
        <v>70259.72</v>
      </c>
      <c r="L1282" s="672">
        <v>136627.39000000001</v>
      </c>
    </row>
    <row r="1283" spans="2:12">
      <c r="B1283" s="180" t="s">
        <v>1164</v>
      </c>
      <c r="C1283" s="180" t="s">
        <v>1165</v>
      </c>
      <c r="D1283" s="180" t="s">
        <v>974</v>
      </c>
      <c r="E1283" s="180" t="s">
        <v>980</v>
      </c>
      <c r="F1283" s="672">
        <v>-7065.03</v>
      </c>
      <c r="G1283" s="672">
        <v>28253.24</v>
      </c>
      <c r="H1283" s="672">
        <v>29475.65</v>
      </c>
      <c r="I1283" s="672">
        <v>-16500.939999999999</v>
      </c>
      <c r="J1283" s="672">
        <v>-108134.96</v>
      </c>
      <c r="K1283" s="672">
        <v>56551.040000000001</v>
      </c>
      <c r="L1283" s="672">
        <v>3290.94</v>
      </c>
    </row>
    <row r="1284" spans="2:12">
      <c r="B1284" s="180" t="s">
        <v>1832</v>
      </c>
      <c r="C1284" s="180" t="s">
        <v>1030</v>
      </c>
      <c r="D1284" s="180" t="s">
        <v>993</v>
      </c>
      <c r="E1284" s="180" t="s">
        <v>980</v>
      </c>
      <c r="F1284" s="672">
        <v>1028970.82</v>
      </c>
      <c r="G1284" s="672">
        <v>24076.73</v>
      </c>
      <c r="H1284" s="672">
        <v>27475.27</v>
      </c>
      <c r="I1284" s="672">
        <v>29236.22</v>
      </c>
      <c r="J1284" s="672">
        <v>47463.76</v>
      </c>
      <c r="K1284" s="672">
        <v>474141.81</v>
      </c>
      <c r="L1284" s="672">
        <v>426577.03</v>
      </c>
    </row>
    <row r="1285" spans="2:12">
      <c r="B1285" s="180" t="s">
        <v>1832</v>
      </c>
      <c r="C1285" s="180" t="s">
        <v>1030</v>
      </c>
      <c r="D1285" s="180" t="s">
        <v>993</v>
      </c>
      <c r="E1285" s="180" t="s">
        <v>990</v>
      </c>
      <c r="F1285" s="672">
        <v>0</v>
      </c>
      <c r="G1285" s="672">
        <v>0</v>
      </c>
      <c r="H1285" s="672">
        <v>0</v>
      </c>
      <c r="I1285" s="672">
        <v>0</v>
      </c>
      <c r="J1285" s="672">
        <v>0</v>
      </c>
      <c r="K1285" s="672">
        <v>0</v>
      </c>
      <c r="L1285" s="672">
        <v>0</v>
      </c>
    </row>
    <row r="1286" spans="2:12">
      <c r="B1286" s="180" t="s">
        <v>2002</v>
      </c>
      <c r="C1286" s="180" t="s">
        <v>2003</v>
      </c>
      <c r="D1286" s="180" t="s">
        <v>974</v>
      </c>
      <c r="E1286" s="180" t="s">
        <v>980</v>
      </c>
      <c r="F1286" s="672">
        <v>-132377.17000000001</v>
      </c>
      <c r="G1286" s="672">
        <v>-14574.82</v>
      </c>
      <c r="H1286" s="672">
        <v>-11302.95</v>
      </c>
      <c r="I1286" s="672">
        <v>53776.84</v>
      </c>
      <c r="J1286" s="672">
        <v>-6984.63</v>
      </c>
      <c r="K1286" s="672">
        <v>-34829.29</v>
      </c>
      <c r="L1286" s="672">
        <v>-118462.32</v>
      </c>
    </row>
    <row r="1287" spans="2:12">
      <c r="B1287" s="180" t="s">
        <v>1925</v>
      </c>
      <c r="C1287" s="180" t="s">
        <v>1115</v>
      </c>
      <c r="D1287" s="180" t="s">
        <v>974</v>
      </c>
      <c r="E1287" s="180" t="s">
        <v>990</v>
      </c>
      <c r="F1287" s="672">
        <v>0</v>
      </c>
      <c r="G1287" s="672">
        <v>0</v>
      </c>
      <c r="H1287" s="672">
        <v>0</v>
      </c>
      <c r="I1287" s="672">
        <v>0</v>
      </c>
      <c r="J1287" s="672">
        <v>0</v>
      </c>
      <c r="K1287" s="672">
        <v>0</v>
      </c>
      <c r="L1287" s="672">
        <v>0</v>
      </c>
    </row>
    <row r="1288" spans="2:12">
      <c r="B1288" s="180" t="s">
        <v>1337</v>
      </c>
      <c r="C1288" s="180" t="s">
        <v>1176</v>
      </c>
      <c r="D1288" s="180" t="s">
        <v>993</v>
      </c>
      <c r="E1288" s="180" t="s">
        <v>980</v>
      </c>
      <c r="F1288" s="672">
        <v>791606.56</v>
      </c>
      <c r="G1288" s="672">
        <v>17665.259999999998</v>
      </c>
      <c r="H1288" s="672">
        <v>17809.18</v>
      </c>
      <c r="I1288" s="672">
        <v>19746.34</v>
      </c>
      <c r="J1288" s="672">
        <v>19965.2</v>
      </c>
      <c r="K1288" s="672">
        <v>132625.96</v>
      </c>
      <c r="L1288" s="672">
        <v>583794.62</v>
      </c>
    </row>
    <row r="1289" spans="2:12">
      <c r="B1289" s="180" t="s">
        <v>1501</v>
      </c>
      <c r="C1289" s="180" t="s">
        <v>1502</v>
      </c>
      <c r="D1289" s="180" t="s">
        <v>993</v>
      </c>
      <c r="E1289" s="180" t="s">
        <v>980</v>
      </c>
      <c r="F1289" s="672">
        <v>10796.21</v>
      </c>
      <c r="G1289" s="672">
        <v>1746.91</v>
      </c>
      <c r="H1289" s="672">
        <v>1814.48</v>
      </c>
      <c r="I1289" s="672">
        <v>2235.9899999999998</v>
      </c>
      <c r="J1289" s="672">
        <v>2264.59</v>
      </c>
      <c r="K1289" s="672">
        <v>2734.24</v>
      </c>
      <c r="L1289" s="672">
        <v>0</v>
      </c>
    </row>
    <row r="1290" spans="2:12">
      <c r="B1290" s="180" t="s">
        <v>1116</v>
      </c>
      <c r="C1290" s="180" t="s">
        <v>1117</v>
      </c>
      <c r="D1290" s="180" t="s">
        <v>974</v>
      </c>
      <c r="E1290" s="180" t="s">
        <v>980</v>
      </c>
      <c r="F1290" s="672">
        <v>-70512.850000000006</v>
      </c>
      <c r="G1290" s="672">
        <v>-220585.71</v>
      </c>
      <c r="H1290" s="672">
        <v>5144.3900000000003</v>
      </c>
      <c r="I1290" s="672">
        <v>4382.12</v>
      </c>
      <c r="J1290" s="672">
        <v>4662.2700000000004</v>
      </c>
      <c r="K1290" s="672">
        <v>50019.99</v>
      </c>
      <c r="L1290" s="672">
        <v>85864.09</v>
      </c>
    </row>
    <row r="1291" spans="2:12">
      <c r="B1291" s="180" t="s">
        <v>1696</v>
      </c>
      <c r="C1291" s="180" t="s">
        <v>1697</v>
      </c>
      <c r="D1291" s="180" t="s">
        <v>974</v>
      </c>
      <c r="E1291" s="180" t="s">
        <v>980</v>
      </c>
      <c r="F1291" s="672">
        <v>5089514.1399999997</v>
      </c>
      <c r="G1291" s="672">
        <v>93579.66</v>
      </c>
      <c r="H1291" s="672">
        <v>133989.6</v>
      </c>
      <c r="I1291" s="672">
        <v>84929.42</v>
      </c>
      <c r="J1291" s="672">
        <v>113958.64</v>
      </c>
      <c r="K1291" s="672">
        <v>1201023.3600000001</v>
      </c>
      <c r="L1291" s="672">
        <v>3462033.46</v>
      </c>
    </row>
    <row r="1292" spans="2:12">
      <c r="B1292" s="180" t="s">
        <v>1941</v>
      </c>
      <c r="C1292" s="180" t="s">
        <v>1389</v>
      </c>
      <c r="D1292" s="180" t="s">
        <v>993</v>
      </c>
      <c r="E1292" s="180" t="s">
        <v>990</v>
      </c>
      <c r="F1292" s="672">
        <v>-532.02</v>
      </c>
      <c r="G1292" s="672">
        <v>0</v>
      </c>
      <c r="H1292" s="672">
        <v>0</v>
      </c>
      <c r="I1292" s="672">
        <v>0</v>
      </c>
      <c r="J1292" s="672">
        <v>0</v>
      </c>
      <c r="K1292" s="672">
        <v>0</v>
      </c>
      <c r="L1292" s="672">
        <v>-532.02</v>
      </c>
    </row>
    <row r="1293" spans="2:12">
      <c r="B1293" s="180" t="s">
        <v>1548</v>
      </c>
      <c r="C1293" s="180" t="s">
        <v>1549</v>
      </c>
      <c r="D1293" s="180" t="s">
        <v>974</v>
      </c>
      <c r="E1293" s="180" t="s">
        <v>990</v>
      </c>
      <c r="F1293" s="672">
        <v>0</v>
      </c>
      <c r="G1293" s="672">
        <v>0</v>
      </c>
      <c r="H1293" s="672">
        <v>0</v>
      </c>
      <c r="I1293" s="672">
        <v>0</v>
      </c>
      <c r="J1293" s="672">
        <v>0</v>
      </c>
      <c r="K1293" s="672">
        <v>0</v>
      </c>
      <c r="L1293" s="672">
        <v>0</v>
      </c>
    </row>
    <row r="1294" spans="2:12">
      <c r="B1294" s="180" t="s">
        <v>1802</v>
      </c>
      <c r="C1294" s="180" t="s">
        <v>1803</v>
      </c>
      <c r="D1294" s="180" t="s">
        <v>974</v>
      </c>
      <c r="E1294" s="180" t="s">
        <v>990</v>
      </c>
      <c r="F1294" s="672">
        <v>0</v>
      </c>
      <c r="G1294" s="672">
        <v>0</v>
      </c>
      <c r="H1294" s="672">
        <v>0</v>
      </c>
      <c r="I1294" s="672">
        <v>0</v>
      </c>
      <c r="J1294" s="672">
        <v>0</v>
      </c>
      <c r="K1294" s="672">
        <v>0</v>
      </c>
      <c r="L1294" s="672">
        <v>0</v>
      </c>
    </row>
    <row r="1295" spans="2:12">
      <c r="B1295" s="180" t="s">
        <v>1079</v>
      </c>
      <c r="C1295" s="180" t="s">
        <v>1080</v>
      </c>
      <c r="D1295" s="180" t="s">
        <v>974</v>
      </c>
      <c r="E1295" s="180" t="s">
        <v>980</v>
      </c>
      <c r="F1295" s="672">
        <v>625237.14</v>
      </c>
      <c r="G1295" s="672">
        <v>106268.85</v>
      </c>
      <c r="H1295" s="672">
        <v>88855.66</v>
      </c>
      <c r="I1295" s="672">
        <v>106307.26</v>
      </c>
      <c r="J1295" s="672">
        <v>-151104.44</v>
      </c>
      <c r="K1295" s="672">
        <v>-1024957.64</v>
      </c>
      <c r="L1295" s="672">
        <v>1499867.45</v>
      </c>
    </row>
    <row r="1296" spans="2:12">
      <c r="B1296" s="180" t="s">
        <v>1763</v>
      </c>
      <c r="C1296" s="180" t="s">
        <v>1764</v>
      </c>
      <c r="D1296" s="180" t="s">
        <v>974</v>
      </c>
      <c r="E1296" s="180" t="s">
        <v>1075</v>
      </c>
      <c r="F1296" s="672">
        <v>0</v>
      </c>
      <c r="G1296" s="672">
        <v>0</v>
      </c>
      <c r="H1296" s="672">
        <v>0</v>
      </c>
      <c r="I1296" s="672">
        <v>0</v>
      </c>
      <c r="J1296" s="672">
        <v>0</v>
      </c>
      <c r="K1296" s="672">
        <v>0</v>
      </c>
      <c r="L1296" s="672">
        <v>0</v>
      </c>
    </row>
    <row r="1297" spans="2:12">
      <c r="B1297" s="180" t="s">
        <v>1334</v>
      </c>
      <c r="C1297" s="180" t="s">
        <v>1335</v>
      </c>
      <c r="D1297" s="180" t="s">
        <v>974</v>
      </c>
      <c r="E1297" s="180" t="s">
        <v>975</v>
      </c>
      <c r="F1297" s="672">
        <v>83049.78</v>
      </c>
      <c r="G1297" s="672">
        <v>0</v>
      </c>
      <c r="H1297" s="672">
        <v>0</v>
      </c>
      <c r="I1297" s="672">
        <v>0</v>
      </c>
      <c r="J1297" s="672">
        <v>0</v>
      </c>
      <c r="K1297" s="672">
        <v>83049.78</v>
      </c>
      <c r="L1297" s="672">
        <v>0</v>
      </c>
    </row>
    <row r="1298" spans="2:12">
      <c r="B1298" s="180" t="s">
        <v>2004</v>
      </c>
      <c r="C1298" s="180" t="s">
        <v>1159</v>
      </c>
      <c r="D1298" s="180" t="s">
        <v>993</v>
      </c>
      <c r="E1298" s="180" t="s">
        <v>990</v>
      </c>
      <c r="F1298" s="672">
        <v>0</v>
      </c>
      <c r="G1298" s="672">
        <v>0</v>
      </c>
      <c r="H1298" s="672">
        <v>0</v>
      </c>
      <c r="I1298" s="672">
        <v>0</v>
      </c>
      <c r="J1298" s="672">
        <v>0</v>
      </c>
      <c r="K1298" s="672">
        <v>0</v>
      </c>
      <c r="L1298" s="672">
        <v>0</v>
      </c>
    </row>
    <row r="1299" spans="2:12">
      <c r="B1299" s="180" t="s">
        <v>1630</v>
      </c>
      <c r="C1299" s="180" t="s">
        <v>1631</v>
      </c>
      <c r="D1299" s="180" t="s">
        <v>993</v>
      </c>
      <c r="E1299" s="180" t="s">
        <v>990</v>
      </c>
      <c r="F1299" s="672">
        <v>0</v>
      </c>
      <c r="G1299" s="672">
        <v>0</v>
      </c>
      <c r="H1299" s="672">
        <v>0</v>
      </c>
      <c r="I1299" s="672">
        <v>0</v>
      </c>
      <c r="J1299" s="672">
        <v>0</v>
      </c>
      <c r="K1299" s="672">
        <v>0</v>
      </c>
      <c r="L1299" s="672">
        <v>0</v>
      </c>
    </row>
    <row r="1300" spans="2:12">
      <c r="B1300" s="180" t="s">
        <v>1420</v>
      </c>
      <c r="C1300" s="180" t="s">
        <v>1421</v>
      </c>
      <c r="D1300" s="180" t="s">
        <v>993</v>
      </c>
      <c r="E1300" s="180" t="s">
        <v>980</v>
      </c>
      <c r="F1300" s="672">
        <v>106226.64</v>
      </c>
      <c r="G1300" s="672">
        <v>1746.37</v>
      </c>
      <c r="H1300" s="672">
        <v>2028.8</v>
      </c>
      <c r="I1300" s="672">
        <v>2159.39</v>
      </c>
      <c r="J1300" s="672">
        <v>1943.09</v>
      </c>
      <c r="K1300" s="672">
        <v>15128.37</v>
      </c>
      <c r="L1300" s="672">
        <v>83220.62</v>
      </c>
    </row>
    <row r="1301" spans="2:12">
      <c r="B1301" s="180" t="s">
        <v>1384</v>
      </c>
      <c r="C1301" s="180" t="s">
        <v>1385</v>
      </c>
      <c r="D1301" s="180" t="s">
        <v>974</v>
      </c>
      <c r="E1301" s="180" t="s">
        <v>975</v>
      </c>
      <c r="F1301" s="672">
        <v>3840.22</v>
      </c>
      <c r="G1301" s="672">
        <v>0</v>
      </c>
      <c r="H1301" s="672">
        <v>201.37</v>
      </c>
      <c r="I1301" s="672">
        <v>192.27</v>
      </c>
      <c r="J1301" s="672">
        <v>159.6</v>
      </c>
      <c r="K1301" s="672">
        <v>519.74</v>
      </c>
      <c r="L1301" s="672">
        <v>2767.24</v>
      </c>
    </row>
    <row r="1302" spans="2:12">
      <c r="B1302" s="180" t="s">
        <v>2005</v>
      </c>
      <c r="C1302" s="180" t="s">
        <v>2006</v>
      </c>
      <c r="D1302" s="180" t="s">
        <v>974</v>
      </c>
      <c r="E1302" s="180" t="s">
        <v>975</v>
      </c>
      <c r="F1302" s="672">
        <v>3452801.38</v>
      </c>
      <c r="G1302" s="672">
        <v>0</v>
      </c>
      <c r="H1302" s="672">
        <v>0</v>
      </c>
      <c r="I1302" s="672">
        <v>0</v>
      </c>
      <c r="J1302" s="672">
        <v>0</v>
      </c>
      <c r="K1302" s="672">
        <v>0</v>
      </c>
      <c r="L1302" s="672">
        <v>3452801.38</v>
      </c>
    </row>
    <row r="1303" spans="2:12">
      <c r="B1303" s="180" t="s">
        <v>1979</v>
      </c>
      <c r="C1303" s="180" t="s">
        <v>1220</v>
      </c>
      <c r="D1303" s="180" t="s">
        <v>974</v>
      </c>
      <c r="E1303" s="180" t="s">
        <v>975</v>
      </c>
      <c r="F1303" s="672">
        <v>141854.35999999999</v>
      </c>
      <c r="G1303" s="672">
        <v>0</v>
      </c>
      <c r="H1303" s="672">
        <v>0</v>
      </c>
      <c r="I1303" s="672">
        <v>0</v>
      </c>
      <c r="J1303" s="672">
        <v>0</v>
      </c>
      <c r="K1303" s="672">
        <v>225568.29</v>
      </c>
      <c r="L1303" s="672">
        <v>-83713.929999999993</v>
      </c>
    </row>
    <row r="1304" spans="2:12">
      <c r="B1304" s="180" t="s">
        <v>2007</v>
      </c>
      <c r="C1304" s="180" t="s">
        <v>2008</v>
      </c>
      <c r="D1304" s="180" t="s">
        <v>974</v>
      </c>
      <c r="E1304" s="180" t="s">
        <v>990</v>
      </c>
      <c r="F1304" s="672">
        <v>0</v>
      </c>
      <c r="G1304" s="672">
        <v>0</v>
      </c>
      <c r="H1304" s="672">
        <v>0</v>
      </c>
      <c r="I1304" s="672">
        <v>0</v>
      </c>
      <c r="J1304" s="672">
        <v>0</v>
      </c>
      <c r="K1304" s="672">
        <v>0</v>
      </c>
      <c r="L1304" s="672">
        <v>0</v>
      </c>
    </row>
    <row r="1305" spans="2:12">
      <c r="B1305" s="180" t="s">
        <v>1168</v>
      </c>
      <c r="C1305" s="180" t="s">
        <v>1169</v>
      </c>
      <c r="D1305" s="180" t="s">
        <v>974</v>
      </c>
      <c r="E1305" s="180" t="s">
        <v>975</v>
      </c>
      <c r="F1305" s="672">
        <v>52319.44</v>
      </c>
      <c r="G1305" s="672">
        <v>0</v>
      </c>
      <c r="H1305" s="672">
        <v>0</v>
      </c>
      <c r="I1305" s="672">
        <v>0</v>
      </c>
      <c r="J1305" s="672">
        <v>0</v>
      </c>
      <c r="K1305" s="672">
        <v>0</v>
      </c>
      <c r="L1305" s="672">
        <v>52319.44</v>
      </c>
    </row>
    <row r="1306" spans="2:12">
      <c r="B1306" s="180" t="s">
        <v>1272</v>
      </c>
      <c r="C1306" s="180" t="s">
        <v>1273</v>
      </c>
      <c r="D1306" s="180" t="s">
        <v>993</v>
      </c>
      <c r="E1306" s="180" t="s">
        <v>975</v>
      </c>
      <c r="F1306" s="672">
        <v>-184.41</v>
      </c>
      <c r="G1306" s="672">
        <v>0</v>
      </c>
      <c r="H1306" s="672">
        <v>0</v>
      </c>
      <c r="I1306" s="672">
        <v>0</v>
      </c>
      <c r="J1306" s="672">
        <v>0</v>
      </c>
      <c r="K1306" s="672">
        <v>-184.41</v>
      </c>
      <c r="L1306" s="672">
        <v>0</v>
      </c>
    </row>
    <row r="1307" spans="2:12">
      <c r="B1307" s="180" t="s">
        <v>1847</v>
      </c>
      <c r="C1307" s="180" t="s">
        <v>1848</v>
      </c>
      <c r="D1307" s="180" t="s">
        <v>974</v>
      </c>
      <c r="E1307" s="180" t="s">
        <v>980</v>
      </c>
      <c r="F1307" s="672">
        <v>-1585.54</v>
      </c>
      <c r="G1307" s="672">
        <v>-209.31</v>
      </c>
      <c r="H1307" s="672">
        <v>72.180000000000007</v>
      </c>
      <c r="I1307" s="672">
        <v>131.82</v>
      </c>
      <c r="J1307" s="672">
        <v>-26.51</v>
      </c>
      <c r="K1307" s="672">
        <v>-43.65</v>
      </c>
      <c r="L1307" s="672">
        <v>-1510.07</v>
      </c>
    </row>
    <row r="1308" spans="2:12">
      <c r="B1308" s="180" t="s">
        <v>1779</v>
      </c>
      <c r="C1308" s="180" t="s">
        <v>1269</v>
      </c>
      <c r="D1308" s="180" t="s">
        <v>974</v>
      </c>
      <c r="E1308" s="180" t="s">
        <v>990</v>
      </c>
      <c r="F1308" s="672">
        <v>0</v>
      </c>
      <c r="G1308" s="672">
        <v>0</v>
      </c>
      <c r="H1308" s="672">
        <v>0</v>
      </c>
      <c r="I1308" s="672">
        <v>0</v>
      </c>
      <c r="J1308" s="672">
        <v>0</v>
      </c>
      <c r="K1308" s="672">
        <v>0</v>
      </c>
      <c r="L1308" s="672">
        <v>0</v>
      </c>
    </row>
    <row r="1309" spans="2:12">
      <c r="B1309" s="180" t="s">
        <v>1815</v>
      </c>
      <c r="C1309" s="180" t="s">
        <v>1816</v>
      </c>
      <c r="D1309" s="180" t="s">
        <v>974</v>
      </c>
      <c r="E1309" s="180" t="s">
        <v>980</v>
      </c>
      <c r="F1309" s="672">
        <v>599.61</v>
      </c>
      <c r="G1309" s="672">
        <v>-30.61</v>
      </c>
      <c r="H1309" s="672">
        <v>78.53</v>
      </c>
      <c r="I1309" s="672">
        <v>-113.25</v>
      </c>
      <c r="J1309" s="672">
        <v>131.44</v>
      </c>
      <c r="K1309" s="672">
        <v>69.790000000000006</v>
      </c>
      <c r="L1309" s="672">
        <v>463.71</v>
      </c>
    </row>
    <row r="1310" spans="2:12">
      <c r="B1310" s="180" t="s">
        <v>1303</v>
      </c>
      <c r="C1310" s="180" t="s">
        <v>1176</v>
      </c>
      <c r="D1310" s="180" t="s">
        <v>993</v>
      </c>
      <c r="E1310" s="180" t="s">
        <v>1075</v>
      </c>
      <c r="F1310" s="672">
        <v>0</v>
      </c>
      <c r="G1310" s="672">
        <v>0</v>
      </c>
      <c r="H1310" s="672">
        <v>0</v>
      </c>
      <c r="I1310" s="672">
        <v>0</v>
      </c>
      <c r="J1310" s="672">
        <v>0</v>
      </c>
      <c r="K1310" s="672">
        <v>0</v>
      </c>
      <c r="L1310" s="672">
        <v>0</v>
      </c>
    </row>
    <row r="1311" spans="2:12">
      <c r="B1311" s="180" t="s">
        <v>1981</v>
      </c>
      <c r="C1311" s="180" t="s">
        <v>1067</v>
      </c>
      <c r="D1311" s="180" t="s">
        <v>993</v>
      </c>
      <c r="E1311" s="180" t="s">
        <v>990</v>
      </c>
      <c r="F1311" s="672">
        <v>0</v>
      </c>
      <c r="G1311" s="672">
        <v>0</v>
      </c>
      <c r="H1311" s="672">
        <v>0</v>
      </c>
      <c r="I1311" s="672">
        <v>0</v>
      </c>
      <c r="J1311" s="672">
        <v>0</v>
      </c>
      <c r="K1311" s="672">
        <v>0</v>
      </c>
      <c r="L1311" s="672">
        <v>0</v>
      </c>
    </row>
    <row r="1312" spans="2:12">
      <c r="B1312" s="180" t="s">
        <v>2009</v>
      </c>
      <c r="C1312" s="180" t="s">
        <v>1502</v>
      </c>
      <c r="D1312" s="180" t="s">
        <v>993</v>
      </c>
      <c r="E1312" s="180" t="s">
        <v>975</v>
      </c>
      <c r="F1312" s="672">
        <v>-3246.23</v>
      </c>
      <c r="G1312" s="672">
        <v>0</v>
      </c>
      <c r="H1312" s="672">
        <v>0</v>
      </c>
      <c r="I1312" s="672">
        <v>0</v>
      </c>
      <c r="J1312" s="672">
        <v>0</v>
      </c>
      <c r="K1312" s="672">
        <v>0</v>
      </c>
      <c r="L1312" s="672">
        <v>-3246.23</v>
      </c>
    </row>
    <row r="1313" spans="2:12">
      <c r="B1313" s="180" t="s">
        <v>1073</v>
      </c>
      <c r="C1313" s="180" t="s">
        <v>1074</v>
      </c>
      <c r="D1313" s="180" t="s">
        <v>974</v>
      </c>
      <c r="E1313" s="180" t="s">
        <v>983</v>
      </c>
      <c r="F1313" s="672">
        <v>23904.69</v>
      </c>
      <c r="G1313" s="672">
        <v>570.02</v>
      </c>
      <c r="H1313" s="672">
        <v>587.57000000000005</v>
      </c>
      <c r="I1313" s="672">
        <v>572.59</v>
      </c>
      <c r="J1313" s="672">
        <v>593.77</v>
      </c>
      <c r="K1313" s="672">
        <v>4179.92</v>
      </c>
      <c r="L1313" s="672">
        <v>17400.82</v>
      </c>
    </row>
    <row r="1314" spans="2:12">
      <c r="B1314" s="180" t="s">
        <v>1487</v>
      </c>
      <c r="C1314" s="180" t="s">
        <v>1488</v>
      </c>
      <c r="D1314" s="180" t="s">
        <v>974</v>
      </c>
      <c r="E1314" s="180" t="s">
        <v>975</v>
      </c>
      <c r="F1314" s="672">
        <v>828380.1</v>
      </c>
      <c r="G1314" s="672">
        <v>0</v>
      </c>
      <c r="H1314" s="672">
        <v>56518.37</v>
      </c>
      <c r="I1314" s="672">
        <v>0</v>
      </c>
      <c r="J1314" s="672">
        <v>49026.29</v>
      </c>
      <c r="K1314" s="672">
        <v>374969.04</v>
      </c>
      <c r="L1314" s="672">
        <v>347866.4</v>
      </c>
    </row>
    <row r="1315" spans="2:12">
      <c r="B1315" s="180" t="s">
        <v>1226</v>
      </c>
      <c r="C1315" s="180" t="s">
        <v>1227</v>
      </c>
      <c r="D1315" s="180" t="s">
        <v>974</v>
      </c>
      <c r="E1315" s="180" t="s">
        <v>990</v>
      </c>
      <c r="F1315" s="672">
        <v>0</v>
      </c>
      <c r="G1315" s="672">
        <v>0</v>
      </c>
      <c r="H1315" s="672">
        <v>0</v>
      </c>
      <c r="I1315" s="672">
        <v>0</v>
      </c>
      <c r="J1315" s="672">
        <v>0</v>
      </c>
      <c r="K1315" s="672">
        <v>0</v>
      </c>
      <c r="L1315" s="672">
        <v>0</v>
      </c>
    </row>
    <row r="1316" spans="2:12">
      <c r="B1316" s="180" t="s">
        <v>1742</v>
      </c>
      <c r="C1316" s="180" t="s">
        <v>1309</v>
      </c>
      <c r="D1316" s="180" t="s">
        <v>993</v>
      </c>
      <c r="E1316" s="180" t="s">
        <v>980</v>
      </c>
      <c r="F1316" s="672">
        <v>33770.660000000003</v>
      </c>
      <c r="G1316" s="672">
        <v>797.35</v>
      </c>
      <c r="H1316" s="672">
        <v>1021.22</v>
      </c>
      <c r="I1316" s="672">
        <v>1145.74</v>
      </c>
      <c r="J1316" s="672">
        <v>1119.26</v>
      </c>
      <c r="K1316" s="672">
        <v>6873.42</v>
      </c>
      <c r="L1316" s="672">
        <v>22813.67</v>
      </c>
    </row>
    <row r="1317" spans="2:12">
      <c r="B1317" s="180" t="s">
        <v>1476</v>
      </c>
      <c r="C1317" s="180" t="s">
        <v>1477</v>
      </c>
      <c r="D1317" s="180" t="s">
        <v>974</v>
      </c>
      <c r="E1317" s="180" t="s">
        <v>990</v>
      </c>
      <c r="F1317" s="672">
        <v>0</v>
      </c>
      <c r="G1317" s="672">
        <v>0</v>
      </c>
      <c r="H1317" s="672">
        <v>0</v>
      </c>
      <c r="I1317" s="672">
        <v>0</v>
      </c>
      <c r="J1317" s="672">
        <v>0</v>
      </c>
      <c r="K1317" s="672">
        <v>0</v>
      </c>
      <c r="L1317" s="672">
        <v>0</v>
      </c>
    </row>
    <row r="1318" spans="2:12">
      <c r="B1318" s="180" t="s">
        <v>998</v>
      </c>
      <c r="C1318" s="180" t="s">
        <v>999</v>
      </c>
      <c r="D1318" s="180" t="s">
        <v>974</v>
      </c>
      <c r="E1318" s="180" t="s">
        <v>1111</v>
      </c>
      <c r="F1318" s="672">
        <v>-6063339.5599999996</v>
      </c>
      <c r="G1318" s="672">
        <v>0</v>
      </c>
      <c r="H1318" s="672">
        <v>0</v>
      </c>
      <c r="I1318" s="672">
        <v>0</v>
      </c>
      <c r="J1318" s="672">
        <v>0</v>
      </c>
      <c r="K1318" s="672">
        <v>0</v>
      </c>
      <c r="L1318" s="672">
        <v>-6063339.5599999996</v>
      </c>
    </row>
    <row r="1319" spans="2:12">
      <c r="B1319" s="180" t="s">
        <v>1858</v>
      </c>
      <c r="C1319" s="180" t="s">
        <v>1009</v>
      </c>
      <c r="D1319" s="180" t="s">
        <v>974</v>
      </c>
      <c r="E1319" s="180" t="s">
        <v>980</v>
      </c>
      <c r="F1319" s="672">
        <v>811859.46</v>
      </c>
      <c r="G1319" s="672">
        <v>91695.74</v>
      </c>
      <c r="H1319" s="672">
        <v>167401.06</v>
      </c>
      <c r="I1319" s="672">
        <v>-17009.2</v>
      </c>
      <c r="J1319" s="672">
        <v>56082.93</v>
      </c>
      <c r="K1319" s="672">
        <v>2275354.7999999998</v>
      </c>
      <c r="L1319" s="672">
        <v>-1761665.87</v>
      </c>
    </row>
    <row r="1320" spans="2:12">
      <c r="B1320" s="180" t="s">
        <v>1452</v>
      </c>
      <c r="C1320" s="180" t="s">
        <v>1453</v>
      </c>
      <c r="D1320" s="180" t="s">
        <v>974</v>
      </c>
      <c r="E1320" s="180" t="s">
        <v>990</v>
      </c>
      <c r="F1320" s="672">
        <v>0</v>
      </c>
      <c r="G1320" s="672">
        <v>0</v>
      </c>
      <c r="H1320" s="672">
        <v>0</v>
      </c>
      <c r="I1320" s="672">
        <v>0</v>
      </c>
      <c r="J1320" s="672">
        <v>0</v>
      </c>
      <c r="K1320" s="672">
        <v>0</v>
      </c>
      <c r="L1320" s="672">
        <v>0</v>
      </c>
    </row>
    <row r="1321" spans="2:12">
      <c r="B1321" s="180" t="s">
        <v>1415</v>
      </c>
      <c r="C1321" s="180" t="s">
        <v>1416</v>
      </c>
      <c r="D1321" s="180" t="s">
        <v>974</v>
      </c>
      <c r="E1321" s="180" t="s">
        <v>983</v>
      </c>
      <c r="F1321" s="672">
        <v>4054.03</v>
      </c>
      <c r="G1321" s="672">
        <v>85.04</v>
      </c>
      <c r="H1321" s="672">
        <v>206.43</v>
      </c>
      <c r="I1321" s="672">
        <v>196.1</v>
      </c>
      <c r="J1321" s="672">
        <v>154.77000000000001</v>
      </c>
      <c r="K1321" s="672">
        <v>1039.23</v>
      </c>
      <c r="L1321" s="672">
        <v>2372.46</v>
      </c>
    </row>
    <row r="1322" spans="2:12">
      <c r="B1322" s="180" t="s">
        <v>2010</v>
      </c>
      <c r="C1322" s="180" t="s">
        <v>2011</v>
      </c>
      <c r="D1322" s="180" t="s">
        <v>974</v>
      </c>
      <c r="E1322" s="180" t="s">
        <v>980</v>
      </c>
      <c r="F1322" s="672">
        <v>6959206.5300000003</v>
      </c>
      <c r="G1322" s="672">
        <v>162274.9</v>
      </c>
      <c r="H1322" s="672">
        <v>162228.81</v>
      </c>
      <c r="I1322" s="672">
        <v>162183.29999999999</v>
      </c>
      <c r="J1322" s="672">
        <v>161951.60999999999</v>
      </c>
      <c r="K1322" s="672">
        <v>1272416.06</v>
      </c>
      <c r="L1322" s="672">
        <v>5038151.8499999996</v>
      </c>
    </row>
    <row r="1323" spans="2:12">
      <c r="B1323" s="180" t="s">
        <v>1799</v>
      </c>
      <c r="C1323" s="180" t="s">
        <v>1800</v>
      </c>
      <c r="D1323" s="180" t="s">
        <v>974</v>
      </c>
      <c r="E1323" s="180" t="s">
        <v>990</v>
      </c>
      <c r="F1323" s="672">
        <v>0</v>
      </c>
      <c r="G1323" s="672">
        <v>0</v>
      </c>
      <c r="H1323" s="672">
        <v>0</v>
      </c>
      <c r="I1323" s="672">
        <v>0</v>
      </c>
      <c r="J1323" s="672">
        <v>0</v>
      </c>
      <c r="K1323" s="672">
        <v>0</v>
      </c>
      <c r="L1323" s="672">
        <v>0</v>
      </c>
    </row>
    <row r="1324" spans="2:12">
      <c r="B1324" s="180" t="s">
        <v>2012</v>
      </c>
      <c r="C1324" s="180" t="s">
        <v>989</v>
      </c>
      <c r="D1324" s="180" t="s">
        <v>974</v>
      </c>
      <c r="E1324" s="180" t="s">
        <v>980</v>
      </c>
      <c r="F1324" s="672">
        <v>-155675.37</v>
      </c>
      <c r="G1324" s="672">
        <v>537.49</v>
      </c>
      <c r="H1324" s="672">
        <v>735.38</v>
      </c>
      <c r="I1324" s="672">
        <v>767.96</v>
      </c>
      <c r="J1324" s="672">
        <v>176.12</v>
      </c>
      <c r="K1324" s="672">
        <v>-12596.94</v>
      </c>
      <c r="L1324" s="672">
        <v>-145295.38</v>
      </c>
    </row>
    <row r="1325" spans="2:12">
      <c r="B1325" s="180" t="s">
        <v>1109</v>
      </c>
      <c r="C1325" s="180" t="s">
        <v>1110</v>
      </c>
      <c r="D1325" s="180" t="s">
        <v>974</v>
      </c>
      <c r="E1325" s="180" t="s">
        <v>975</v>
      </c>
      <c r="F1325" s="672">
        <v>9.41</v>
      </c>
      <c r="G1325" s="672">
        <v>0</v>
      </c>
      <c r="H1325" s="672">
        <v>0</v>
      </c>
      <c r="I1325" s="672">
        <v>0</v>
      </c>
      <c r="J1325" s="672">
        <v>0</v>
      </c>
      <c r="K1325" s="672">
        <v>9.41</v>
      </c>
      <c r="L1325" s="672">
        <v>0</v>
      </c>
    </row>
    <row r="1326" spans="2:12">
      <c r="B1326" s="180" t="s">
        <v>1613</v>
      </c>
      <c r="C1326" s="180" t="s">
        <v>1269</v>
      </c>
      <c r="D1326" s="180" t="s">
        <v>974</v>
      </c>
      <c r="E1326" s="180" t="s">
        <v>975</v>
      </c>
      <c r="F1326" s="672">
        <v>644225.23</v>
      </c>
      <c r="G1326" s="672">
        <v>0</v>
      </c>
      <c r="H1326" s="672">
        <v>0</v>
      </c>
      <c r="I1326" s="672">
        <v>0</v>
      </c>
      <c r="J1326" s="672">
        <v>0</v>
      </c>
      <c r="K1326" s="672">
        <v>0</v>
      </c>
      <c r="L1326" s="672">
        <v>644225.23</v>
      </c>
    </row>
    <row r="1327" spans="2:12">
      <c r="B1327" s="180" t="s">
        <v>1033</v>
      </c>
      <c r="C1327" s="180" t="s">
        <v>999</v>
      </c>
      <c r="D1327" s="180" t="s">
        <v>974</v>
      </c>
      <c r="E1327" s="180" t="s">
        <v>1111</v>
      </c>
      <c r="F1327" s="672">
        <v>0</v>
      </c>
      <c r="G1327" s="672">
        <v>0</v>
      </c>
      <c r="H1327" s="672">
        <v>0</v>
      </c>
      <c r="I1327" s="672">
        <v>0</v>
      </c>
      <c r="J1327" s="672">
        <v>0</v>
      </c>
      <c r="K1327" s="672">
        <v>0</v>
      </c>
      <c r="L1327" s="672">
        <v>0</v>
      </c>
    </row>
    <row r="1328" spans="2:12">
      <c r="B1328" s="180" t="s">
        <v>1375</v>
      </c>
      <c r="C1328" s="180" t="s">
        <v>1376</v>
      </c>
      <c r="D1328" s="180" t="s">
        <v>974</v>
      </c>
      <c r="E1328" s="180" t="s">
        <v>975</v>
      </c>
      <c r="F1328" s="672">
        <v>-2235.11</v>
      </c>
      <c r="G1328" s="672">
        <v>0</v>
      </c>
      <c r="H1328" s="672">
        <v>0</v>
      </c>
      <c r="I1328" s="672">
        <v>0</v>
      </c>
      <c r="J1328" s="672">
        <v>0</v>
      </c>
      <c r="K1328" s="672">
        <v>-12.25</v>
      </c>
      <c r="L1328" s="672">
        <v>-2222.86</v>
      </c>
    </row>
    <row r="1329" spans="2:12">
      <c r="B1329" s="180" t="s">
        <v>1288</v>
      </c>
      <c r="C1329" s="180" t="s">
        <v>1289</v>
      </c>
      <c r="D1329" s="180" t="s">
        <v>974</v>
      </c>
      <c r="E1329" s="180" t="s">
        <v>990</v>
      </c>
      <c r="F1329" s="672">
        <v>0</v>
      </c>
      <c r="G1329" s="672">
        <v>0</v>
      </c>
      <c r="H1329" s="672">
        <v>0</v>
      </c>
      <c r="I1329" s="672">
        <v>0</v>
      </c>
      <c r="J1329" s="672">
        <v>0</v>
      </c>
      <c r="K1329" s="672">
        <v>0</v>
      </c>
      <c r="L1329" s="672">
        <v>0</v>
      </c>
    </row>
    <row r="1330" spans="2:12">
      <c r="B1330" s="180" t="s">
        <v>1771</v>
      </c>
      <c r="C1330" s="180" t="s">
        <v>1772</v>
      </c>
      <c r="D1330" s="180" t="s">
        <v>974</v>
      </c>
      <c r="E1330" s="180" t="s">
        <v>990</v>
      </c>
      <c r="F1330" s="672">
        <v>0</v>
      </c>
      <c r="G1330" s="672">
        <v>0</v>
      </c>
      <c r="H1330" s="672">
        <v>0</v>
      </c>
      <c r="I1330" s="672">
        <v>0</v>
      </c>
      <c r="J1330" s="672">
        <v>0</v>
      </c>
      <c r="K1330" s="672">
        <v>0</v>
      </c>
      <c r="L1330" s="672">
        <v>0</v>
      </c>
    </row>
    <row r="1331" spans="2:12">
      <c r="B1331" s="180" t="s">
        <v>1894</v>
      </c>
      <c r="C1331" s="180" t="s">
        <v>1895</v>
      </c>
      <c r="D1331" s="180" t="s">
        <v>974</v>
      </c>
      <c r="E1331" s="180" t="s">
        <v>990</v>
      </c>
      <c r="F1331" s="672">
        <v>0</v>
      </c>
      <c r="G1331" s="672">
        <v>0</v>
      </c>
      <c r="H1331" s="672">
        <v>0</v>
      </c>
      <c r="I1331" s="672">
        <v>0</v>
      </c>
      <c r="J1331" s="672">
        <v>0</v>
      </c>
      <c r="K1331" s="672">
        <v>0</v>
      </c>
      <c r="L1331" s="672">
        <v>0</v>
      </c>
    </row>
    <row r="1332" spans="2:12">
      <c r="B1332" s="180" t="s">
        <v>1521</v>
      </c>
      <c r="C1332" s="180" t="s">
        <v>1189</v>
      </c>
      <c r="D1332" s="180" t="s">
        <v>993</v>
      </c>
      <c r="E1332" s="180" t="s">
        <v>980</v>
      </c>
      <c r="F1332" s="672">
        <v>512014.17</v>
      </c>
      <c r="G1332" s="672">
        <v>9588.86</v>
      </c>
      <c r="H1332" s="672">
        <v>12088.48</v>
      </c>
      <c r="I1332" s="672">
        <v>8463.2199999999993</v>
      </c>
      <c r="J1332" s="672">
        <v>12192.83</v>
      </c>
      <c r="K1332" s="672">
        <v>83286.929999999993</v>
      </c>
      <c r="L1332" s="672">
        <v>386393.85</v>
      </c>
    </row>
    <row r="1333" spans="2:12">
      <c r="B1333" s="180" t="s">
        <v>1226</v>
      </c>
      <c r="C1333" s="180" t="s">
        <v>1227</v>
      </c>
      <c r="D1333" s="180" t="s">
        <v>974</v>
      </c>
      <c r="E1333" s="180" t="s">
        <v>975</v>
      </c>
      <c r="F1333" s="672">
        <v>165530.59</v>
      </c>
      <c r="G1333" s="672">
        <v>0</v>
      </c>
      <c r="H1333" s="672">
        <v>0</v>
      </c>
      <c r="I1333" s="672">
        <v>0</v>
      </c>
      <c r="J1333" s="672">
        <v>0</v>
      </c>
      <c r="K1333" s="672">
        <v>0</v>
      </c>
      <c r="L1333" s="672">
        <v>165530.59</v>
      </c>
    </row>
    <row r="1334" spans="2:12">
      <c r="B1334" s="180" t="s">
        <v>1860</v>
      </c>
      <c r="C1334" s="180" t="s">
        <v>1861</v>
      </c>
      <c r="D1334" s="180" t="s">
        <v>974</v>
      </c>
      <c r="E1334" s="180" t="s">
        <v>980</v>
      </c>
      <c r="F1334" s="672">
        <v>4801.38</v>
      </c>
      <c r="G1334" s="672">
        <v>-431.43</v>
      </c>
      <c r="H1334" s="672">
        <v>-821.36</v>
      </c>
      <c r="I1334" s="672">
        <v>2138.1</v>
      </c>
      <c r="J1334" s="672">
        <v>-169.41</v>
      </c>
      <c r="K1334" s="672">
        <v>4085.48</v>
      </c>
      <c r="L1334" s="672">
        <v>0</v>
      </c>
    </row>
    <row r="1335" spans="2:12">
      <c r="B1335" s="180" t="s">
        <v>2013</v>
      </c>
      <c r="C1335" s="180" t="s">
        <v>2014</v>
      </c>
      <c r="D1335" s="180" t="s">
        <v>974</v>
      </c>
      <c r="E1335" s="180" t="s">
        <v>980</v>
      </c>
      <c r="F1335" s="672">
        <v>82106.490000000005</v>
      </c>
      <c r="G1335" s="672">
        <v>-1838.59</v>
      </c>
      <c r="H1335" s="672">
        <v>-4135.51</v>
      </c>
      <c r="I1335" s="672">
        <v>-18418.96</v>
      </c>
      <c r="J1335" s="672">
        <v>13126.66</v>
      </c>
      <c r="K1335" s="672">
        <v>-28331.39</v>
      </c>
      <c r="L1335" s="672">
        <v>121704.28</v>
      </c>
    </row>
    <row r="1336" spans="2:12">
      <c r="B1336" s="180" t="s">
        <v>1687</v>
      </c>
      <c r="C1336" s="180" t="s">
        <v>1589</v>
      </c>
      <c r="D1336" s="180" t="s">
        <v>974</v>
      </c>
      <c r="E1336" s="180" t="s">
        <v>990</v>
      </c>
      <c r="F1336" s="672">
        <v>0</v>
      </c>
      <c r="G1336" s="672">
        <v>0</v>
      </c>
      <c r="H1336" s="672">
        <v>0</v>
      </c>
      <c r="I1336" s="672">
        <v>0</v>
      </c>
      <c r="J1336" s="672">
        <v>0</v>
      </c>
      <c r="K1336" s="672">
        <v>0</v>
      </c>
      <c r="L1336" s="672">
        <v>0</v>
      </c>
    </row>
    <row r="1337" spans="2:12">
      <c r="B1337" s="180" t="s">
        <v>1900</v>
      </c>
      <c r="C1337" s="180" t="s">
        <v>1562</v>
      </c>
      <c r="D1337" s="180" t="s">
        <v>993</v>
      </c>
      <c r="E1337" s="180" t="s">
        <v>980</v>
      </c>
      <c r="F1337" s="672">
        <v>820919.38</v>
      </c>
      <c r="G1337" s="672">
        <v>18698.34</v>
      </c>
      <c r="H1337" s="672">
        <v>18820.41</v>
      </c>
      <c r="I1337" s="672">
        <v>21775.79</v>
      </c>
      <c r="J1337" s="672">
        <v>20832.099999999999</v>
      </c>
      <c r="K1337" s="672">
        <v>142624.26</v>
      </c>
      <c r="L1337" s="672">
        <v>598168.48</v>
      </c>
    </row>
    <row r="1338" spans="2:12">
      <c r="B1338" s="180" t="s">
        <v>1436</v>
      </c>
      <c r="C1338" s="180" t="s">
        <v>1437</v>
      </c>
      <c r="D1338" s="180" t="s">
        <v>974</v>
      </c>
      <c r="E1338" s="180" t="s">
        <v>980</v>
      </c>
      <c r="F1338" s="672">
        <v>2043.19</v>
      </c>
      <c r="G1338" s="672">
        <v>447.42</v>
      </c>
      <c r="H1338" s="672">
        <v>529.78</v>
      </c>
      <c r="I1338" s="672">
        <v>492.17</v>
      </c>
      <c r="J1338" s="672">
        <v>483.67</v>
      </c>
      <c r="K1338" s="672">
        <v>629.33000000000004</v>
      </c>
      <c r="L1338" s="672">
        <v>-539.17999999999995</v>
      </c>
    </row>
    <row r="1339" spans="2:12">
      <c r="B1339" s="180" t="s">
        <v>998</v>
      </c>
      <c r="C1339" s="180" t="s">
        <v>999</v>
      </c>
      <c r="D1339" s="180" t="s">
        <v>974</v>
      </c>
      <c r="E1339" s="180" t="s">
        <v>990</v>
      </c>
      <c r="F1339" s="672">
        <v>0</v>
      </c>
      <c r="G1339" s="672">
        <v>0</v>
      </c>
      <c r="H1339" s="672">
        <v>0</v>
      </c>
      <c r="I1339" s="672">
        <v>0</v>
      </c>
      <c r="J1339" s="672">
        <v>0</v>
      </c>
      <c r="K1339" s="672">
        <v>0</v>
      </c>
      <c r="L1339" s="672">
        <v>0</v>
      </c>
    </row>
    <row r="1340" spans="2:12">
      <c r="B1340" s="180" t="s">
        <v>1114</v>
      </c>
      <c r="C1340" s="180" t="s">
        <v>1115</v>
      </c>
      <c r="D1340" s="180" t="s">
        <v>974</v>
      </c>
      <c r="E1340" s="180" t="s">
        <v>990</v>
      </c>
      <c r="F1340" s="672">
        <v>0</v>
      </c>
      <c r="G1340" s="672">
        <v>0</v>
      </c>
      <c r="H1340" s="672">
        <v>0</v>
      </c>
      <c r="I1340" s="672">
        <v>0</v>
      </c>
      <c r="J1340" s="672">
        <v>0</v>
      </c>
      <c r="K1340" s="672">
        <v>0</v>
      </c>
      <c r="L1340" s="672">
        <v>0</v>
      </c>
    </row>
    <row r="1341" spans="2:12">
      <c r="B1341" s="180" t="s">
        <v>1949</v>
      </c>
      <c r="C1341" s="180" t="s">
        <v>1258</v>
      </c>
      <c r="D1341" s="180" t="s">
        <v>993</v>
      </c>
      <c r="E1341" s="180" t="s">
        <v>990</v>
      </c>
      <c r="F1341" s="672">
        <v>0</v>
      </c>
      <c r="G1341" s="672">
        <v>0</v>
      </c>
      <c r="H1341" s="672">
        <v>0</v>
      </c>
      <c r="I1341" s="672">
        <v>0</v>
      </c>
      <c r="J1341" s="672">
        <v>0</v>
      </c>
      <c r="K1341" s="672">
        <v>0</v>
      </c>
      <c r="L1341" s="672">
        <v>0</v>
      </c>
    </row>
    <row r="1342" spans="2:12">
      <c r="B1342" s="180" t="s">
        <v>1440</v>
      </c>
      <c r="C1342" s="180" t="s">
        <v>1441</v>
      </c>
      <c r="D1342" s="180" t="s">
        <v>974</v>
      </c>
      <c r="E1342" s="180" t="s">
        <v>1075</v>
      </c>
      <c r="F1342" s="672">
        <v>0</v>
      </c>
      <c r="G1342" s="672">
        <v>0</v>
      </c>
      <c r="H1342" s="672">
        <v>0</v>
      </c>
      <c r="I1342" s="672">
        <v>0</v>
      </c>
      <c r="J1342" s="672">
        <v>0</v>
      </c>
      <c r="K1342" s="672">
        <v>0</v>
      </c>
      <c r="L1342" s="672">
        <v>0</v>
      </c>
    </row>
    <row r="1343" spans="2:12">
      <c r="B1343" s="180" t="s">
        <v>1268</v>
      </c>
      <c r="C1343" s="180" t="s">
        <v>1269</v>
      </c>
      <c r="D1343" s="180" t="s">
        <v>974</v>
      </c>
      <c r="E1343" s="180" t="s">
        <v>980</v>
      </c>
      <c r="F1343" s="672">
        <v>94005.96</v>
      </c>
      <c r="G1343" s="672">
        <v>44621.75</v>
      </c>
      <c r="H1343" s="672">
        <v>-972.68</v>
      </c>
      <c r="I1343" s="672">
        <v>198.26</v>
      </c>
      <c r="J1343" s="672">
        <v>-42096.54</v>
      </c>
      <c r="K1343" s="672">
        <v>49402.18</v>
      </c>
      <c r="L1343" s="672">
        <v>42852.99</v>
      </c>
    </row>
    <row r="1344" spans="2:12">
      <c r="B1344" s="180" t="s">
        <v>2015</v>
      </c>
      <c r="C1344" s="180" t="s">
        <v>2016</v>
      </c>
      <c r="D1344" s="180" t="s">
        <v>974</v>
      </c>
      <c r="E1344" s="180" t="s">
        <v>1111</v>
      </c>
      <c r="F1344" s="672">
        <v>-1733.06</v>
      </c>
      <c r="G1344" s="672">
        <v>0</v>
      </c>
      <c r="H1344" s="672">
        <v>0</v>
      </c>
      <c r="I1344" s="672">
        <v>0</v>
      </c>
      <c r="J1344" s="672">
        <v>0</v>
      </c>
      <c r="K1344" s="672">
        <v>-1733.06</v>
      </c>
      <c r="L1344" s="672">
        <v>0</v>
      </c>
    </row>
    <row r="1345" spans="2:12">
      <c r="B1345" s="180" t="s">
        <v>2017</v>
      </c>
      <c r="C1345" s="180" t="s">
        <v>2018</v>
      </c>
      <c r="D1345" s="180" t="s">
        <v>974</v>
      </c>
      <c r="E1345" s="180" t="s">
        <v>980</v>
      </c>
      <c r="F1345" s="672">
        <v>3141.78</v>
      </c>
      <c r="G1345" s="672">
        <v>11059.17</v>
      </c>
      <c r="H1345" s="672">
        <v>-143.41999999999999</v>
      </c>
      <c r="I1345" s="672">
        <v>-13278.93</v>
      </c>
      <c r="J1345" s="672">
        <v>5016.46</v>
      </c>
      <c r="K1345" s="672">
        <v>31082.37</v>
      </c>
      <c r="L1345" s="672">
        <v>-30593.87</v>
      </c>
    </row>
    <row r="1346" spans="2:12">
      <c r="B1346" s="180" t="s">
        <v>1811</v>
      </c>
      <c r="C1346" s="180" t="s">
        <v>1525</v>
      </c>
      <c r="D1346" s="180" t="s">
        <v>993</v>
      </c>
      <c r="E1346" s="180" t="s">
        <v>980</v>
      </c>
      <c r="F1346" s="672">
        <v>2279429.71</v>
      </c>
      <c r="G1346" s="672">
        <v>59571.59</v>
      </c>
      <c r="H1346" s="672">
        <v>63683.42</v>
      </c>
      <c r="I1346" s="672">
        <v>65749.22</v>
      </c>
      <c r="J1346" s="672">
        <v>63674.85</v>
      </c>
      <c r="K1346" s="672">
        <v>450112.74</v>
      </c>
      <c r="L1346" s="672">
        <v>1576637.89</v>
      </c>
    </row>
    <row r="1347" spans="2:12">
      <c r="B1347" s="180" t="s">
        <v>1818</v>
      </c>
      <c r="C1347" s="180" t="s">
        <v>1819</v>
      </c>
      <c r="D1347" s="180" t="s">
        <v>974</v>
      </c>
      <c r="E1347" s="180" t="s">
        <v>975</v>
      </c>
      <c r="F1347" s="672">
        <v>60.5</v>
      </c>
      <c r="G1347" s="672">
        <v>0</v>
      </c>
      <c r="H1347" s="672">
        <v>0</v>
      </c>
      <c r="I1347" s="672">
        <v>0</v>
      </c>
      <c r="J1347" s="672">
        <v>0</v>
      </c>
      <c r="K1347" s="672">
        <v>0</v>
      </c>
      <c r="L1347" s="672">
        <v>60.5</v>
      </c>
    </row>
    <row r="1348" spans="2:12">
      <c r="B1348" s="180" t="s">
        <v>1507</v>
      </c>
      <c r="C1348" s="180" t="s">
        <v>1508</v>
      </c>
      <c r="D1348" s="180" t="s">
        <v>974</v>
      </c>
      <c r="E1348" s="180" t="s">
        <v>975</v>
      </c>
      <c r="F1348" s="672">
        <v>20253.43</v>
      </c>
      <c r="G1348" s="672">
        <v>0</v>
      </c>
      <c r="H1348" s="672">
        <v>0</v>
      </c>
      <c r="I1348" s="672">
        <v>0</v>
      </c>
      <c r="J1348" s="672">
        <v>0</v>
      </c>
      <c r="K1348" s="672">
        <v>0</v>
      </c>
      <c r="L1348" s="672">
        <v>20253.43</v>
      </c>
    </row>
    <row r="1349" spans="2:12">
      <c r="B1349" s="180" t="s">
        <v>1622</v>
      </c>
      <c r="C1349" s="180" t="s">
        <v>1302</v>
      </c>
      <c r="D1349" s="180" t="s">
        <v>993</v>
      </c>
      <c r="E1349" s="180" t="s">
        <v>975</v>
      </c>
      <c r="F1349" s="672">
        <v>-1780.7</v>
      </c>
      <c r="G1349" s="672">
        <v>0</v>
      </c>
      <c r="H1349" s="672">
        <v>0</v>
      </c>
      <c r="I1349" s="672">
        <v>0</v>
      </c>
      <c r="J1349" s="672">
        <v>0</v>
      </c>
      <c r="K1349" s="672">
        <v>0</v>
      </c>
      <c r="L1349" s="672">
        <v>-1780.7</v>
      </c>
    </row>
    <row r="1350" spans="2:12">
      <c r="B1350" s="180" t="s">
        <v>1965</v>
      </c>
      <c r="C1350" s="180" t="s">
        <v>1094</v>
      </c>
      <c r="D1350" s="180" t="s">
        <v>974</v>
      </c>
      <c r="E1350" s="180" t="s">
        <v>975</v>
      </c>
      <c r="F1350" s="672">
        <v>1232666.54</v>
      </c>
      <c r="G1350" s="672">
        <v>0</v>
      </c>
      <c r="H1350" s="672">
        <v>0</v>
      </c>
      <c r="I1350" s="672">
        <v>0</v>
      </c>
      <c r="J1350" s="672">
        <v>0</v>
      </c>
      <c r="K1350" s="672">
        <v>29040</v>
      </c>
      <c r="L1350" s="672">
        <v>1203626.54</v>
      </c>
    </row>
    <row r="1351" spans="2:12">
      <c r="B1351" s="180" t="s">
        <v>1403</v>
      </c>
      <c r="C1351" s="180" t="s">
        <v>1139</v>
      </c>
      <c r="D1351" s="180" t="s">
        <v>974</v>
      </c>
      <c r="E1351" s="180" t="s">
        <v>990</v>
      </c>
      <c r="F1351" s="672">
        <v>0</v>
      </c>
      <c r="G1351" s="672">
        <v>0</v>
      </c>
      <c r="H1351" s="672">
        <v>0</v>
      </c>
      <c r="I1351" s="672">
        <v>0</v>
      </c>
      <c r="J1351" s="672">
        <v>0</v>
      </c>
      <c r="K1351" s="672">
        <v>0</v>
      </c>
      <c r="L1351" s="672">
        <v>0</v>
      </c>
    </row>
    <row r="1352" spans="2:12">
      <c r="B1352" s="180" t="s">
        <v>1892</v>
      </c>
      <c r="C1352" s="180" t="s">
        <v>1367</v>
      </c>
      <c r="D1352" s="180" t="s">
        <v>993</v>
      </c>
      <c r="E1352" s="180" t="s">
        <v>980</v>
      </c>
      <c r="F1352" s="672">
        <v>1260005.51</v>
      </c>
      <c r="G1352" s="672">
        <v>24659.87</v>
      </c>
      <c r="H1352" s="672">
        <v>25309.87</v>
      </c>
      <c r="I1352" s="672">
        <v>30657.200000000001</v>
      </c>
      <c r="J1352" s="672">
        <v>25980.18</v>
      </c>
      <c r="K1352" s="672">
        <v>256712.88</v>
      </c>
      <c r="L1352" s="672">
        <v>896685.51</v>
      </c>
    </row>
    <row r="1353" spans="2:12">
      <c r="B1353" s="180" t="s">
        <v>1763</v>
      </c>
      <c r="C1353" s="180" t="s">
        <v>1764</v>
      </c>
      <c r="D1353" s="180" t="s">
        <v>974</v>
      </c>
      <c r="E1353" s="180" t="s">
        <v>990</v>
      </c>
      <c r="F1353" s="672">
        <v>0</v>
      </c>
      <c r="G1353" s="672">
        <v>0</v>
      </c>
      <c r="H1353" s="672">
        <v>0</v>
      </c>
      <c r="I1353" s="672">
        <v>0</v>
      </c>
      <c r="J1353" s="672">
        <v>0</v>
      </c>
      <c r="K1353" s="672">
        <v>0</v>
      </c>
      <c r="L1353" s="672">
        <v>0</v>
      </c>
    </row>
    <row r="1354" spans="2:12">
      <c r="B1354" s="180" t="s">
        <v>2019</v>
      </c>
      <c r="C1354" s="180" t="s">
        <v>1067</v>
      </c>
      <c r="D1354" s="180" t="s">
        <v>993</v>
      </c>
      <c r="E1354" s="180" t="s">
        <v>2020</v>
      </c>
      <c r="F1354" s="672">
        <v>3400</v>
      </c>
      <c r="G1354" s="672">
        <v>0</v>
      </c>
      <c r="H1354" s="672">
        <v>0</v>
      </c>
      <c r="I1354" s="672">
        <v>0</v>
      </c>
      <c r="J1354" s="672">
        <v>0</v>
      </c>
      <c r="K1354" s="672">
        <v>0</v>
      </c>
      <c r="L1354" s="672">
        <v>3400</v>
      </c>
    </row>
    <row r="1355" spans="2:12">
      <c r="B1355" s="180" t="s">
        <v>1203</v>
      </c>
      <c r="C1355" s="180" t="s">
        <v>1204</v>
      </c>
      <c r="D1355" s="180" t="s">
        <v>974</v>
      </c>
      <c r="E1355" s="180" t="s">
        <v>990</v>
      </c>
      <c r="F1355" s="672">
        <v>0</v>
      </c>
      <c r="G1355" s="672">
        <v>0</v>
      </c>
      <c r="H1355" s="672">
        <v>0</v>
      </c>
      <c r="I1355" s="672">
        <v>0</v>
      </c>
      <c r="J1355" s="672">
        <v>0</v>
      </c>
      <c r="K1355" s="672">
        <v>0</v>
      </c>
      <c r="L1355" s="672">
        <v>0</v>
      </c>
    </row>
    <row r="1356" spans="2:12">
      <c r="B1356" s="180" t="s">
        <v>2021</v>
      </c>
      <c r="C1356" s="180" t="s">
        <v>2022</v>
      </c>
      <c r="D1356" s="180" t="s">
        <v>974</v>
      </c>
      <c r="E1356" s="180" t="s">
        <v>980</v>
      </c>
      <c r="F1356" s="672">
        <v>4134883.63</v>
      </c>
      <c r="G1356" s="672">
        <v>95854.55</v>
      </c>
      <c r="H1356" s="672">
        <v>95854.55</v>
      </c>
      <c r="I1356" s="672">
        <v>95854.55</v>
      </c>
      <c r="J1356" s="672">
        <v>95854.55</v>
      </c>
      <c r="K1356" s="672">
        <v>753392.6</v>
      </c>
      <c r="L1356" s="672">
        <v>2998072.83</v>
      </c>
    </row>
    <row r="1357" spans="2:12">
      <c r="B1357" s="180" t="s">
        <v>1361</v>
      </c>
      <c r="C1357" s="180" t="s">
        <v>1362</v>
      </c>
      <c r="D1357" s="180" t="s">
        <v>974</v>
      </c>
      <c r="E1357" s="180" t="s">
        <v>975</v>
      </c>
      <c r="F1357" s="672">
        <v>-2475</v>
      </c>
      <c r="G1357" s="672">
        <v>0</v>
      </c>
      <c r="H1357" s="672">
        <v>0</v>
      </c>
      <c r="I1357" s="672">
        <v>0</v>
      </c>
      <c r="J1357" s="672">
        <v>0</v>
      </c>
      <c r="K1357" s="672">
        <v>0</v>
      </c>
      <c r="L1357" s="672">
        <v>-2475</v>
      </c>
    </row>
    <row r="1358" spans="2:12">
      <c r="B1358" s="180" t="s">
        <v>1396</v>
      </c>
      <c r="C1358" s="180" t="s">
        <v>1397</v>
      </c>
      <c r="D1358" s="180" t="s">
        <v>993</v>
      </c>
      <c r="E1358" s="180" t="s">
        <v>990</v>
      </c>
      <c r="F1358" s="672">
        <v>0</v>
      </c>
      <c r="G1358" s="672">
        <v>0</v>
      </c>
      <c r="H1358" s="672">
        <v>0</v>
      </c>
      <c r="I1358" s="672">
        <v>0</v>
      </c>
      <c r="J1358" s="672">
        <v>0</v>
      </c>
      <c r="K1358" s="672">
        <v>0</v>
      </c>
      <c r="L1358" s="672">
        <v>0</v>
      </c>
    </row>
    <row r="1359" spans="2:12">
      <c r="B1359" s="180" t="s">
        <v>1461</v>
      </c>
      <c r="C1359" s="180" t="s">
        <v>1462</v>
      </c>
      <c r="D1359" s="180" t="s">
        <v>974</v>
      </c>
      <c r="E1359" s="180" t="s">
        <v>1111</v>
      </c>
      <c r="F1359" s="672">
        <v>-214510.27</v>
      </c>
      <c r="G1359" s="672">
        <v>0</v>
      </c>
      <c r="H1359" s="672">
        <v>0</v>
      </c>
      <c r="I1359" s="672">
        <v>0</v>
      </c>
      <c r="J1359" s="672">
        <v>0</v>
      </c>
      <c r="K1359" s="672">
        <v>0</v>
      </c>
      <c r="L1359" s="672">
        <v>-214510.27</v>
      </c>
    </row>
    <row r="1360" spans="2:12">
      <c r="B1360" s="180" t="s">
        <v>1384</v>
      </c>
      <c r="C1360" s="180" t="s">
        <v>1385</v>
      </c>
      <c r="D1360" s="180" t="s">
        <v>974</v>
      </c>
      <c r="E1360" s="180" t="s">
        <v>990</v>
      </c>
      <c r="F1360" s="672">
        <v>0</v>
      </c>
      <c r="G1360" s="672">
        <v>0</v>
      </c>
      <c r="H1360" s="672">
        <v>0</v>
      </c>
      <c r="I1360" s="672">
        <v>0</v>
      </c>
      <c r="J1360" s="672">
        <v>0</v>
      </c>
      <c r="K1360" s="672">
        <v>0</v>
      </c>
      <c r="L1360" s="672">
        <v>0</v>
      </c>
    </row>
    <row r="1361" spans="2:12">
      <c r="B1361" s="180" t="s">
        <v>1789</v>
      </c>
      <c r="C1361" s="180" t="s">
        <v>1781</v>
      </c>
      <c r="D1361" s="180" t="s">
        <v>993</v>
      </c>
      <c r="E1361" s="180" t="s">
        <v>980</v>
      </c>
      <c r="F1361" s="672">
        <v>1537600.04</v>
      </c>
      <c r="G1361" s="672">
        <v>20153.060000000001</v>
      </c>
      <c r="H1361" s="672">
        <v>24386.06</v>
      </c>
      <c r="I1361" s="672">
        <v>28729.75</v>
      </c>
      <c r="J1361" s="672">
        <v>34937.01</v>
      </c>
      <c r="K1361" s="672">
        <v>270531.40999999997</v>
      </c>
      <c r="L1361" s="672">
        <v>1158862.75</v>
      </c>
    </row>
    <row r="1362" spans="2:12">
      <c r="B1362" s="180" t="s">
        <v>1709</v>
      </c>
      <c r="C1362" s="180" t="s">
        <v>1351</v>
      </c>
      <c r="D1362" s="180" t="s">
        <v>974</v>
      </c>
      <c r="E1362" s="180" t="s">
        <v>980</v>
      </c>
      <c r="F1362" s="672">
        <v>-60903.92</v>
      </c>
      <c r="G1362" s="672">
        <v>-22030.55</v>
      </c>
      <c r="H1362" s="672">
        <v>18803.73</v>
      </c>
      <c r="I1362" s="672">
        <v>-17648.080000000002</v>
      </c>
      <c r="J1362" s="672">
        <v>-19889.77</v>
      </c>
      <c r="K1362" s="672">
        <v>-13486.58</v>
      </c>
      <c r="L1362" s="672">
        <v>-6652.67</v>
      </c>
    </row>
    <row r="1363" spans="2:12">
      <c r="B1363" s="180" t="s">
        <v>1616</v>
      </c>
      <c r="C1363" s="180" t="s">
        <v>1552</v>
      </c>
      <c r="D1363" s="180" t="s">
        <v>974</v>
      </c>
      <c r="E1363" s="180" t="s">
        <v>980</v>
      </c>
      <c r="F1363" s="672">
        <v>55215.53</v>
      </c>
      <c r="G1363" s="672">
        <v>-9702.08</v>
      </c>
      <c r="H1363" s="672">
        <v>-3573.13</v>
      </c>
      <c r="I1363" s="672">
        <v>-2022.01</v>
      </c>
      <c r="J1363" s="672">
        <v>9722.82</v>
      </c>
      <c r="K1363" s="672">
        <v>6298.08</v>
      </c>
      <c r="L1363" s="672">
        <v>54491.85</v>
      </c>
    </row>
    <row r="1364" spans="2:12">
      <c r="B1364" s="180" t="s">
        <v>1292</v>
      </c>
      <c r="C1364" s="180" t="s">
        <v>1293</v>
      </c>
      <c r="D1364" s="180" t="s">
        <v>974</v>
      </c>
      <c r="E1364" s="180" t="s">
        <v>975</v>
      </c>
      <c r="F1364" s="672">
        <v>-8.33</v>
      </c>
      <c r="G1364" s="672">
        <v>0</v>
      </c>
      <c r="H1364" s="672">
        <v>0</v>
      </c>
      <c r="I1364" s="672">
        <v>0</v>
      </c>
      <c r="J1364" s="672">
        <v>0</v>
      </c>
      <c r="K1364" s="672">
        <v>0</v>
      </c>
      <c r="L1364" s="672">
        <v>-8.33</v>
      </c>
    </row>
    <row r="1365" spans="2:12">
      <c r="B1365" s="180" t="s">
        <v>1472</v>
      </c>
      <c r="C1365" s="180" t="s">
        <v>1060</v>
      </c>
      <c r="D1365" s="180" t="s">
        <v>993</v>
      </c>
      <c r="E1365" s="180" t="s">
        <v>980</v>
      </c>
      <c r="F1365" s="672">
        <v>333726.46000000002</v>
      </c>
      <c r="G1365" s="672">
        <v>8673.09</v>
      </c>
      <c r="H1365" s="672">
        <v>10370.49</v>
      </c>
      <c r="I1365" s="672">
        <v>10201.870000000001</v>
      </c>
      <c r="J1365" s="672">
        <v>10520.08</v>
      </c>
      <c r="K1365" s="672">
        <v>62188.13</v>
      </c>
      <c r="L1365" s="672">
        <v>231772.79999999999</v>
      </c>
    </row>
    <row r="1366" spans="2:12">
      <c r="B1366" s="180" t="s">
        <v>1952</v>
      </c>
      <c r="C1366" s="180" t="s">
        <v>1365</v>
      </c>
      <c r="D1366" s="180" t="s">
        <v>993</v>
      </c>
      <c r="E1366" s="180" t="s">
        <v>980</v>
      </c>
      <c r="F1366" s="672">
        <v>-3261.47</v>
      </c>
      <c r="G1366" s="672">
        <v>5</v>
      </c>
      <c r="H1366" s="672">
        <v>5</v>
      </c>
      <c r="I1366" s="672">
        <v>5</v>
      </c>
      <c r="J1366" s="672">
        <v>5</v>
      </c>
      <c r="K1366" s="672">
        <v>-3429.14</v>
      </c>
      <c r="L1366" s="672">
        <v>147.66999999999999</v>
      </c>
    </row>
    <row r="1367" spans="2:12">
      <c r="B1367" s="180" t="s">
        <v>1263</v>
      </c>
      <c r="C1367" s="180" t="s">
        <v>1032</v>
      </c>
      <c r="D1367" s="180" t="s">
        <v>974</v>
      </c>
      <c r="E1367" s="180" t="s">
        <v>983</v>
      </c>
      <c r="F1367" s="672">
        <v>983.51</v>
      </c>
      <c r="G1367" s="672">
        <v>250.29</v>
      </c>
      <c r="H1367" s="672">
        <v>-1640.93</v>
      </c>
      <c r="I1367" s="672">
        <v>149.41999999999999</v>
      </c>
      <c r="J1367" s="672">
        <v>417.46</v>
      </c>
      <c r="K1367" s="672">
        <v>860.21</v>
      </c>
      <c r="L1367" s="672">
        <v>947.06</v>
      </c>
    </row>
    <row r="1368" spans="2:12">
      <c r="B1368" s="180" t="s">
        <v>1808</v>
      </c>
      <c r="C1368" s="180" t="s">
        <v>1809</v>
      </c>
      <c r="D1368" s="180" t="s">
        <v>974</v>
      </c>
      <c r="E1368" s="180" t="s">
        <v>975</v>
      </c>
      <c r="F1368" s="672">
        <v>405890.45</v>
      </c>
      <c r="G1368" s="672">
        <v>39217.019999999997</v>
      </c>
      <c r="H1368" s="672">
        <v>38977.760000000002</v>
      </c>
      <c r="I1368" s="672">
        <v>46051.83</v>
      </c>
      <c r="J1368" s="672">
        <v>45509.67</v>
      </c>
      <c r="K1368" s="672">
        <v>174994.01</v>
      </c>
      <c r="L1368" s="672">
        <v>61140.160000000003</v>
      </c>
    </row>
    <row r="1369" spans="2:12">
      <c r="B1369" s="180" t="s">
        <v>1264</v>
      </c>
      <c r="C1369" s="180" t="s">
        <v>1265</v>
      </c>
      <c r="D1369" s="180" t="s">
        <v>974</v>
      </c>
      <c r="E1369" s="180" t="s">
        <v>990</v>
      </c>
      <c r="F1369" s="672">
        <v>0</v>
      </c>
      <c r="G1369" s="672">
        <v>0</v>
      </c>
      <c r="H1369" s="672">
        <v>0</v>
      </c>
      <c r="I1369" s="672">
        <v>0</v>
      </c>
      <c r="J1369" s="672">
        <v>0</v>
      </c>
      <c r="K1369" s="672">
        <v>0</v>
      </c>
      <c r="L1369" s="672">
        <v>0</v>
      </c>
    </row>
    <row r="1370" spans="2:12">
      <c r="B1370" s="180" t="s">
        <v>2023</v>
      </c>
      <c r="C1370" s="180" t="s">
        <v>2024</v>
      </c>
      <c r="D1370" s="180" t="s">
        <v>974</v>
      </c>
      <c r="E1370" s="180" t="s">
        <v>975</v>
      </c>
      <c r="F1370" s="672">
        <v>1598.48</v>
      </c>
      <c r="G1370" s="672">
        <v>0</v>
      </c>
      <c r="H1370" s="672">
        <v>0</v>
      </c>
      <c r="I1370" s="672">
        <v>0</v>
      </c>
      <c r="J1370" s="672">
        <v>0</v>
      </c>
      <c r="K1370" s="672">
        <v>0</v>
      </c>
      <c r="L1370" s="672">
        <v>1598.48</v>
      </c>
    </row>
    <row r="1371" spans="2:12">
      <c r="B1371" s="180" t="s">
        <v>2025</v>
      </c>
      <c r="C1371" s="180" t="s">
        <v>2026</v>
      </c>
      <c r="D1371" s="180" t="s">
        <v>974</v>
      </c>
      <c r="E1371" s="180" t="s">
        <v>975</v>
      </c>
      <c r="F1371" s="672">
        <v>-26.65</v>
      </c>
      <c r="G1371" s="672">
        <v>0</v>
      </c>
      <c r="H1371" s="672">
        <v>0</v>
      </c>
      <c r="I1371" s="672">
        <v>0</v>
      </c>
      <c r="J1371" s="672">
        <v>0</v>
      </c>
      <c r="K1371" s="672">
        <v>-26.65</v>
      </c>
      <c r="L1371" s="672">
        <v>0</v>
      </c>
    </row>
    <row r="1372" spans="2:12">
      <c r="B1372" s="180" t="s">
        <v>2002</v>
      </c>
      <c r="C1372" s="180" t="s">
        <v>2003</v>
      </c>
      <c r="D1372" s="180" t="s">
        <v>974</v>
      </c>
      <c r="E1372" s="180" t="s">
        <v>975</v>
      </c>
      <c r="F1372" s="672">
        <v>17592.259999999998</v>
      </c>
      <c r="G1372" s="672">
        <v>0</v>
      </c>
      <c r="H1372" s="672">
        <v>0</v>
      </c>
      <c r="I1372" s="672">
        <v>0</v>
      </c>
      <c r="J1372" s="672">
        <v>0</v>
      </c>
      <c r="K1372" s="672">
        <v>4296.13</v>
      </c>
      <c r="L1372" s="672">
        <v>13296.13</v>
      </c>
    </row>
    <row r="1373" spans="2:12">
      <c r="B1373" s="180" t="s">
        <v>1085</v>
      </c>
      <c r="C1373" s="180" t="s">
        <v>1086</v>
      </c>
      <c r="D1373" s="180" t="s">
        <v>974</v>
      </c>
      <c r="E1373" s="180" t="s">
        <v>980</v>
      </c>
      <c r="F1373" s="672">
        <v>-613094.34</v>
      </c>
      <c r="G1373" s="672">
        <v>0</v>
      </c>
      <c r="H1373" s="672">
        <v>0</v>
      </c>
      <c r="I1373" s="672">
        <v>0</v>
      </c>
      <c r="J1373" s="672">
        <v>0</v>
      </c>
      <c r="K1373" s="672">
        <v>0</v>
      </c>
      <c r="L1373" s="672">
        <v>-613094.34</v>
      </c>
    </row>
    <row r="1374" spans="2:12">
      <c r="B1374" s="180" t="s">
        <v>1950</v>
      </c>
      <c r="C1374" s="180" t="s">
        <v>1439</v>
      </c>
      <c r="D1374" s="180" t="s">
        <v>993</v>
      </c>
      <c r="E1374" s="180" t="s">
        <v>990</v>
      </c>
      <c r="F1374" s="672">
        <v>0</v>
      </c>
      <c r="G1374" s="672">
        <v>0</v>
      </c>
      <c r="H1374" s="672">
        <v>0</v>
      </c>
      <c r="I1374" s="672">
        <v>0</v>
      </c>
      <c r="J1374" s="672">
        <v>0</v>
      </c>
      <c r="K1374" s="672">
        <v>0</v>
      </c>
      <c r="L1374" s="672">
        <v>0</v>
      </c>
    </row>
    <row r="1375" spans="2:12">
      <c r="B1375" s="180" t="s">
        <v>2009</v>
      </c>
      <c r="C1375" s="180" t="s">
        <v>1502</v>
      </c>
      <c r="D1375" s="180" t="s">
        <v>993</v>
      </c>
      <c r="E1375" s="180" t="s">
        <v>980</v>
      </c>
      <c r="F1375" s="672">
        <v>196230.39999999999</v>
      </c>
      <c r="G1375" s="672">
        <v>6494.65</v>
      </c>
      <c r="H1375" s="672">
        <v>6585.41</v>
      </c>
      <c r="I1375" s="672">
        <v>7902.27</v>
      </c>
      <c r="J1375" s="672">
        <v>12554.57</v>
      </c>
      <c r="K1375" s="672">
        <v>47128.27</v>
      </c>
      <c r="L1375" s="672">
        <v>115565.23</v>
      </c>
    </row>
    <row r="1376" spans="2:12">
      <c r="B1376" s="180" t="s">
        <v>1706</v>
      </c>
      <c r="C1376" s="180" t="s">
        <v>1707</v>
      </c>
      <c r="D1376" s="180" t="s">
        <v>993</v>
      </c>
      <c r="E1376" s="180" t="s">
        <v>980</v>
      </c>
      <c r="F1376" s="672">
        <v>50091.03</v>
      </c>
      <c r="G1376" s="672">
        <v>686.47</v>
      </c>
      <c r="H1376" s="672">
        <v>1143.5</v>
      </c>
      <c r="I1376" s="672">
        <v>1223.94</v>
      </c>
      <c r="J1376" s="672">
        <v>919.5</v>
      </c>
      <c r="K1376" s="672">
        <v>11672.3</v>
      </c>
      <c r="L1376" s="672">
        <v>34445.32</v>
      </c>
    </row>
    <row r="1377" spans="2:12">
      <c r="B1377" s="180" t="s">
        <v>1649</v>
      </c>
      <c r="C1377" s="180" t="s">
        <v>1650</v>
      </c>
      <c r="D1377" s="180" t="s">
        <v>974</v>
      </c>
      <c r="E1377" s="180" t="s">
        <v>1967</v>
      </c>
      <c r="F1377" s="672">
        <v>0</v>
      </c>
      <c r="G1377" s="672">
        <v>0</v>
      </c>
      <c r="H1377" s="672">
        <v>0</v>
      </c>
      <c r="I1377" s="672">
        <v>0</v>
      </c>
      <c r="J1377" s="672">
        <v>0</v>
      </c>
      <c r="K1377" s="672">
        <v>0</v>
      </c>
      <c r="L1377" s="672">
        <v>0</v>
      </c>
    </row>
    <row r="1378" spans="2:12">
      <c r="B1378" s="180" t="s">
        <v>1649</v>
      </c>
      <c r="C1378" s="180" t="s">
        <v>1650</v>
      </c>
      <c r="D1378" s="180" t="s">
        <v>974</v>
      </c>
      <c r="E1378" s="180" t="s">
        <v>980</v>
      </c>
      <c r="F1378" s="672">
        <v>63657.75</v>
      </c>
      <c r="G1378" s="672">
        <v>1463.9</v>
      </c>
      <c r="H1378" s="672">
        <v>1460.41</v>
      </c>
      <c r="I1378" s="672">
        <v>1744.77</v>
      </c>
      <c r="J1378" s="672">
        <v>1470.78</v>
      </c>
      <c r="K1378" s="672">
        <v>12352.99</v>
      </c>
      <c r="L1378" s="672">
        <v>45164.9</v>
      </c>
    </row>
    <row r="1379" spans="2:12">
      <c r="B1379" s="180" t="s">
        <v>2027</v>
      </c>
      <c r="C1379" s="180" t="s">
        <v>1397</v>
      </c>
      <c r="D1379" s="180" t="s">
        <v>993</v>
      </c>
      <c r="E1379" s="180" t="s">
        <v>990</v>
      </c>
      <c r="F1379" s="672">
        <v>0</v>
      </c>
      <c r="G1379" s="672">
        <v>0</v>
      </c>
      <c r="H1379" s="672">
        <v>0</v>
      </c>
      <c r="I1379" s="672">
        <v>0</v>
      </c>
      <c r="J1379" s="672">
        <v>0</v>
      </c>
      <c r="K1379" s="672">
        <v>0</v>
      </c>
      <c r="L1379" s="672">
        <v>0</v>
      </c>
    </row>
    <row r="1380" spans="2:12">
      <c r="B1380" s="180" t="s">
        <v>1894</v>
      </c>
      <c r="C1380" s="180" t="s">
        <v>1895</v>
      </c>
      <c r="D1380" s="180" t="s">
        <v>974</v>
      </c>
      <c r="E1380" s="180" t="s">
        <v>980</v>
      </c>
      <c r="F1380" s="672">
        <v>-199227.44</v>
      </c>
      <c r="G1380" s="672">
        <v>-5247.66</v>
      </c>
      <c r="H1380" s="672">
        <v>5610.99</v>
      </c>
      <c r="I1380" s="672">
        <v>8823.0499999999993</v>
      </c>
      <c r="J1380" s="672">
        <v>-282428.67</v>
      </c>
      <c r="K1380" s="672">
        <v>-190646.5</v>
      </c>
      <c r="L1380" s="672">
        <v>264661.34999999998</v>
      </c>
    </row>
    <row r="1381" spans="2:12">
      <c r="B1381" s="180" t="s">
        <v>1557</v>
      </c>
      <c r="C1381" s="180" t="s">
        <v>1032</v>
      </c>
      <c r="D1381" s="180" t="s">
        <v>974</v>
      </c>
      <c r="E1381" s="180" t="s">
        <v>990</v>
      </c>
      <c r="F1381" s="672">
        <v>0</v>
      </c>
      <c r="G1381" s="672">
        <v>0</v>
      </c>
      <c r="H1381" s="672">
        <v>0</v>
      </c>
      <c r="I1381" s="672">
        <v>0</v>
      </c>
      <c r="J1381" s="672">
        <v>0</v>
      </c>
      <c r="K1381" s="672">
        <v>0</v>
      </c>
      <c r="L1381" s="672">
        <v>0</v>
      </c>
    </row>
    <row r="1382" spans="2:12">
      <c r="B1382" s="180" t="s">
        <v>1788</v>
      </c>
      <c r="C1382" s="180" t="s">
        <v>1167</v>
      </c>
      <c r="D1382" s="180" t="s">
        <v>993</v>
      </c>
      <c r="E1382" s="180" t="s">
        <v>1075</v>
      </c>
      <c r="F1382" s="672">
        <v>0</v>
      </c>
      <c r="G1382" s="672">
        <v>0</v>
      </c>
      <c r="H1382" s="672">
        <v>0</v>
      </c>
      <c r="I1382" s="672">
        <v>0</v>
      </c>
      <c r="J1382" s="672">
        <v>0</v>
      </c>
      <c r="K1382" s="672">
        <v>0</v>
      </c>
      <c r="L1382" s="672">
        <v>0</v>
      </c>
    </row>
    <row r="1383" spans="2:12">
      <c r="B1383" s="180" t="s">
        <v>1714</v>
      </c>
      <c r="C1383" s="180" t="s">
        <v>1080</v>
      </c>
      <c r="D1383" s="180" t="s">
        <v>974</v>
      </c>
      <c r="E1383" s="180" t="s">
        <v>990</v>
      </c>
      <c r="F1383" s="672">
        <v>-144.32</v>
      </c>
      <c r="G1383" s="672">
        <v>0</v>
      </c>
      <c r="H1383" s="672">
        <v>0</v>
      </c>
      <c r="I1383" s="672">
        <v>0</v>
      </c>
      <c r="J1383" s="672">
        <v>0</v>
      </c>
      <c r="K1383" s="672">
        <v>-8562.89</v>
      </c>
      <c r="L1383" s="672">
        <v>8418.57</v>
      </c>
    </row>
    <row r="1384" spans="2:12">
      <c r="B1384" s="180" t="s">
        <v>986</v>
      </c>
      <c r="C1384" s="180" t="s">
        <v>987</v>
      </c>
      <c r="D1384" s="180" t="s">
        <v>974</v>
      </c>
      <c r="E1384" s="180" t="s">
        <v>990</v>
      </c>
      <c r="F1384" s="672">
        <v>0</v>
      </c>
      <c r="G1384" s="672">
        <v>0</v>
      </c>
      <c r="H1384" s="672">
        <v>0</v>
      </c>
      <c r="I1384" s="672">
        <v>0</v>
      </c>
      <c r="J1384" s="672">
        <v>0</v>
      </c>
      <c r="K1384" s="672">
        <v>0</v>
      </c>
      <c r="L1384" s="672">
        <v>0</v>
      </c>
    </row>
    <row r="1385" spans="2:12">
      <c r="B1385" s="180" t="s">
        <v>1671</v>
      </c>
      <c r="C1385" s="180" t="s">
        <v>1672</v>
      </c>
      <c r="D1385" s="180" t="s">
        <v>993</v>
      </c>
      <c r="E1385" s="180" t="s">
        <v>980</v>
      </c>
      <c r="F1385" s="672">
        <v>3667443.07</v>
      </c>
      <c r="G1385" s="672">
        <v>80186.87</v>
      </c>
      <c r="H1385" s="672">
        <v>85278.87</v>
      </c>
      <c r="I1385" s="672">
        <v>89540.85</v>
      </c>
      <c r="J1385" s="672">
        <v>103904.59</v>
      </c>
      <c r="K1385" s="672">
        <v>665474.80000000005</v>
      </c>
      <c r="L1385" s="672">
        <v>2643057.09</v>
      </c>
    </row>
    <row r="1386" spans="2:12">
      <c r="B1386" s="180" t="s">
        <v>1721</v>
      </c>
      <c r="C1386" s="180" t="s">
        <v>1237</v>
      </c>
      <c r="D1386" s="180" t="s">
        <v>993</v>
      </c>
      <c r="E1386" s="180" t="s">
        <v>975</v>
      </c>
      <c r="F1386" s="672">
        <v>-86614.49</v>
      </c>
      <c r="G1386" s="672">
        <v>0</v>
      </c>
      <c r="H1386" s="672">
        <v>0</v>
      </c>
      <c r="I1386" s="672">
        <v>0</v>
      </c>
      <c r="J1386" s="672">
        <v>0</v>
      </c>
      <c r="K1386" s="672">
        <v>0</v>
      </c>
      <c r="L1386" s="672">
        <v>-86614.49</v>
      </c>
    </row>
    <row r="1387" spans="2:12">
      <c r="B1387" s="180" t="s">
        <v>1838</v>
      </c>
      <c r="C1387" s="180" t="s">
        <v>1629</v>
      </c>
      <c r="D1387" s="180" t="s">
        <v>974</v>
      </c>
      <c r="E1387" s="180" t="s">
        <v>980</v>
      </c>
      <c r="F1387" s="672">
        <v>-118095.71</v>
      </c>
      <c r="G1387" s="672">
        <v>26249.57</v>
      </c>
      <c r="H1387" s="672">
        <v>-18887.93</v>
      </c>
      <c r="I1387" s="672">
        <v>-10737.21</v>
      </c>
      <c r="J1387" s="672">
        <v>-1493.78</v>
      </c>
      <c r="K1387" s="672">
        <v>94818.4</v>
      </c>
      <c r="L1387" s="672">
        <v>-208044.76</v>
      </c>
    </row>
    <row r="1388" spans="2:12">
      <c r="B1388" s="180" t="s">
        <v>1628</v>
      </c>
      <c r="C1388" s="180" t="s">
        <v>1629</v>
      </c>
      <c r="D1388" s="180" t="s">
        <v>974</v>
      </c>
      <c r="E1388" s="180" t="s">
        <v>980</v>
      </c>
      <c r="F1388" s="672">
        <v>12447.5</v>
      </c>
      <c r="G1388" s="672">
        <v>-13376.85</v>
      </c>
      <c r="H1388" s="672">
        <v>-2458.38</v>
      </c>
      <c r="I1388" s="672">
        <v>-10427.799999999999</v>
      </c>
      <c r="J1388" s="672">
        <v>-424.08</v>
      </c>
      <c r="K1388" s="672">
        <v>119833.59</v>
      </c>
      <c r="L1388" s="672">
        <v>-80698.98</v>
      </c>
    </row>
    <row r="1389" spans="2:12">
      <c r="B1389" s="180" t="s">
        <v>1866</v>
      </c>
      <c r="C1389" s="180" t="s">
        <v>1867</v>
      </c>
      <c r="D1389" s="180" t="s">
        <v>974</v>
      </c>
      <c r="E1389" s="180" t="s">
        <v>980</v>
      </c>
      <c r="F1389" s="672">
        <v>7850185.1299999999</v>
      </c>
      <c r="G1389" s="672">
        <v>182329</v>
      </c>
      <c r="H1389" s="672">
        <v>182257.23</v>
      </c>
      <c r="I1389" s="672">
        <v>182399.96</v>
      </c>
      <c r="J1389" s="672">
        <v>182301.71</v>
      </c>
      <c r="K1389" s="672">
        <v>1430580.81</v>
      </c>
      <c r="L1389" s="672">
        <v>5690316.4199999999</v>
      </c>
    </row>
    <row r="1390" spans="2:12">
      <c r="B1390" s="180" t="s">
        <v>1619</v>
      </c>
      <c r="C1390" s="180" t="s">
        <v>1620</v>
      </c>
      <c r="D1390" s="180" t="s">
        <v>993</v>
      </c>
      <c r="E1390" s="180" t="s">
        <v>975</v>
      </c>
      <c r="F1390" s="672">
        <v>-950.67</v>
      </c>
      <c r="G1390" s="672">
        <v>0</v>
      </c>
      <c r="H1390" s="672">
        <v>0</v>
      </c>
      <c r="I1390" s="672">
        <v>0</v>
      </c>
      <c r="J1390" s="672">
        <v>0</v>
      </c>
      <c r="K1390" s="672">
        <v>0</v>
      </c>
      <c r="L1390" s="672">
        <v>-950.67</v>
      </c>
    </row>
    <row r="1391" spans="2:12">
      <c r="B1391" s="180" t="s">
        <v>1487</v>
      </c>
      <c r="C1391" s="180" t="s">
        <v>1488</v>
      </c>
      <c r="D1391" s="180" t="s">
        <v>974</v>
      </c>
      <c r="E1391" s="180" t="s">
        <v>990</v>
      </c>
      <c r="F1391" s="672">
        <v>0</v>
      </c>
      <c r="G1391" s="672">
        <v>0</v>
      </c>
      <c r="H1391" s="672">
        <v>0</v>
      </c>
      <c r="I1391" s="672">
        <v>0</v>
      </c>
      <c r="J1391" s="672">
        <v>0</v>
      </c>
      <c r="K1391" s="672">
        <v>0</v>
      </c>
      <c r="L1391" s="672">
        <v>0</v>
      </c>
    </row>
    <row r="1392" spans="2:12">
      <c r="B1392" s="180" t="s">
        <v>2028</v>
      </c>
      <c r="C1392" s="180" t="s">
        <v>1620</v>
      </c>
      <c r="D1392" s="180" t="s">
        <v>993</v>
      </c>
      <c r="E1392" s="180" t="s">
        <v>990</v>
      </c>
      <c r="F1392" s="672">
        <v>0</v>
      </c>
      <c r="G1392" s="672">
        <v>0</v>
      </c>
      <c r="H1392" s="672">
        <v>0</v>
      </c>
      <c r="I1392" s="672">
        <v>0</v>
      </c>
      <c r="J1392" s="672">
        <v>0</v>
      </c>
      <c r="K1392" s="672">
        <v>0</v>
      </c>
      <c r="L1392" s="672">
        <v>0</v>
      </c>
    </row>
    <row r="1393" spans="2:12">
      <c r="B1393" s="180" t="s">
        <v>1045</v>
      </c>
      <c r="C1393" s="180" t="s">
        <v>1046</v>
      </c>
      <c r="D1393" s="180" t="s">
        <v>974</v>
      </c>
      <c r="E1393" s="180" t="s">
        <v>983</v>
      </c>
      <c r="F1393" s="672">
        <v>-2084.9899999999998</v>
      </c>
      <c r="G1393" s="672">
        <v>-693.09</v>
      </c>
      <c r="H1393" s="672">
        <v>0</v>
      </c>
      <c r="I1393" s="672">
        <v>0</v>
      </c>
      <c r="J1393" s="672">
        <v>-693.09</v>
      </c>
      <c r="K1393" s="672">
        <v>0</v>
      </c>
      <c r="L1393" s="672">
        <v>-698.81</v>
      </c>
    </row>
    <row r="1394" spans="2:12">
      <c r="B1394" s="180" t="s">
        <v>1917</v>
      </c>
      <c r="C1394" s="180" t="s">
        <v>1735</v>
      </c>
      <c r="D1394" s="180" t="s">
        <v>993</v>
      </c>
      <c r="E1394" s="180" t="s">
        <v>980</v>
      </c>
      <c r="F1394" s="672">
        <v>112980</v>
      </c>
      <c r="G1394" s="672">
        <v>2553.29</v>
      </c>
      <c r="H1394" s="672">
        <v>2763.56</v>
      </c>
      <c r="I1394" s="672">
        <v>2669.43</v>
      </c>
      <c r="J1394" s="672">
        <v>2809.68</v>
      </c>
      <c r="K1394" s="672">
        <v>41177.18</v>
      </c>
      <c r="L1394" s="672">
        <v>61006.86</v>
      </c>
    </row>
    <row r="1395" spans="2:12">
      <c r="B1395" s="180" t="s">
        <v>1450</v>
      </c>
      <c r="C1395" s="180" t="s">
        <v>1451</v>
      </c>
      <c r="D1395" s="180" t="s">
        <v>974</v>
      </c>
      <c r="E1395" s="180" t="s">
        <v>1034</v>
      </c>
      <c r="F1395" s="672">
        <v>0</v>
      </c>
      <c r="G1395" s="672">
        <v>0</v>
      </c>
      <c r="H1395" s="672">
        <v>0</v>
      </c>
      <c r="I1395" s="672">
        <v>0</v>
      </c>
      <c r="J1395" s="672">
        <v>0</v>
      </c>
      <c r="K1395" s="672">
        <v>0</v>
      </c>
      <c r="L1395" s="672">
        <v>0</v>
      </c>
    </row>
    <row r="1396" spans="2:12">
      <c r="B1396" s="180" t="s">
        <v>1990</v>
      </c>
      <c r="C1396" s="180" t="s">
        <v>1991</v>
      </c>
      <c r="D1396" s="180" t="s">
        <v>974</v>
      </c>
      <c r="E1396" s="180" t="s">
        <v>1034</v>
      </c>
      <c r="F1396" s="672">
        <v>0</v>
      </c>
      <c r="G1396" s="672">
        <v>0</v>
      </c>
      <c r="H1396" s="672">
        <v>0</v>
      </c>
      <c r="I1396" s="672">
        <v>0</v>
      </c>
      <c r="J1396" s="672">
        <v>0</v>
      </c>
      <c r="K1396" s="672">
        <v>0</v>
      </c>
      <c r="L1396" s="672">
        <v>0</v>
      </c>
    </row>
    <row r="1397" spans="2:12">
      <c r="B1397" s="180" t="s">
        <v>972</v>
      </c>
      <c r="C1397" s="180" t="s">
        <v>973</v>
      </c>
      <c r="D1397" s="180" t="s">
        <v>974</v>
      </c>
      <c r="E1397" s="180" t="s">
        <v>980</v>
      </c>
      <c r="F1397" s="672">
        <v>-372346.79</v>
      </c>
      <c r="G1397" s="672">
        <v>-29352.41</v>
      </c>
      <c r="H1397" s="672">
        <v>24643.94</v>
      </c>
      <c r="I1397" s="672">
        <v>24045.13</v>
      </c>
      <c r="J1397" s="672">
        <v>-12645.68</v>
      </c>
      <c r="K1397" s="672">
        <v>-14417.97</v>
      </c>
      <c r="L1397" s="672">
        <v>-364619.8</v>
      </c>
    </row>
    <row r="1398" spans="2:12">
      <c r="B1398" s="180" t="s">
        <v>1820</v>
      </c>
      <c r="C1398" s="180" t="s">
        <v>1302</v>
      </c>
      <c r="D1398" s="180" t="s">
        <v>993</v>
      </c>
      <c r="E1398" s="180" t="s">
        <v>990</v>
      </c>
      <c r="F1398" s="672">
        <v>0</v>
      </c>
      <c r="G1398" s="672">
        <v>0</v>
      </c>
      <c r="H1398" s="672">
        <v>0</v>
      </c>
      <c r="I1398" s="672">
        <v>0</v>
      </c>
      <c r="J1398" s="672">
        <v>0</v>
      </c>
      <c r="K1398" s="672">
        <v>0</v>
      </c>
      <c r="L1398" s="672">
        <v>0</v>
      </c>
    </row>
    <row r="1399" spans="2:12">
      <c r="B1399" s="180" t="s">
        <v>1388</v>
      </c>
      <c r="C1399" s="180" t="s">
        <v>1389</v>
      </c>
      <c r="D1399" s="180" t="s">
        <v>993</v>
      </c>
      <c r="E1399" s="180" t="s">
        <v>990</v>
      </c>
      <c r="F1399" s="672">
        <v>0</v>
      </c>
      <c r="G1399" s="672">
        <v>0</v>
      </c>
      <c r="H1399" s="672">
        <v>0</v>
      </c>
      <c r="I1399" s="672">
        <v>0</v>
      </c>
      <c r="J1399" s="672">
        <v>0</v>
      </c>
      <c r="K1399" s="672">
        <v>0</v>
      </c>
      <c r="L1399" s="672">
        <v>0</v>
      </c>
    </row>
    <row r="1400" spans="2:12">
      <c r="B1400" s="180" t="s">
        <v>1971</v>
      </c>
      <c r="C1400" s="180" t="s">
        <v>1972</v>
      </c>
      <c r="D1400" s="180" t="s">
        <v>974</v>
      </c>
      <c r="E1400" s="180" t="s">
        <v>980</v>
      </c>
      <c r="F1400" s="672">
        <v>280617.09999999998</v>
      </c>
      <c r="G1400" s="672">
        <v>-146029.71</v>
      </c>
      <c r="H1400" s="672">
        <v>114144.45</v>
      </c>
      <c r="I1400" s="672">
        <v>158250.29999999999</v>
      </c>
      <c r="J1400" s="672">
        <v>2910.74</v>
      </c>
      <c r="K1400" s="672">
        <v>964876.22</v>
      </c>
      <c r="L1400" s="672">
        <v>-813534.9</v>
      </c>
    </row>
    <row r="1401" spans="2:12">
      <c r="B1401" s="180" t="s">
        <v>1956</v>
      </c>
      <c r="C1401" s="180" t="s">
        <v>1957</v>
      </c>
      <c r="D1401" s="180" t="s">
        <v>974</v>
      </c>
      <c r="E1401" s="180" t="s">
        <v>980</v>
      </c>
      <c r="F1401" s="672">
        <v>-38700.199999999997</v>
      </c>
      <c r="G1401" s="672">
        <v>-27214.26</v>
      </c>
      <c r="H1401" s="672">
        <v>1271.3900000000001</v>
      </c>
      <c r="I1401" s="672">
        <v>-9666.7800000000007</v>
      </c>
      <c r="J1401" s="672">
        <v>-13015.66</v>
      </c>
      <c r="K1401" s="672">
        <v>-8842.1200000000008</v>
      </c>
      <c r="L1401" s="672">
        <v>18767.23</v>
      </c>
    </row>
    <row r="1402" spans="2:12">
      <c r="B1402" s="180" t="s">
        <v>1033</v>
      </c>
      <c r="C1402" s="180" t="s">
        <v>999</v>
      </c>
      <c r="D1402" s="180" t="s">
        <v>974</v>
      </c>
      <c r="E1402" s="180" t="s">
        <v>990</v>
      </c>
      <c r="F1402" s="672">
        <v>76.599999999999994</v>
      </c>
      <c r="G1402" s="672">
        <v>0</v>
      </c>
      <c r="H1402" s="672">
        <v>0</v>
      </c>
      <c r="I1402" s="672">
        <v>0</v>
      </c>
      <c r="J1402" s="672">
        <v>0</v>
      </c>
      <c r="K1402" s="672">
        <v>0</v>
      </c>
      <c r="L1402" s="672">
        <v>76.599999999999994</v>
      </c>
    </row>
    <row r="1403" spans="2:12">
      <c r="B1403" s="180" t="s">
        <v>1132</v>
      </c>
      <c r="C1403" s="180" t="s">
        <v>1133</v>
      </c>
      <c r="D1403" s="180" t="s">
        <v>993</v>
      </c>
      <c r="E1403" s="180" t="s">
        <v>990</v>
      </c>
      <c r="F1403" s="672">
        <v>0.14000000000000001</v>
      </c>
      <c r="G1403" s="672">
        <v>0</v>
      </c>
      <c r="H1403" s="672">
        <v>0</v>
      </c>
      <c r="I1403" s="672">
        <v>0</v>
      </c>
      <c r="J1403" s="672">
        <v>0</v>
      </c>
      <c r="K1403" s="672">
        <v>0</v>
      </c>
      <c r="L1403" s="672">
        <v>0.14000000000000001</v>
      </c>
    </row>
    <row r="1404" spans="2:12">
      <c r="B1404" s="180" t="s">
        <v>1806</v>
      </c>
      <c r="C1404" s="180" t="s">
        <v>1735</v>
      </c>
      <c r="D1404" s="180" t="s">
        <v>993</v>
      </c>
      <c r="E1404" s="180" t="s">
        <v>990</v>
      </c>
      <c r="F1404" s="672">
        <v>0</v>
      </c>
      <c r="G1404" s="672">
        <v>0</v>
      </c>
      <c r="H1404" s="672">
        <v>0</v>
      </c>
      <c r="I1404" s="672">
        <v>0</v>
      </c>
      <c r="J1404" s="672">
        <v>0</v>
      </c>
      <c r="K1404" s="672">
        <v>0</v>
      </c>
      <c r="L1404" s="672">
        <v>0</v>
      </c>
    </row>
    <row r="1405" spans="2:12">
      <c r="B1405" s="180" t="s">
        <v>991</v>
      </c>
      <c r="C1405" s="180" t="s">
        <v>992</v>
      </c>
      <c r="D1405" s="180" t="s">
        <v>993</v>
      </c>
      <c r="E1405" s="180" t="s">
        <v>990</v>
      </c>
      <c r="F1405" s="672">
        <v>0</v>
      </c>
      <c r="G1405" s="672">
        <v>0</v>
      </c>
      <c r="H1405" s="672">
        <v>0</v>
      </c>
      <c r="I1405" s="672">
        <v>0</v>
      </c>
      <c r="J1405" s="672">
        <v>0</v>
      </c>
      <c r="K1405" s="672">
        <v>0</v>
      </c>
      <c r="L1405" s="672">
        <v>0</v>
      </c>
    </row>
    <row r="1406" spans="2:12">
      <c r="B1406" s="180" t="s">
        <v>1166</v>
      </c>
      <c r="C1406" s="180" t="s">
        <v>1167</v>
      </c>
      <c r="D1406" s="180" t="s">
        <v>993</v>
      </c>
      <c r="E1406" s="180" t="s">
        <v>975</v>
      </c>
      <c r="F1406" s="672">
        <v>-456251.65</v>
      </c>
      <c r="G1406" s="672">
        <v>0</v>
      </c>
      <c r="H1406" s="672">
        <v>0</v>
      </c>
      <c r="I1406" s="672">
        <v>0</v>
      </c>
      <c r="J1406" s="672">
        <v>0</v>
      </c>
      <c r="K1406" s="672">
        <v>-441526.73</v>
      </c>
      <c r="L1406" s="672">
        <v>-14724.92</v>
      </c>
    </row>
    <row r="1407" spans="2:12">
      <c r="B1407" s="180" t="s">
        <v>1231</v>
      </c>
      <c r="C1407" s="180" t="s">
        <v>1232</v>
      </c>
      <c r="D1407" s="180" t="s">
        <v>974</v>
      </c>
      <c r="E1407" s="180" t="s">
        <v>980</v>
      </c>
      <c r="F1407" s="672">
        <v>34402.120000000003</v>
      </c>
      <c r="G1407" s="672">
        <v>-209.57</v>
      </c>
      <c r="H1407" s="672">
        <v>-566.48</v>
      </c>
      <c r="I1407" s="672">
        <v>5305.96</v>
      </c>
      <c r="J1407" s="672">
        <v>-5509.86</v>
      </c>
      <c r="K1407" s="672">
        <v>10900.44</v>
      </c>
      <c r="L1407" s="672">
        <v>24481.63</v>
      </c>
    </row>
    <row r="1408" spans="2:12">
      <c r="B1408" s="180" t="s">
        <v>1858</v>
      </c>
      <c r="C1408" s="180" t="s">
        <v>1009</v>
      </c>
      <c r="D1408" s="180" t="s">
        <v>974</v>
      </c>
      <c r="E1408" s="180" t="s">
        <v>990</v>
      </c>
      <c r="F1408" s="672">
        <v>0</v>
      </c>
      <c r="G1408" s="672">
        <v>0</v>
      </c>
      <c r="H1408" s="672">
        <v>0</v>
      </c>
      <c r="I1408" s="672">
        <v>0</v>
      </c>
      <c r="J1408" s="672">
        <v>0</v>
      </c>
      <c r="K1408" s="672">
        <v>0</v>
      </c>
      <c r="L1408" s="672">
        <v>0</v>
      </c>
    </row>
    <row r="1409" spans="2:12">
      <c r="B1409" s="180" t="s">
        <v>1353</v>
      </c>
      <c r="C1409" s="180" t="s">
        <v>1354</v>
      </c>
      <c r="D1409" s="180" t="s">
        <v>974</v>
      </c>
      <c r="E1409" s="180" t="s">
        <v>975</v>
      </c>
      <c r="F1409" s="672">
        <v>-134777.76999999999</v>
      </c>
      <c r="G1409" s="672">
        <v>0</v>
      </c>
      <c r="H1409" s="672">
        <v>0</v>
      </c>
      <c r="I1409" s="672">
        <v>0</v>
      </c>
      <c r="J1409" s="672">
        <v>0</v>
      </c>
      <c r="K1409" s="672">
        <v>0</v>
      </c>
      <c r="L1409" s="672">
        <v>-134777.76999999999</v>
      </c>
    </row>
    <row r="1410" spans="2:12">
      <c r="B1410" s="180" t="s">
        <v>1637</v>
      </c>
      <c r="C1410" s="180" t="s">
        <v>1638</v>
      </c>
      <c r="D1410" s="180" t="s">
        <v>974</v>
      </c>
      <c r="E1410" s="180" t="s">
        <v>990</v>
      </c>
      <c r="F1410" s="672">
        <v>0</v>
      </c>
      <c r="G1410" s="672">
        <v>0</v>
      </c>
      <c r="H1410" s="672">
        <v>0</v>
      </c>
      <c r="I1410" s="672">
        <v>0</v>
      </c>
      <c r="J1410" s="672">
        <v>0</v>
      </c>
      <c r="K1410" s="672">
        <v>0</v>
      </c>
      <c r="L1410" s="672">
        <v>0</v>
      </c>
    </row>
    <row r="1411" spans="2:12">
      <c r="B1411" s="180" t="s">
        <v>2029</v>
      </c>
      <c r="C1411" s="180" t="s">
        <v>2030</v>
      </c>
      <c r="D1411" s="180" t="s">
        <v>974</v>
      </c>
      <c r="E1411" s="180" t="s">
        <v>980</v>
      </c>
      <c r="F1411" s="672">
        <v>2344162.75</v>
      </c>
      <c r="G1411" s="672">
        <v>54516.72</v>
      </c>
      <c r="H1411" s="672">
        <v>54523.88</v>
      </c>
      <c r="I1411" s="672">
        <v>54516.02</v>
      </c>
      <c r="J1411" s="672">
        <v>54520.959999999999</v>
      </c>
      <c r="K1411" s="672">
        <v>427330.72</v>
      </c>
      <c r="L1411" s="672">
        <v>1698754.45</v>
      </c>
    </row>
    <row r="1412" spans="2:12">
      <c r="B1412" s="180" t="s">
        <v>1956</v>
      </c>
      <c r="C1412" s="180" t="s">
        <v>1957</v>
      </c>
      <c r="D1412" s="180" t="s">
        <v>974</v>
      </c>
      <c r="E1412" s="180" t="s">
        <v>990</v>
      </c>
      <c r="F1412" s="672">
        <v>0</v>
      </c>
      <c r="G1412" s="672">
        <v>0</v>
      </c>
      <c r="H1412" s="672">
        <v>0</v>
      </c>
      <c r="I1412" s="672">
        <v>0</v>
      </c>
      <c r="J1412" s="672">
        <v>0</v>
      </c>
      <c r="K1412" s="672">
        <v>0</v>
      </c>
      <c r="L1412" s="672">
        <v>0</v>
      </c>
    </row>
    <row r="1413" spans="2:12">
      <c r="B1413" s="180" t="s">
        <v>2031</v>
      </c>
      <c r="C1413" s="180" t="s">
        <v>1123</v>
      </c>
      <c r="D1413" s="180" t="s">
        <v>993</v>
      </c>
      <c r="E1413" s="180" t="s">
        <v>980</v>
      </c>
      <c r="F1413" s="672">
        <v>17640.439999999999</v>
      </c>
      <c r="G1413" s="672">
        <v>166.02</v>
      </c>
      <c r="H1413" s="672">
        <v>167.33</v>
      </c>
      <c r="I1413" s="672">
        <v>168.67</v>
      </c>
      <c r="J1413" s="672">
        <v>168.39</v>
      </c>
      <c r="K1413" s="672">
        <v>1380.43</v>
      </c>
      <c r="L1413" s="672">
        <v>15589.6</v>
      </c>
    </row>
    <row r="1414" spans="2:12">
      <c r="B1414" s="180" t="s">
        <v>1526</v>
      </c>
      <c r="C1414" s="180" t="s">
        <v>1527</v>
      </c>
      <c r="D1414" s="180" t="s">
        <v>974</v>
      </c>
      <c r="E1414" s="180" t="s">
        <v>980</v>
      </c>
      <c r="F1414" s="672">
        <v>4143.21</v>
      </c>
      <c r="G1414" s="672">
        <v>1733.01</v>
      </c>
      <c r="H1414" s="672">
        <v>-2384.5</v>
      </c>
      <c r="I1414" s="672">
        <v>-4245.74</v>
      </c>
      <c r="J1414" s="672">
        <v>2437.7600000000002</v>
      </c>
      <c r="K1414" s="672">
        <v>1347.65</v>
      </c>
      <c r="L1414" s="672">
        <v>5255.03</v>
      </c>
    </row>
    <row r="1415" spans="2:12">
      <c r="B1415" s="180" t="s">
        <v>1155</v>
      </c>
      <c r="C1415" s="180" t="s">
        <v>1156</v>
      </c>
      <c r="D1415" s="180" t="s">
        <v>974</v>
      </c>
      <c r="E1415" s="180" t="s">
        <v>980</v>
      </c>
      <c r="F1415" s="672">
        <v>2016631.16</v>
      </c>
      <c r="G1415" s="672">
        <v>1036223.49</v>
      </c>
      <c r="H1415" s="672">
        <v>66029.570000000007</v>
      </c>
      <c r="I1415" s="672">
        <v>-1104469.93</v>
      </c>
      <c r="J1415" s="672">
        <v>49819.07</v>
      </c>
      <c r="K1415" s="672">
        <v>5611735.5099999998</v>
      </c>
      <c r="L1415" s="672">
        <v>-3642706.55</v>
      </c>
    </row>
    <row r="1416" spans="2:12">
      <c r="B1416" s="180" t="s">
        <v>2032</v>
      </c>
      <c r="C1416" s="180" t="s">
        <v>2033</v>
      </c>
      <c r="D1416" s="180" t="s">
        <v>974</v>
      </c>
      <c r="E1416" s="180" t="s">
        <v>990</v>
      </c>
      <c r="F1416" s="672">
        <v>0</v>
      </c>
      <c r="G1416" s="672">
        <v>0</v>
      </c>
      <c r="H1416" s="672">
        <v>0</v>
      </c>
      <c r="I1416" s="672">
        <v>0</v>
      </c>
      <c r="J1416" s="672">
        <v>0</v>
      </c>
      <c r="K1416" s="672">
        <v>0</v>
      </c>
      <c r="L1416" s="672">
        <v>0</v>
      </c>
    </row>
    <row r="1417" spans="2:12">
      <c r="B1417" s="180" t="s">
        <v>2034</v>
      </c>
      <c r="C1417" s="180" t="s">
        <v>1281</v>
      </c>
      <c r="D1417" s="180" t="s">
        <v>993</v>
      </c>
      <c r="E1417" s="180" t="s">
        <v>980</v>
      </c>
      <c r="F1417" s="672">
        <v>221327.6</v>
      </c>
      <c r="G1417" s="672">
        <v>5209.93</v>
      </c>
      <c r="H1417" s="672">
        <v>5230.1400000000003</v>
      </c>
      <c r="I1417" s="672">
        <v>5076.83</v>
      </c>
      <c r="J1417" s="672">
        <v>5129.22</v>
      </c>
      <c r="K1417" s="672">
        <v>38190.559999999998</v>
      </c>
      <c r="L1417" s="672">
        <v>162490.92000000001</v>
      </c>
    </row>
    <row r="1418" spans="2:12">
      <c r="B1418" s="180" t="s">
        <v>1393</v>
      </c>
      <c r="C1418" s="180" t="s">
        <v>1394</v>
      </c>
      <c r="D1418" s="180" t="s">
        <v>974</v>
      </c>
      <c r="E1418" s="180" t="s">
        <v>980</v>
      </c>
      <c r="F1418" s="672">
        <v>-36337.94</v>
      </c>
      <c r="G1418" s="672">
        <v>-3171.92</v>
      </c>
      <c r="H1418" s="672">
        <v>-785.62</v>
      </c>
      <c r="I1418" s="672">
        <v>-2159.0300000000002</v>
      </c>
      <c r="J1418" s="672">
        <v>-7498.91</v>
      </c>
      <c r="K1418" s="672">
        <v>-25194.02</v>
      </c>
      <c r="L1418" s="672">
        <v>2471.56</v>
      </c>
    </row>
    <row r="1419" spans="2:12">
      <c r="B1419" s="180" t="s">
        <v>1286</v>
      </c>
      <c r="C1419" s="180" t="s">
        <v>1287</v>
      </c>
      <c r="D1419" s="180" t="s">
        <v>974</v>
      </c>
      <c r="E1419" s="180" t="s">
        <v>990</v>
      </c>
      <c r="F1419" s="672">
        <v>0</v>
      </c>
      <c r="G1419" s="672">
        <v>0</v>
      </c>
      <c r="H1419" s="672">
        <v>0</v>
      </c>
      <c r="I1419" s="672">
        <v>0</v>
      </c>
      <c r="J1419" s="672">
        <v>0</v>
      </c>
      <c r="K1419" s="672">
        <v>0</v>
      </c>
      <c r="L1419" s="672">
        <v>0</v>
      </c>
    </row>
    <row r="1420" spans="2:12">
      <c r="B1420" s="180" t="s">
        <v>1608</v>
      </c>
      <c r="C1420" s="180" t="s">
        <v>1302</v>
      </c>
      <c r="D1420" s="180" t="s">
        <v>993</v>
      </c>
      <c r="E1420" s="180" t="s">
        <v>990</v>
      </c>
      <c r="F1420" s="672">
        <v>0</v>
      </c>
      <c r="G1420" s="672">
        <v>0</v>
      </c>
      <c r="H1420" s="672">
        <v>0</v>
      </c>
      <c r="I1420" s="672">
        <v>0</v>
      </c>
      <c r="J1420" s="672">
        <v>0</v>
      </c>
      <c r="K1420" s="672">
        <v>0</v>
      </c>
      <c r="L1420" s="672">
        <v>0</v>
      </c>
    </row>
    <row r="1421" spans="2:12">
      <c r="B1421" s="180" t="s">
        <v>1908</v>
      </c>
      <c r="C1421" s="180" t="s">
        <v>1909</v>
      </c>
      <c r="D1421" s="180" t="s">
        <v>974</v>
      </c>
      <c r="E1421" s="180" t="s">
        <v>1363</v>
      </c>
      <c r="F1421" s="672">
        <v>117078.68</v>
      </c>
      <c r="G1421" s="672">
        <v>-7410.05</v>
      </c>
      <c r="H1421" s="672">
        <v>-5438.02</v>
      </c>
      <c r="I1421" s="672">
        <v>-22230.15</v>
      </c>
      <c r="J1421" s="672">
        <v>-9382.08</v>
      </c>
      <c r="K1421" s="672">
        <v>-45372.160000000003</v>
      </c>
      <c r="L1421" s="672">
        <v>206911.14</v>
      </c>
    </row>
    <row r="1422" spans="2:12">
      <c r="B1422" s="180" t="s">
        <v>1472</v>
      </c>
      <c r="C1422" s="180" t="s">
        <v>1060</v>
      </c>
      <c r="D1422" s="180" t="s">
        <v>993</v>
      </c>
      <c r="E1422" s="180" t="s">
        <v>1075</v>
      </c>
      <c r="F1422" s="672">
        <v>0</v>
      </c>
      <c r="G1422" s="672">
        <v>0</v>
      </c>
      <c r="H1422" s="672">
        <v>0</v>
      </c>
      <c r="I1422" s="672">
        <v>0</v>
      </c>
      <c r="J1422" s="672">
        <v>0</v>
      </c>
      <c r="K1422" s="672">
        <v>0</v>
      </c>
      <c r="L1422" s="672">
        <v>0</v>
      </c>
    </row>
    <row r="1423" spans="2:12">
      <c r="B1423" s="180" t="s">
        <v>1452</v>
      </c>
      <c r="C1423" s="180" t="s">
        <v>1453</v>
      </c>
      <c r="D1423" s="180" t="s">
        <v>974</v>
      </c>
      <c r="E1423" s="180" t="s">
        <v>1075</v>
      </c>
      <c r="F1423" s="672">
        <v>0</v>
      </c>
      <c r="G1423" s="672">
        <v>0</v>
      </c>
      <c r="H1423" s="672">
        <v>0</v>
      </c>
      <c r="I1423" s="672">
        <v>0</v>
      </c>
      <c r="J1423" s="672">
        <v>0</v>
      </c>
      <c r="K1423" s="672">
        <v>0</v>
      </c>
      <c r="L1423" s="672">
        <v>0</v>
      </c>
    </row>
    <row r="1424" spans="2:12">
      <c r="B1424" s="180" t="s">
        <v>1147</v>
      </c>
      <c r="C1424" s="180" t="s">
        <v>1148</v>
      </c>
      <c r="D1424" s="180" t="s">
        <v>974</v>
      </c>
      <c r="E1424" s="180" t="s">
        <v>1075</v>
      </c>
      <c r="F1424" s="672">
        <v>0</v>
      </c>
      <c r="G1424" s="672">
        <v>0</v>
      </c>
      <c r="H1424" s="672">
        <v>0</v>
      </c>
      <c r="I1424" s="672">
        <v>0</v>
      </c>
      <c r="J1424" s="672">
        <v>0</v>
      </c>
      <c r="K1424" s="672">
        <v>0</v>
      </c>
      <c r="L1424" s="672">
        <v>0</v>
      </c>
    </row>
    <row r="1425" spans="2:12">
      <c r="B1425" s="180" t="s">
        <v>1905</v>
      </c>
      <c r="C1425" s="180" t="s">
        <v>1906</v>
      </c>
      <c r="D1425" s="180" t="s">
        <v>974</v>
      </c>
      <c r="E1425" s="180" t="s">
        <v>990</v>
      </c>
      <c r="F1425" s="672">
        <v>0</v>
      </c>
      <c r="G1425" s="672">
        <v>0</v>
      </c>
      <c r="H1425" s="672">
        <v>0</v>
      </c>
      <c r="I1425" s="672">
        <v>0</v>
      </c>
      <c r="J1425" s="672">
        <v>0</v>
      </c>
      <c r="K1425" s="672">
        <v>0</v>
      </c>
      <c r="L1425" s="672">
        <v>0</v>
      </c>
    </row>
    <row r="1426" spans="2:12">
      <c r="B1426" s="180" t="s">
        <v>1310</v>
      </c>
      <c r="C1426" s="180" t="s">
        <v>1311</v>
      </c>
      <c r="D1426" s="180" t="s">
        <v>974</v>
      </c>
      <c r="E1426" s="180" t="s">
        <v>975</v>
      </c>
      <c r="F1426" s="672">
        <v>-35</v>
      </c>
      <c r="G1426" s="672">
        <v>0</v>
      </c>
      <c r="H1426" s="672">
        <v>0</v>
      </c>
      <c r="I1426" s="672">
        <v>0</v>
      </c>
      <c r="J1426" s="672">
        <v>0</v>
      </c>
      <c r="K1426" s="672">
        <v>0</v>
      </c>
      <c r="L1426" s="672">
        <v>-35</v>
      </c>
    </row>
    <row r="1427" spans="2:12">
      <c r="B1427" s="180" t="s">
        <v>1878</v>
      </c>
      <c r="C1427" s="180" t="s">
        <v>1208</v>
      </c>
      <c r="D1427" s="180" t="s">
        <v>993</v>
      </c>
      <c r="E1427" s="180" t="s">
        <v>1078</v>
      </c>
      <c r="F1427" s="672">
        <v>9474</v>
      </c>
      <c r="G1427" s="672">
        <v>0</v>
      </c>
      <c r="H1427" s="672">
        <v>0</v>
      </c>
      <c r="I1427" s="672">
        <v>0</v>
      </c>
      <c r="J1427" s="672">
        <v>0</v>
      </c>
      <c r="K1427" s="672">
        <v>0</v>
      </c>
      <c r="L1427" s="672">
        <v>9474</v>
      </c>
    </row>
    <row r="1428" spans="2:12">
      <c r="B1428" s="180" t="s">
        <v>1010</v>
      </c>
      <c r="C1428" s="180" t="s">
        <v>1011</v>
      </c>
      <c r="D1428" s="180" t="s">
        <v>993</v>
      </c>
      <c r="E1428" s="180" t="s">
        <v>1075</v>
      </c>
      <c r="F1428" s="672">
        <v>0</v>
      </c>
      <c r="G1428" s="672">
        <v>0</v>
      </c>
      <c r="H1428" s="672">
        <v>0</v>
      </c>
      <c r="I1428" s="672">
        <v>0</v>
      </c>
      <c r="J1428" s="672">
        <v>0</v>
      </c>
      <c r="K1428" s="672">
        <v>0</v>
      </c>
      <c r="L1428" s="672">
        <v>0</v>
      </c>
    </row>
    <row r="1429" spans="2:12">
      <c r="B1429" s="180" t="s">
        <v>1784</v>
      </c>
      <c r="C1429" s="180" t="s">
        <v>1287</v>
      </c>
      <c r="D1429" s="180" t="s">
        <v>974</v>
      </c>
      <c r="E1429" s="180" t="s">
        <v>990</v>
      </c>
      <c r="F1429" s="672">
        <v>0</v>
      </c>
      <c r="G1429" s="672">
        <v>0</v>
      </c>
      <c r="H1429" s="672">
        <v>0</v>
      </c>
      <c r="I1429" s="672">
        <v>0</v>
      </c>
      <c r="J1429" s="672">
        <v>0</v>
      </c>
      <c r="K1429" s="672">
        <v>0</v>
      </c>
      <c r="L1429" s="672">
        <v>0</v>
      </c>
    </row>
    <row r="1430" spans="2:12">
      <c r="B1430" s="180" t="s">
        <v>1322</v>
      </c>
      <c r="C1430" s="180" t="s">
        <v>1323</v>
      </c>
      <c r="D1430" s="180" t="s">
        <v>974</v>
      </c>
      <c r="E1430" s="180" t="s">
        <v>975</v>
      </c>
      <c r="F1430" s="672">
        <v>442364.42</v>
      </c>
      <c r="G1430" s="672">
        <v>0</v>
      </c>
      <c r="H1430" s="672">
        <v>0</v>
      </c>
      <c r="I1430" s="672">
        <v>0</v>
      </c>
      <c r="J1430" s="672">
        <v>0</v>
      </c>
      <c r="K1430" s="672">
        <v>140860.09</v>
      </c>
      <c r="L1430" s="672">
        <v>301504.33</v>
      </c>
    </row>
    <row r="1431" spans="2:12">
      <c r="B1431" s="180" t="s">
        <v>1603</v>
      </c>
      <c r="C1431" s="180" t="s">
        <v>1604</v>
      </c>
      <c r="D1431" s="180" t="s">
        <v>974</v>
      </c>
      <c r="E1431" s="180" t="s">
        <v>990</v>
      </c>
      <c r="F1431" s="672">
        <v>0</v>
      </c>
      <c r="G1431" s="672">
        <v>0</v>
      </c>
      <c r="H1431" s="672">
        <v>0</v>
      </c>
      <c r="I1431" s="672">
        <v>0</v>
      </c>
      <c r="J1431" s="672">
        <v>0</v>
      </c>
      <c r="K1431" s="672">
        <v>0</v>
      </c>
      <c r="L1431" s="672">
        <v>0</v>
      </c>
    </row>
    <row r="1432" spans="2:12">
      <c r="B1432" s="180" t="s">
        <v>2035</v>
      </c>
      <c r="C1432" s="180" t="s">
        <v>2036</v>
      </c>
      <c r="D1432" s="180" t="s">
        <v>974</v>
      </c>
      <c r="E1432" s="180" t="s">
        <v>975</v>
      </c>
      <c r="F1432" s="672">
        <v>8988.99</v>
      </c>
      <c r="G1432" s="672">
        <v>0</v>
      </c>
      <c r="H1432" s="672">
        <v>0</v>
      </c>
      <c r="I1432" s="672">
        <v>0</v>
      </c>
      <c r="J1432" s="672">
        <v>0</v>
      </c>
      <c r="K1432" s="672">
        <v>0</v>
      </c>
      <c r="L1432" s="672">
        <v>8988.99</v>
      </c>
    </row>
    <row r="1433" spans="2:12">
      <c r="B1433" s="180" t="s">
        <v>1203</v>
      </c>
      <c r="C1433" s="180" t="s">
        <v>1204</v>
      </c>
      <c r="D1433" s="180" t="s">
        <v>974</v>
      </c>
      <c r="E1433" s="180" t="s">
        <v>975</v>
      </c>
      <c r="F1433" s="672">
        <v>-3106.21</v>
      </c>
      <c r="G1433" s="672">
        <v>0</v>
      </c>
      <c r="H1433" s="672">
        <v>0</v>
      </c>
      <c r="I1433" s="672">
        <v>0</v>
      </c>
      <c r="J1433" s="672">
        <v>0</v>
      </c>
      <c r="K1433" s="672">
        <v>0</v>
      </c>
      <c r="L1433" s="672">
        <v>-3106.21</v>
      </c>
    </row>
    <row r="1434" spans="2:12">
      <c r="B1434" s="180" t="s">
        <v>1744</v>
      </c>
      <c r="C1434" s="180" t="s">
        <v>1307</v>
      </c>
      <c r="D1434" s="180" t="s">
        <v>993</v>
      </c>
      <c r="E1434" s="180" t="s">
        <v>980</v>
      </c>
      <c r="F1434" s="672">
        <v>113216.64</v>
      </c>
      <c r="G1434" s="672">
        <v>2375.7399999999998</v>
      </c>
      <c r="H1434" s="672">
        <v>3148.28</v>
      </c>
      <c r="I1434" s="672">
        <v>3225.64</v>
      </c>
      <c r="J1434" s="672">
        <v>3251.62</v>
      </c>
      <c r="K1434" s="672">
        <v>17761.47</v>
      </c>
      <c r="L1434" s="672">
        <v>83453.89</v>
      </c>
    </row>
    <row r="1435" spans="2:12">
      <c r="B1435" s="180" t="s">
        <v>1116</v>
      </c>
      <c r="C1435" s="180" t="s">
        <v>1117</v>
      </c>
      <c r="D1435" s="180" t="s">
        <v>974</v>
      </c>
      <c r="E1435" s="180" t="s">
        <v>1075</v>
      </c>
      <c r="F1435" s="672">
        <v>0</v>
      </c>
      <c r="G1435" s="672">
        <v>0</v>
      </c>
      <c r="H1435" s="672">
        <v>0</v>
      </c>
      <c r="I1435" s="672">
        <v>0</v>
      </c>
      <c r="J1435" s="672">
        <v>0</v>
      </c>
      <c r="K1435" s="672">
        <v>0</v>
      </c>
      <c r="L1435" s="672">
        <v>0</v>
      </c>
    </row>
    <row r="1436" spans="2:12">
      <c r="B1436" s="180" t="s">
        <v>1630</v>
      </c>
      <c r="C1436" s="180" t="s">
        <v>1631</v>
      </c>
      <c r="D1436" s="180" t="s">
        <v>993</v>
      </c>
      <c r="E1436" s="180" t="s">
        <v>980</v>
      </c>
      <c r="F1436" s="672">
        <v>1007054.69</v>
      </c>
      <c r="G1436" s="672">
        <v>20357.29</v>
      </c>
      <c r="H1436" s="672">
        <v>61957.84</v>
      </c>
      <c r="I1436" s="672">
        <v>11977.63</v>
      </c>
      <c r="J1436" s="672">
        <v>11202.1</v>
      </c>
      <c r="K1436" s="672">
        <v>159889.35999999999</v>
      </c>
      <c r="L1436" s="672">
        <v>741670.47</v>
      </c>
    </row>
    <row r="1437" spans="2:12">
      <c r="B1437" s="180" t="s">
        <v>1027</v>
      </c>
      <c r="C1437" s="180" t="s">
        <v>1028</v>
      </c>
      <c r="D1437" s="180" t="s">
        <v>974</v>
      </c>
      <c r="E1437" s="180" t="s">
        <v>1034</v>
      </c>
      <c r="F1437" s="672">
        <v>0.01</v>
      </c>
      <c r="G1437" s="672">
        <v>0</v>
      </c>
      <c r="H1437" s="672">
        <v>0</v>
      </c>
      <c r="I1437" s="672">
        <v>0</v>
      </c>
      <c r="J1437" s="672">
        <v>0</v>
      </c>
      <c r="K1437" s="672">
        <v>0</v>
      </c>
      <c r="L1437" s="672">
        <v>0.01</v>
      </c>
    </row>
    <row r="1438" spans="2:12">
      <c r="B1438" s="180" t="s">
        <v>1076</v>
      </c>
      <c r="C1438" s="180" t="s">
        <v>1077</v>
      </c>
      <c r="D1438" s="180" t="s">
        <v>974</v>
      </c>
      <c r="E1438" s="180" t="s">
        <v>980</v>
      </c>
      <c r="F1438" s="672">
        <v>-20746</v>
      </c>
      <c r="G1438" s="672">
        <v>-628.85</v>
      </c>
      <c r="H1438" s="672">
        <v>8968.42</v>
      </c>
      <c r="I1438" s="672">
        <v>6760.38</v>
      </c>
      <c r="J1438" s="672">
        <v>-1881.26</v>
      </c>
      <c r="K1438" s="672">
        <v>-4250.8100000000004</v>
      </c>
      <c r="L1438" s="672">
        <v>-29713.88</v>
      </c>
    </row>
    <row r="1439" spans="2:12">
      <c r="B1439" s="180" t="s">
        <v>2035</v>
      </c>
      <c r="C1439" s="180" t="s">
        <v>2036</v>
      </c>
      <c r="D1439" s="180" t="s">
        <v>974</v>
      </c>
      <c r="E1439" s="180" t="s">
        <v>980</v>
      </c>
      <c r="F1439" s="672">
        <v>3007.26</v>
      </c>
      <c r="G1439" s="672">
        <v>-243.48</v>
      </c>
      <c r="H1439" s="672">
        <v>-37.26</v>
      </c>
      <c r="I1439" s="672">
        <v>-165.39</v>
      </c>
      <c r="J1439" s="672">
        <v>-1763.09</v>
      </c>
      <c r="K1439" s="672">
        <v>2345.17</v>
      </c>
      <c r="L1439" s="672">
        <v>2871.31</v>
      </c>
    </row>
    <row r="1440" spans="2:12">
      <c r="B1440" s="180" t="s">
        <v>1395</v>
      </c>
      <c r="C1440" s="180" t="s">
        <v>979</v>
      </c>
      <c r="D1440" s="180" t="s">
        <v>974</v>
      </c>
      <c r="E1440" s="180" t="s">
        <v>980</v>
      </c>
      <c r="F1440" s="672">
        <v>226175.82</v>
      </c>
      <c r="G1440" s="672">
        <v>-7253.14</v>
      </c>
      <c r="H1440" s="672">
        <v>151628.72</v>
      </c>
      <c r="I1440" s="672">
        <v>-134163.54</v>
      </c>
      <c r="J1440" s="672">
        <v>-8961.4500000000007</v>
      </c>
      <c r="K1440" s="672">
        <v>143887.70000000001</v>
      </c>
      <c r="L1440" s="672">
        <v>81037.53</v>
      </c>
    </row>
    <row r="1441" spans="2:12">
      <c r="B1441" s="180" t="s">
        <v>1575</v>
      </c>
      <c r="C1441" s="180" t="s">
        <v>1258</v>
      </c>
      <c r="D1441" s="180" t="s">
        <v>993</v>
      </c>
      <c r="E1441" s="180" t="s">
        <v>980</v>
      </c>
      <c r="F1441" s="672">
        <v>18135.45</v>
      </c>
      <c r="G1441" s="672">
        <v>416.43</v>
      </c>
      <c r="H1441" s="672">
        <v>507.59</v>
      </c>
      <c r="I1441" s="672">
        <v>545.04999999999995</v>
      </c>
      <c r="J1441" s="672">
        <v>548.91999999999996</v>
      </c>
      <c r="K1441" s="672">
        <v>3330.44</v>
      </c>
      <c r="L1441" s="672">
        <v>12787.02</v>
      </c>
    </row>
    <row r="1442" spans="2:12">
      <c r="B1442" s="180" t="s">
        <v>1769</v>
      </c>
      <c r="C1442" s="180" t="s">
        <v>1770</v>
      </c>
      <c r="D1442" s="180" t="s">
        <v>974</v>
      </c>
      <c r="E1442" s="180" t="s">
        <v>1075</v>
      </c>
      <c r="F1442" s="672">
        <v>0</v>
      </c>
      <c r="G1442" s="672">
        <v>0</v>
      </c>
      <c r="H1442" s="672">
        <v>0</v>
      </c>
      <c r="I1442" s="672">
        <v>0</v>
      </c>
      <c r="J1442" s="672">
        <v>0</v>
      </c>
      <c r="K1442" s="672">
        <v>0</v>
      </c>
      <c r="L1442" s="672">
        <v>0</v>
      </c>
    </row>
    <row r="1443" spans="2:12">
      <c r="B1443" s="180" t="s">
        <v>1990</v>
      </c>
      <c r="C1443" s="180" t="s">
        <v>1991</v>
      </c>
      <c r="D1443" s="180" t="s">
        <v>974</v>
      </c>
      <c r="E1443" s="180" t="s">
        <v>1967</v>
      </c>
      <c r="F1443" s="672">
        <v>0</v>
      </c>
      <c r="G1443" s="672">
        <v>0</v>
      </c>
      <c r="H1443" s="672">
        <v>0</v>
      </c>
      <c r="I1443" s="672">
        <v>0</v>
      </c>
      <c r="J1443" s="672">
        <v>0</v>
      </c>
      <c r="K1443" s="672">
        <v>0</v>
      </c>
      <c r="L1443" s="672">
        <v>0</v>
      </c>
    </row>
    <row r="1444" spans="2:12">
      <c r="B1444" s="180" t="s">
        <v>1860</v>
      </c>
      <c r="C1444" s="180" t="s">
        <v>1861</v>
      </c>
      <c r="D1444" s="180" t="s">
        <v>974</v>
      </c>
      <c r="E1444" s="180" t="s">
        <v>1363</v>
      </c>
      <c r="F1444" s="672">
        <v>-130567.92</v>
      </c>
      <c r="G1444" s="672">
        <v>-3088.75</v>
      </c>
      <c r="H1444" s="672">
        <v>-3128.77</v>
      </c>
      <c r="I1444" s="672">
        <v>-3108.76</v>
      </c>
      <c r="J1444" s="672">
        <v>-3108.76</v>
      </c>
      <c r="K1444" s="672">
        <v>-24870.080000000002</v>
      </c>
      <c r="L1444" s="672">
        <v>-93262.8</v>
      </c>
    </row>
    <row r="1445" spans="2:12">
      <c r="B1445" s="180" t="s">
        <v>1481</v>
      </c>
      <c r="C1445" s="180" t="s">
        <v>992</v>
      </c>
      <c r="D1445" s="180" t="s">
        <v>993</v>
      </c>
      <c r="E1445" s="180" t="s">
        <v>975</v>
      </c>
      <c r="F1445" s="672">
        <v>-11882.17</v>
      </c>
      <c r="G1445" s="672">
        <v>0</v>
      </c>
      <c r="H1445" s="672">
        <v>0</v>
      </c>
      <c r="I1445" s="672">
        <v>0</v>
      </c>
      <c r="J1445" s="672">
        <v>0</v>
      </c>
      <c r="K1445" s="672">
        <v>0</v>
      </c>
      <c r="L1445" s="672">
        <v>-11882.17</v>
      </c>
    </row>
    <row r="1446" spans="2:12">
      <c r="B1446" s="180" t="s">
        <v>1939</v>
      </c>
      <c r="C1446" s="180" t="s">
        <v>1330</v>
      </c>
      <c r="D1446" s="180" t="s">
        <v>993</v>
      </c>
      <c r="E1446" s="180" t="s">
        <v>975</v>
      </c>
      <c r="F1446" s="672">
        <v>-74938.559999999998</v>
      </c>
      <c r="G1446" s="672">
        <v>0</v>
      </c>
      <c r="H1446" s="672">
        <v>0</v>
      </c>
      <c r="I1446" s="672">
        <v>0</v>
      </c>
      <c r="J1446" s="672">
        <v>0</v>
      </c>
      <c r="K1446" s="672">
        <v>0</v>
      </c>
      <c r="L1446" s="672">
        <v>-74938.559999999998</v>
      </c>
    </row>
    <row r="1447" spans="2:12">
      <c r="B1447" s="180" t="s">
        <v>1900</v>
      </c>
      <c r="C1447" s="180" t="s">
        <v>1562</v>
      </c>
      <c r="D1447" s="180" t="s">
        <v>993</v>
      </c>
      <c r="E1447" s="180" t="s">
        <v>975</v>
      </c>
      <c r="F1447" s="672">
        <v>-23531.43</v>
      </c>
      <c r="G1447" s="672">
        <v>0</v>
      </c>
      <c r="H1447" s="672">
        <v>0</v>
      </c>
      <c r="I1447" s="672">
        <v>0</v>
      </c>
      <c r="J1447" s="672">
        <v>0</v>
      </c>
      <c r="K1447" s="672">
        <v>0</v>
      </c>
      <c r="L1447" s="672">
        <v>-23531.43</v>
      </c>
    </row>
    <row r="1448" spans="2:12">
      <c r="B1448" s="180" t="s">
        <v>2037</v>
      </c>
      <c r="C1448" s="180" t="s">
        <v>1137</v>
      </c>
      <c r="D1448" s="180" t="s">
        <v>974</v>
      </c>
      <c r="E1448" s="180" t="s">
        <v>990</v>
      </c>
      <c r="F1448" s="672">
        <v>0</v>
      </c>
      <c r="G1448" s="672">
        <v>0</v>
      </c>
      <c r="H1448" s="672">
        <v>0</v>
      </c>
      <c r="I1448" s="672">
        <v>0</v>
      </c>
      <c r="J1448" s="672">
        <v>0</v>
      </c>
      <c r="K1448" s="672">
        <v>0</v>
      </c>
      <c r="L1448" s="672">
        <v>0</v>
      </c>
    </row>
    <row r="1449" spans="2:12">
      <c r="B1449" s="180" t="s">
        <v>1550</v>
      </c>
      <c r="C1449" s="180" t="s">
        <v>979</v>
      </c>
      <c r="D1449" s="180" t="s">
        <v>974</v>
      </c>
      <c r="E1449" s="180" t="s">
        <v>975</v>
      </c>
      <c r="F1449" s="672">
        <v>2728.19</v>
      </c>
      <c r="G1449" s="672">
        <v>0</v>
      </c>
      <c r="H1449" s="672">
        <v>0</v>
      </c>
      <c r="I1449" s="672">
        <v>0</v>
      </c>
      <c r="J1449" s="672">
        <v>0</v>
      </c>
      <c r="K1449" s="672">
        <v>815.11</v>
      </c>
      <c r="L1449" s="672">
        <v>1913.08</v>
      </c>
    </row>
    <row r="1450" spans="2:12">
      <c r="B1450" s="180" t="s">
        <v>1580</v>
      </c>
      <c r="C1450" s="180" t="s">
        <v>1581</v>
      </c>
      <c r="D1450" s="180" t="s">
        <v>974</v>
      </c>
      <c r="E1450" s="180" t="s">
        <v>990</v>
      </c>
      <c r="F1450" s="672">
        <v>0</v>
      </c>
      <c r="G1450" s="672">
        <v>0</v>
      </c>
      <c r="H1450" s="672">
        <v>0</v>
      </c>
      <c r="I1450" s="672">
        <v>0</v>
      </c>
      <c r="J1450" s="672">
        <v>0</v>
      </c>
      <c r="K1450" s="672">
        <v>0</v>
      </c>
      <c r="L1450" s="672">
        <v>0</v>
      </c>
    </row>
    <row r="1451" spans="2:12">
      <c r="B1451" s="180" t="s">
        <v>1217</v>
      </c>
      <c r="C1451" s="180" t="s">
        <v>1218</v>
      </c>
      <c r="D1451" s="180" t="s">
        <v>974</v>
      </c>
      <c r="E1451" s="180" t="s">
        <v>980</v>
      </c>
      <c r="F1451" s="672">
        <v>71915</v>
      </c>
      <c r="G1451" s="672">
        <v>-91541.37</v>
      </c>
      <c r="H1451" s="672">
        <v>78246.539999999994</v>
      </c>
      <c r="I1451" s="672">
        <v>-83849.37</v>
      </c>
      <c r="J1451" s="672">
        <v>-196493.77</v>
      </c>
      <c r="K1451" s="672">
        <v>88846.55</v>
      </c>
      <c r="L1451" s="672">
        <v>276706.42</v>
      </c>
    </row>
    <row r="1452" spans="2:12">
      <c r="B1452" s="180" t="s">
        <v>1306</v>
      </c>
      <c r="C1452" s="180" t="s">
        <v>1307</v>
      </c>
      <c r="D1452" s="180" t="s">
        <v>993</v>
      </c>
      <c r="E1452" s="180" t="s">
        <v>1078</v>
      </c>
      <c r="F1452" s="672">
        <v>-3400</v>
      </c>
      <c r="G1452" s="672">
        <v>-3400</v>
      </c>
      <c r="H1452" s="672">
        <v>0</v>
      </c>
      <c r="I1452" s="672">
        <v>0</v>
      </c>
      <c r="J1452" s="672">
        <v>0</v>
      </c>
      <c r="K1452" s="672">
        <v>0</v>
      </c>
      <c r="L1452" s="672">
        <v>0</v>
      </c>
    </row>
    <row r="1453" spans="2:12">
      <c r="B1453" s="180" t="s">
        <v>1992</v>
      </c>
      <c r="C1453" s="180" t="s">
        <v>1993</v>
      </c>
      <c r="D1453" s="180" t="s">
        <v>974</v>
      </c>
      <c r="E1453" s="180" t="s">
        <v>975</v>
      </c>
      <c r="F1453" s="672">
        <v>8066.59</v>
      </c>
      <c r="G1453" s="672">
        <v>0</v>
      </c>
      <c r="H1453" s="672">
        <v>0</v>
      </c>
      <c r="I1453" s="672">
        <v>0</v>
      </c>
      <c r="J1453" s="672">
        <v>0</v>
      </c>
      <c r="K1453" s="672">
        <v>0</v>
      </c>
      <c r="L1453" s="672">
        <v>8066.59</v>
      </c>
    </row>
    <row r="1454" spans="2:12">
      <c r="B1454" s="180" t="s">
        <v>2038</v>
      </c>
      <c r="C1454" s="180" t="s">
        <v>2039</v>
      </c>
      <c r="D1454" s="180" t="s">
        <v>974</v>
      </c>
      <c r="E1454" s="180" t="s">
        <v>980</v>
      </c>
      <c r="F1454" s="672">
        <v>53752.21</v>
      </c>
      <c r="G1454" s="672">
        <v>497.6</v>
      </c>
      <c r="H1454" s="672">
        <v>-2227.14</v>
      </c>
      <c r="I1454" s="672">
        <v>-6590.69</v>
      </c>
      <c r="J1454" s="672">
        <v>7869.25</v>
      </c>
      <c r="K1454" s="672">
        <v>-2730.22</v>
      </c>
      <c r="L1454" s="672">
        <v>56933.41</v>
      </c>
    </row>
    <row r="1455" spans="2:12">
      <c r="B1455" s="180" t="s">
        <v>1528</v>
      </c>
      <c r="C1455" s="180" t="s">
        <v>1529</v>
      </c>
      <c r="D1455" s="180" t="s">
        <v>974</v>
      </c>
      <c r="E1455" s="180" t="s">
        <v>975</v>
      </c>
      <c r="F1455" s="672">
        <v>99319.42</v>
      </c>
      <c r="G1455" s="672">
        <v>0</v>
      </c>
      <c r="H1455" s="672">
        <v>0</v>
      </c>
      <c r="I1455" s="672">
        <v>0</v>
      </c>
      <c r="J1455" s="672">
        <v>0</v>
      </c>
      <c r="K1455" s="672">
        <v>0</v>
      </c>
      <c r="L1455" s="672">
        <v>99319.42</v>
      </c>
    </row>
    <row r="1456" spans="2:12">
      <c r="B1456" s="180" t="s">
        <v>1814</v>
      </c>
      <c r="C1456" s="180" t="s">
        <v>1300</v>
      </c>
      <c r="D1456" s="180" t="s">
        <v>993</v>
      </c>
      <c r="E1456" s="180" t="s">
        <v>975</v>
      </c>
      <c r="F1456" s="672">
        <v>-3021.94</v>
      </c>
      <c r="G1456" s="672">
        <v>0</v>
      </c>
      <c r="H1456" s="672">
        <v>0</v>
      </c>
      <c r="I1456" s="672">
        <v>0</v>
      </c>
      <c r="J1456" s="672">
        <v>0</v>
      </c>
      <c r="K1456" s="672">
        <v>0</v>
      </c>
      <c r="L1456" s="672">
        <v>-3021.94</v>
      </c>
    </row>
    <row r="1457" spans="2:12">
      <c r="B1457" s="180" t="s">
        <v>1939</v>
      </c>
      <c r="C1457" s="180" t="s">
        <v>1330</v>
      </c>
      <c r="D1457" s="180" t="s">
        <v>993</v>
      </c>
      <c r="E1457" s="180" t="s">
        <v>983</v>
      </c>
      <c r="F1457" s="672">
        <v>206.05</v>
      </c>
      <c r="G1457" s="672">
        <v>0</v>
      </c>
      <c r="H1457" s="672">
        <v>0</v>
      </c>
      <c r="I1457" s="672">
        <v>0</v>
      </c>
      <c r="J1457" s="672">
        <v>0</v>
      </c>
      <c r="K1457" s="672">
        <v>206.05</v>
      </c>
      <c r="L1457" s="672">
        <v>0</v>
      </c>
    </row>
    <row r="1458" spans="2:12">
      <c r="B1458" s="180" t="s">
        <v>2002</v>
      </c>
      <c r="C1458" s="180" t="s">
        <v>2003</v>
      </c>
      <c r="D1458" s="180" t="s">
        <v>974</v>
      </c>
      <c r="E1458" s="180" t="s">
        <v>990</v>
      </c>
      <c r="F1458" s="672">
        <v>0</v>
      </c>
      <c r="G1458" s="672">
        <v>0</v>
      </c>
      <c r="H1458" s="672">
        <v>0</v>
      </c>
      <c r="I1458" s="672">
        <v>0</v>
      </c>
      <c r="J1458" s="672">
        <v>0</v>
      </c>
      <c r="K1458" s="672">
        <v>0</v>
      </c>
      <c r="L1458" s="672">
        <v>0</v>
      </c>
    </row>
    <row r="1459" spans="2:12">
      <c r="B1459" s="180" t="s">
        <v>2007</v>
      </c>
      <c r="C1459" s="180" t="s">
        <v>2008</v>
      </c>
      <c r="D1459" s="180" t="s">
        <v>974</v>
      </c>
      <c r="E1459" s="180" t="s">
        <v>980</v>
      </c>
      <c r="F1459" s="672">
        <v>385.73</v>
      </c>
      <c r="G1459" s="672">
        <v>-235.89</v>
      </c>
      <c r="H1459" s="672">
        <v>7244.95</v>
      </c>
      <c r="I1459" s="672">
        <v>29712.45</v>
      </c>
      <c r="J1459" s="672">
        <v>0</v>
      </c>
      <c r="K1459" s="672">
        <v>-42340.32</v>
      </c>
      <c r="L1459" s="672">
        <v>6004.54</v>
      </c>
    </row>
    <row r="1460" spans="2:12">
      <c r="B1460" s="180" t="s">
        <v>1511</v>
      </c>
      <c r="C1460" s="180" t="s">
        <v>1399</v>
      </c>
      <c r="D1460" s="180" t="s">
        <v>993</v>
      </c>
      <c r="E1460" s="180" t="s">
        <v>1075</v>
      </c>
      <c r="F1460" s="672">
        <v>0</v>
      </c>
      <c r="G1460" s="672">
        <v>0</v>
      </c>
      <c r="H1460" s="672">
        <v>0</v>
      </c>
      <c r="I1460" s="672">
        <v>0</v>
      </c>
      <c r="J1460" s="672">
        <v>0</v>
      </c>
      <c r="K1460" s="672">
        <v>0</v>
      </c>
      <c r="L1460" s="672">
        <v>0</v>
      </c>
    </row>
    <row r="1461" spans="2:12">
      <c r="B1461" s="180" t="s">
        <v>1406</v>
      </c>
      <c r="C1461" s="180" t="s">
        <v>1187</v>
      </c>
      <c r="D1461" s="180" t="s">
        <v>993</v>
      </c>
      <c r="E1461" s="180" t="s">
        <v>975</v>
      </c>
      <c r="F1461" s="672">
        <v>-133934.44</v>
      </c>
      <c r="G1461" s="672">
        <v>0</v>
      </c>
      <c r="H1461" s="672">
        <v>0</v>
      </c>
      <c r="I1461" s="672">
        <v>0</v>
      </c>
      <c r="J1461" s="672">
        <v>0</v>
      </c>
      <c r="K1461" s="672">
        <v>0</v>
      </c>
      <c r="L1461" s="672">
        <v>-133934.44</v>
      </c>
    </row>
    <row r="1462" spans="2:12">
      <c r="B1462" s="180" t="s">
        <v>1880</v>
      </c>
      <c r="C1462" s="180" t="s">
        <v>1011</v>
      </c>
      <c r="D1462" s="180" t="s">
        <v>993</v>
      </c>
      <c r="E1462" s="180" t="s">
        <v>990</v>
      </c>
      <c r="F1462" s="672">
        <v>0</v>
      </c>
      <c r="G1462" s="672">
        <v>0</v>
      </c>
      <c r="H1462" s="672">
        <v>0</v>
      </c>
      <c r="I1462" s="672">
        <v>0</v>
      </c>
      <c r="J1462" s="672">
        <v>0</v>
      </c>
      <c r="K1462" s="672">
        <v>0</v>
      </c>
      <c r="L1462" s="672">
        <v>0</v>
      </c>
    </row>
    <row r="1463" spans="2:12">
      <c r="B1463" s="180" t="s">
        <v>1736</v>
      </c>
      <c r="C1463" s="180" t="s">
        <v>1737</v>
      </c>
      <c r="D1463" s="180" t="s">
        <v>993</v>
      </c>
      <c r="E1463" s="180" t="s">
        <v>980</v>
      </c>
      <c r="F1463" s="672">
        <v>687821.03</v>
      </c>
      <c r="G1463" s="672">
        <v>20537.689999999999</v>
      </c>
      <c r="H1463" s="672">
        <v>21215.18</v>
      </c>
      <c r="I1463" s="672">
        <v>19610.25</v>
      </c>
      <c r="J1463" s="672">
        <v>20291.240000000002</v>
      </c>
      <c r="K1463" s="672">
        <v>109379.27</v>
      </c>
      <c r="L1463" s="672">
        <v>496787.4</v>
      </c>
    </row>
    <row r="1464" spans="2:12">
      <c r="B1464" s="180" t="s">
        <v>1576</v>
      </c>
      <c r="C1464" s="180" t="s">
        <v>1577</v>
      </c>
      <c r="D1464" s="180" t="s">
        <v>974</v>
      </c>
      <c r="E1464" s="180" t="s">
        <v>980</v>
      </c>
      <c r="F1464" s="672">
        <v>2401317.73</v>
      </c>
      <c r="G1464" s="672">
        <v>56556.3</v>
      </c>
      <c r="H1464" s="672">
        <v>56572.29</v>
      </c>
      <c r="I1464" s="672">
        <v>56433.04</v>
      </c>
      <c r="J1464" s="672">
        <v>55960.76</v>
      </c>
      <c r="K1464" s="672">
        <v>441666.5</v>
      </c>
      <c r="L1464" s="672">
        <v>1734128.84</v>
      </c>
    </row>
    <row r="1465" spans="2:12">
      <c r="B1465" s="180" t="s">
        <v>1057</v>
      </c>
      <c r="C1465" s="180" t="s">
        <v>1058</v>
      </c>
      <c r="D1465" s="180" t="s">
        <v>974</v>
      </c>
      <c r="E1465" s="180" t="s">
        <v>1034</v>
      </c>
      <c r="F1465" s="672">
        <v>0</v>
      </c>
      <c r="G1465" s="672">
        <v>0</v>
      </c>
      <c r="H1465" s="672">
        <v>0</v>
      </c>
      <c r="I1465" s="672">
        <v>0</v>
      </c>
      <c r="J1465" s="672">
        <v>0</v>
      </c>
      <c r="K1465" s="672">
        <v>0</v>
      </c>
      <c r="L1465" s="672">
        <v>0</v>
      </c>
    </row>
    <row r="1466" spans="2:12">
      <c r="B1466" s="180" t="s">
        <v>1415</v>
      </c>
      <c r="C1466" s="180" t="s">
        <v>1416</v>
      </c>
      <c r="D1466" s="180" t="s">
        <v>974</v>
      </c>
      <c r="E1466" s="180" t="s">
        <v>1078</v>
      </c>
      <c r="F1466" s="672">
        <v>-6475</v>
      </c>
      <c r="G1466" s="672">
        <v>-6475</v>
      </c>
      <c r="H1466" s="672">
        <v>0</v>
      </c>
      <c r="I1466" s="672">
        <v>0</v>
      </c>
      <c r="J1466" s="672">
        <v>0</v>
      </c>
      <c r="K1466" s="672">
        <v>0</v>
      </c>
      <c r="L1466" s="672">
        <v>0</v>
      </c>
    </row>
    <row r="1467" spans="2:12">
      <c r="B1467" s="180" t="s">
        <v>972</v>
      </c>
      <c r="C1467" s="180" t="s">
        <v>973</v>
      </c>
      <c r="D1467" s="180" t="s">
        <v>974</v>
      </c>
      <c r="E1467" s="180" t="s">
        <v>990</v>
      </c>
      <c r="F1467" s="672">
        <v>-343.83</v>
      </c>
      <c r="G1467" s="672">
        <v>0</v>
      </c>
      <c r="H1467" s="672">
        <v>0</v>
      </c>
      <c r="I1467" s="672">
        <v>0</v>
      </c>
      <c r="J1467" s="672">
        <v>0</v>
      </c>
      <c r="K1467" s="672">
        <v>0</v>
      </c>
      <c r="L1467" s="672">
        <v>-343.83</v>
      </c>
    </row>
    <row r="1468" spans="2:12">
      <c r="B1468" s="180" t="s">
        <v>2015</v>
      </c>
      <c r="C1468" s="180" t="s">
        <v>2016</v>
      </c>
      <c r="D1468" s="180" t="s">
        <v>974</v>
      </c>
      <c r="E1468" s="180" t="s">
        <v>975</v>
      </c>
      <c r="F1468" s="672">
        <v>1733.06</v>
      </c>
      <c r="G1468" s="672">
        <v>0</v>
      </c>
      <c r="H1468" s="672">
        <v>0</v>
      </c>
      <c r="I1468" s="672">
        <v>0</v>
      </c>
      <c r="J1468" s="672">
        <v>0</v>
      </c>
      <c r="K1468" s="672">
        <v>1733.06</v>
      </c>
      <c r="L1468" s="672">
        <v>0</v>
      </c>
    </row>
    <row r="1469" spans="2:12">
      <c r="B1469" s="180" t="s">
        <v>2025</v>
      </c>
      <c r="C1469" s="180" t="s">
        <v>2026</v>
      </c>
      <c r="D1469" s="180" t="s">
        <v>974</v>
      </c>
      <c r="E1469" s="180" t="s">
        <v>990</v>
      </c>
      <c r="F1469" s="672">
        <v>0</v>
      </c>
      <c r="G1469" s="672">
        <v>0</v>
      </c>
      <c r="H1469" s="672">
        <v>0</v>
      </c>
      <c r="I1469" s="672">
        <v>0</v>
      </c>
      <c r="J1469" s="672">
        <v>0</v>
      </c>
      <c r="K1469" s="672">
        <v>0</v>
      </c>
      <c r="L1469" s="672">
        <v>0</v>
      </c>
    </row>
    <row r="1470" spans="2:12">
      <c r="B1470" s="180" t="s">
        <v>1580</v>
      </c>
      <c r="C1470" s="180" t="s">
        <v>1581</v>
      </c>
      <c r="D1470" s="180" t="s">
        <v>974</v>
      </c>
      <c r="E1470" s="180" t="s">
        <v>980</v>
      </c>
      <c r="F1470" s="672">
        <v>100736.37</v>
      </c>
      <c r="G1470" s="672">
        <v>-128388.74</v>
      </c>
      <c r="H1470" s="672">
        <v>185485.5</v>
      </c>
      <c r="I1470" s="672">
        <v>-5560.43</v>
      </c>
      <c r="J1470" s="672">
        <v>-10469.51</v>
      </c>
      <c r="K1470" s="672">
        <v>403904.13</v>
      </c>
      <c r="L1470" s="672">
        <v>-344234.58</v>
      </c>
    </row>
    <row r="1471" spans="2:12">
      <c r="B1471" s="180" t="s">
        <v>1449</v>
      </c>
      <c r="C1471" s="180" t="s">
        <v>1399</v>
      </c>
      <c r="D1471" s="180" t="s">
        <v>993</v>
      </c>
      <c r="E1471" s="180" t="s">
        <v>1702</v>
      </c>
      <c r="F1471" s="672">
        <v>0</v>
      </c>
      <c r="G1471" s="672">
        <v>0</v>
      </c>
      <c r="H1471" s="672">
        <v>0</v>
      </c>
      <c r="I1471" s="672">
        <v>0</v>
      </c>
      <c r="J1471" s="672">
        <v>0</v>
      </c>
      <c r="K1471" s="672">
        <v>0</v>
      </c>
      <c r="L1471" s="672">
        <v>0</v>
      </c>
    </row>
    <row r="1472" spans="2:12">
      <c r="B1472" s="180" t="s">
        <v>1257</v>
      </c>
      <c r="C1472" s="180" t="s">
        <v>1258</v>
      </c>
      <c r="D1472" s="180" t="s">
        <v>993</v>
      </c>
      <c r="E1472" s="180" t="s">
        <v>975</v>
      </c>
      <c r="F1472" s="672">
        <v>18743</v>
      </c>
      <c r="G1472" s="672">
        <v>0</v>
      </c>
      <c r="H1472" s="672">
        <v>0</v>
      </c>
      <c r="I1472" s="672">
        <v>0</v>
      </c>
      <c r="J1472" s="672">
        <v>0</v>
      </c>
      <c r="K1472" s="672">
        <v>0</v>
      </c>
      <c r="L1472" s="672">
        <v>18743</v>
      </c>
    </row>
    <row r="1473" spans="2:12">
      <c r="B1473" s="180" t="s">
        <v>1411</v>
      </c>
      <c r="C1473" s="180" t="s">
        <v>1412</v>
      </c>
      <c r="D1473" s="180" t="s">
        <v>993</v>
      </c>
      <c r="E1473" s="180" t="s">
        <v>990</v>
      </c>
      <c r="F1473" s="672">
        <v>0</v>
      </c>
      <c r="G1473" s="672">
        <v>0</v>
      </c>
      <c r="H1473" s="672">
        <v>0</v>
      </c>
      <c r="I1473" s="672">
        <v>0</v>
      </c>
      <c r="J1473" s="672">
        <v>0</v>
      </c>
      <c r="K1473" s="672">
        <v>0</v>
      </c>
      <c r="L1473" s="672">
        <v>0</v>
      </c>
    </row>
    <row r="1474" spans="2:12">
      <c r="B1474" s="180" t="s">
        <v>1752</v>
      </c>
      <c r="C1474" s="180" t="s">
        <v>1753</v>
      </c>
      <c r="D1474" s="180" t="s">
        <v>974</v>
      </c>
      <c r="E1474" s="180" t="s">
        <v>1111</v>
      </c>
      <c r="F1474" s="672">
        <v>-163549.87</v>
      </c>
      <c r="G1474" s="672">
        <v>0</v>
      </c>
      <c r="H1474" s="672">
        <v>0</v>
      </c>
      <c r="I1474" s="672">
        <v>0</v>
      </c>
      <c r="J1474" s="672">
        <v>0</v>
      </c>
      <c r="K1474" s="672">
        <v>0</v>
      </c>
      <c r="L1474" s="672">
        <v>-163549.87</v>
      </c>
    </row>
    <row r="1475" spans="2:12">
      <c r="B1475" s="180" t="s">
        <v>1537</v>
      </c>
      <c r="C1475" s="180" t="s">
        <v>979</v>
      </c>
      <c r="D1475" s="180" t="s">
        <v>974</v>
      </c>
      <c r="E1475" s="180" t="s">
        <v>990</v>
      </c>
      <c r="F1475" s="672">
        <v>0</v>
      </c>
      <c r="G1475" s="672">
        <v>0</v>
      </c>
      <c r="H1475" s="672">
        <v>0</v>
      </c>
      <c r="I1475" s="672">
        <v>0</v>
      </c>
      <c r="J1475" s="672">
        <v>0</v>
      </c>
      <c r="K1475" s="672">
        <v>0</v>
      </c>
      <c r="L1475" s="672">
        <v>0</v>
      </c>
    </row>
    <row r="1476" spans="2:12">
      <c r="B1476" s="180" t="s">
        <v>1170</v>
      </c>
      <c r="C1476" s="180" t="s">
        <v>1171</v>
      </c>
      <c r="D1476" s="180" t="s">
        <v>974</v>
      </c>
      <c r="E1476" s="180" t="s">
        <v>975</v>
      </c>
      <c r="F1476" s="672">
        <v>512867.81</v>
      </c>
      <c r="G1476" s="672">
        <v>0</v>
      </c>
      <c r="H1476" s="672">
        <v>0</v>
      </c>
      <c r="I1476" s="672">
        <v>0</v>
      </c>
      <c r="J1476" s="672">
        <v>0</v>
      </c>
      <c r="K1476" s="672">
        <v>14780.23</v>
      </c>
      <c r="L1476" s="672">
        <v>498087.58</v>
      </c>
    </row>
    <row r="1477" spans="2:12">
      <c r="B1477" s="180" t="s">
        <v>1874</v>
      </c>
      <c r="C1477" s="180" t="s">
        <v>1875</v>
      </c>
      <c r="D1477" s="180" t="s">
        <v>974</v>
      </c>
      <c r="E1477" s="180" t="s">
        <v>975</v>
      </c>
      <c r="F1477" s="672">
        <v>0</v>
      </c>
      <c r="G1477" s="672">
        <v>0</v>
      </c>
      <c r="H1477" s="672">
        <v>0</v>
      </c>
      <c r="I1477" s="672">
        <v>0</v>
      </c>
      <c r="J1477" s="672">
        <v>0</v>
      </c>
      <c r="K1477" s="672">
        <v>0</v>
      </c>
      <c r="L1477" s="672">
        <v>0</v>
      </c>
    </row>
    <row r="1478" spans="2:12">
      <c r="B1478" s="180" t="s">
        <v>1959</v>
      </c>
      <c r="C1478" s="180" t="s">
        <v>1960</v>
      </c>
      <c r="D1478" s="180" t="s">
        <v>974</v>
      </c>
      <c r="E1478" s="180" t="s">
        <v>990</v>
      </c>
      <c r="F1478" s="672">
        <v>0</v>
      </c>
      <c r="G1478" s="672">
        <v>0</v>
      </c>
      <c r="H1478" s="672">
        <v>0</v>
      </c>
      <c r="I1478" s="672">
        <v>0</v>
      </c>
      <c r="J1478" s="672">
        <v>0</v>
      </c>
      <c r="K1478" s="672">
        <v>0</v>
      </c>
      <c r="L1478" s="672">
        <v>0</v>
      </c>
    </row>
    <row r="1479" spans="2:12">
      <c r="B1479" s="180" t="s">
        <v>1990</v>
      </c>
      <c r="C1479" s="180" t="s">
        <v>1991</v>
      </c>
      <c r="D1479" s="180" t="s">
        <v>974</v>
      </c>
      <c r="E1479" s="180" t="s">
        <v>983</v>
      </c>
      <c r="F1479" s="672">
        <v>55907.3</v>
      </c>
      <c r="G1479" s="672">
        <v>1291.6400000000001</v>
      </c>
      <c r="H1479" s="672">
        <v>1339.44</v>
      </c>
      <c r="I1479" s="672">
        <v>1253.95</v>
      </c>
      <c r="J1479" s="672">
        <v>1250.0999999999999</v>
      </c>
      <c r="K1479" s="672">
        <v>10672.28</v>
      </c>
      <c r="L1479" s="672">
        <v>40099.89</v>
      </c>
    </row>
    <row r="1480" spans="2:12">
      <c r="B1480" s="180" t="s">
        <v>1242</v>
      </c>
      <c r="C1480" s="180" t="s">
        <v>1237</v>
      </c>
      <c r="D1480" s="180" t="s">
        <v>993</v>
      </c>
      <c r="E1480" s="180" t="s">
        <v>990</v>
      </c>
      <c r="F1480" s="672">
        <v>0</v>
      </c>
      <c r="G1480" s="672">
        <v>0</v>
      </c>
      <c r="H1480" s="672">
        <v>0</v>
      </c>
      <c r="I1480" s="672">
        <v>0</v>
      </c>
      <c r="J1480" s="672">
        <v>0</v>
      </c>
      <c r="K1480" s="672">
        <v>0</v>
      </c>
      <c r="L1480" s="672">
        <v>0</v>
      </c>
    </row>
    <row r="1481" spans="2:12">
      <c r="B1481" s="180" t="s">
        <v>1927</v>
      </c>
      <c r="C1481" s="180" t="s">
        <v>1928</v>
      </c>
      <c r="D1481" s="180" t="s">
        <v>974</v>
      </c>
      <c r="E1481" s="180" t="s">
        <v>975</v>
      </c>
      <c r="F1481" s="672">
        <v>1366</v>
      </c>
      <c r="G1481" s="672">
        <v>1082.08</v>
      </c>
      <c r="H1481" s="672">
        <v>0</v>
      </c>
      <c r="I1481" s="672">
        <v>0</v>
      </c>
      <c r="J1481" s="672">
        <v>0</v>
      </c>
      <c r="K1481" s="672">
        <v>283.92</v>
      </c>
      <c r="L1481" s="672">
        <v>0</v>
      </c>
    </row>
    <row r="1482" spans="2:12">
      <c r="B1482" s="180" t="s">
        <v>1634</v>
      </c>
      <c r="C1482" s="180" t="s">
        <v>1529</v>
      </c>
      <c r="D1482" s="180" t="s">
        <v>974</v>
      </c>
      <c r="E1482" s="180" t="s">
        <v>990</v>
      </c>
      <c r="F1482" s="672">
        <v>0</v>
      </c>
      <c r="G1482" s="672">
        <v>0</v>
      </c>
      <c r="H1482" s="672">
        <v>0</v>
      </c>
      <c r="I1482" s="672">
        <v>0</v>
      </c>
      <c r="J1482" s="672">
        <v>0</v>
      </c>
      <c r="K1482" s="672">
        <v>0</v>
      </c>
      <c r="L1482" s="672">
        <v>0</v>
      </c>
    </row>
    <row r="1483" spans="2:12">
      <c r="B1483" s="180" t="s">
        <v>1168</v>
      </c>
      <c r="C1483" s="180" t="s">
        <v>1169</v>
      </c>
      <c r="D1483" s="180" t="s">
        <v>974</v>
      </c>
      <c r="E1483" s="180" t="s">
        <v>980</v>
      </c>
      <c r="F1483" s="672">
        <v>391909.84</v>
      </c>
      <c r="G1483" s="672">
        <v>-48755.81</v>
      </c>
      <c r="H1483" s="672">
        <v>62757.3</v>
      </c>
      <c r="I1483" s="672">
        <v>-41011.31</v>
      </c>
      <c r="J1483" s="672">
        <v>-93858.4</v>
      </c>
      <c r="K1483" s="672">
        <v>348784.2</v>
      </c>
      <c r="L1483" s="672">
        <v>163993.85999999999</v>
      </c>
    </row>
    <row r="1484" spans="2:12">
      <c r="B1484" s="180" t="s">
        <v>2040</v>
      </c>
      <c r="C1484" s="180" t="s">
        <v>1060</v>
      </c>
      <c r="D1484" s="180" t="s">
        <v>993</v>
      </c>
      <c r="E1484" s="180" t="s">
        <v>980</v>
      </c>
      <c r="F1484" s="672">
        <v>95.09</v>
      </c>
      <c r="G1484" s="672">
        <v>95.09</v>
      </c>
      <c r="H1484" s="672">
        <v>0</v>
      </c>
      <c r="I1484" s="672">
        <v>0</v>
      </c>
      <c r="J1484" s="672">
        <v>0</v>
      </c>
      <c r="K1484" s="672">
        <v>0</v>
      </c>
      <c r="L1484" s="672">
        <v>0</v>
      </c>
    </row>
    <row r="1485" spans="2:12">
      <c r="B1485" s="180" t="s">
        <v>1849</v>
      </c>
      <c r="C1485" s="180" t="s">
        <v>1850</v>
      </c>
      <c r="D1485" s="180" t="s">
        <v>974</v>
      </c>
      <c r="E1485" s="180" t="s">
        <v>990</v>
      </c>
      <c r="F1485" s="672">
        <v>0</v>
      </c>
      <c r="G1485" s="672">
        <v>0</v>
      </c>
      <c r="H1485" s="672">
        <v>0</v>
      </c>
      <c r="I1485" s="672">
        <v>0</v>
      </c>
      <c r="J1485" s="672">
        <v>0</v>
      </c>
      <c r="K1485" s="672">
        <v>0</v>
      </c>
      <c r="L1485" s="672">
        <v>0</v>
      </c>
    </row>
    <row r="1486" spans="2:12">
      <c r="B1486" s="180" t="s">
        <v>1794</v>
      </c>
      <c r="C1486" s="180" t="s">
        <v>995</v>
      </c>
      <c r="D1486" s="180" t="s">
        <v>993</v>
      </c>
      <c r="E1486" s="180" t="s">
        <v>975</v>
      </c>
      <c r="F1486" s="672">
        <v>-1676186.68</v>
      </c>
      <c r="G1486" s="672">
        <v>0</v>
      </c>
      <c r="H1486" s="672">
        <v>0</v>
      </c>
      <c r="I1486" s="672">
        <v>0</v>
      </c>
      <c r="J1486" s="672">
        <v>0</v>
      </c>
      <c r="K1486" s="672">
        <v>-6622.98</v>
      </c>
      <c r="L1486" s="672">
        <v>-1669563.7</v>
      </c>
    </row>
    <row r="1487" spans="2:12">
      <c r="B1487" s="180" t="s">
        <v>2037</v>
      </c>
      <c r="C1487" s="180" t="s">
        <v>1137</v>
      </c>
      <c r="D1487" s="180" t="s">
        <v>974</v>
      </c>
      <c r="E1487" s="180" t="s">
        <v>975</v>
      </c>
      <c r="F1487" s="672">
        <v>39522.15</v>
      </c>
      <c r="G1487" s="672">
        <v>83</v>
      </c>
      <c r="H1487" s="672">
        <v>0</v>
      </c>
      <c r="I1487" s="672">
        <v>0</v>
      </c>
      <c r="J1487" s="672">
        <v>0</v>
      </c>
      <c r="K1487" s="672">
        <v>0</v>
      </c>
      <c r="L1487" s="672">
        <v>39439.15</v>
      </c>
    </row>
    <row r="1488" spans="2:12">
      <c r="B1488" s="180" t="s">
        <v>1136</v>
      </c>
      <c r="C1488" s="180" t="s">
        <v>1137</v>
      </c>
      <c r="D1488" s="180" t="s">
        <v>974</v>
      </c>
      <c r="E1488" s="180" t="s">
        <v>983</v>
      </c>
      <c r="F1488" s="672">
        <v>0</v>
      </c>
      <c r="G1488" s="672">
        <v>-60.47</v>
      </c>
      <c r="H1488" s="672">
        <v>60.47</v>
      </c>
      <c r="I1488" s="672">
        <v>0</v>
      </c>
      <c r="J1488" s="672">
        <v>0</v>
      </c>
      <c r="K1488" s="672">
        <v>0</v>
      </c>
      <c r="L1488" s="672">
        <v>0</v>
      </c>
    </row>
    <row r="1489" spans="2:12">
      <c r="B1489" s="180" t="s">
        <v>1417</v>
      </c>
      <c r="C1489" s="180" t="s">
        <v>1418</v>
      </c>
      <c r="D1489" s="180" t="s">
        <v>974</v>
      </c>
      <c r="E1489" s="180" t="s">
        <v>983</v>
      </c>
      <c r="F1489" s="672">
        <v>421.13</v>
      </c>
      <c r="G1489" s="672">
        <v>60.47</v>
      </c>
      <c r="H1489" s="672">
        <v>60.47</v>
      </c>
      <c r="I1489" s="672">
        <v>60.47</v>
      </c>
      <c r="J1489" s="672">
        <v>60.47</v>
      </c>
      <c r="K1489" s="672">
        <v>4174.3100000000004</v>
      </c>
      <c r="L1489" s="672">
        <v>-3995.06</v>
      </c>
    </row>
    <row r="1490" spans="2:12">
      <c r="B1490" s="180" t="s">
        <v>1930</v>
      </c>
      <c r="C1490" s="180" t="s">
        <v>1931</v>
      </c>
      <c r="D1490" s="180" t="s">
        <v>974</v>
      </c>
      <c r="E1490" s="180" t="s">
        <v>990</v>
      </c>
      <c r="F1490" s="672">
        <v>0</v>
      </c>
      <c r="G1490" s="672">
        <v>0</v>
      </c>
      <c r="H1490" s="672">
        <v>0</v>
      </c>
      <c r="I1490" s="672">
        <v>0</v>
      </c>
      <c r="J1490" s="672">
        <v>0</v>
      </c>
      <c r="K1490" s="672">
        <v>0</v>
      </c>
      <c r="L1490" s="672">
        <v>0</v>
      </c>
    </row>
    <row r="1491" spans="2:12">
      <c r="B1491" s="180" t="s">
        <v>1794</v>
      </c>
      <c r="C1491" s="180" t="s">
        <v>995</v>
      </c>
      <c r="D1491" s="180" t="s">
        <v>993</v>
      </c>
      <c r="E1491" s="180" t="s">
        <v>980</v>
      </c>
      <c r="F1491" s="672">
        <v>15039013.109999999</v>
      </c>
      <c r="G1491" s="672">
        <v>333507.20000000001</v>
      </c>
      <c r="H1491" s="672">
        <v>358715.79</v>
      </c>
      <c r="I1491" s="672">
        <v>406085.79</v>
      </c>
      <c r="J1491" s="672">
        <v>348210.42</v>
      </c>
      <c r="K1491" s="672">
        <v>3071882.76</v>
      </c>
      <c r="L1491" s="672">
        <v>10520611.15</v>
      </c>
    </row>
    <row r="1492" spans="2:12">
      <c r="B1492" s="180" t="s">
        <v>1565</v>
      </c>
      <c r="C1492" s="180" t="s">
        <v>1566</v>
      </c>
      <c r="D1492" s="180" t="s">
        <v>993</v>
      </c>
      <c r="E1492" s="180" t="s">
        <v>983</v>
      </c>
      <c r="F1492" s="672">
        <v>83881.83</v>
      </c>
      <c r="G1492" s="672">
        <v>591.84</v>
      </c>
      <c r="H1492" s="672">
        <v>875.83</v>
      </c>
      <c r="I1492" s="672">
        <v>1064.82</v>
      </c>
      <c r="J1492" s="672">
        <v>1078.78</v>
      </c>
      <c r="K1492" s="672">
        <v>54373.11</v>
      </c>
      <c r="L1492" s="672">
        <v>25897.45</v>
      </c>
    </row>
    <row r="1493" spans="2:12">
      <c r="B1493" s="180" t="s">
        <v>1977</v>
      </c>
      <c r="C1493" s="180" t="s">
        <v>1978</v>
      </c>
      <c r="D1493" s="180" t="s">
        <v>974</v>
      </c>
      <c r="E1493" s="180" t="s">
        <v>990</v>
      </c>
      <c r="F1493" s="672">
        <v>0</v>
      </c>
      <c r="G1493" s="672">
        <v>0</v>
      </c>
      <c r="H1493" s="672">
        <v>0</v>
      </c>
      <c r="I1493" s="672">
        <v>0</v>
      </c>
      <c r="J1493" s="672">
        <v>0</v>
      </c>
      <c r="K1493" s="672">
        <v>0</v>
      </c>
      <c r="L1493" s="672">
        <v>0</v>
      </c>
    </row>
    <row r="1494" spans="2:12">
      <c r="B1494" s="180" t="s">
        <v>1470</v>
      </c>
      <c r="C1494" s="180" t="s">
        <v>1471</v>
      </c>
      <c r="D1494" s="180" t="s">
        <v>974</v>
      </c>
      <c r="E1494" s="180" t="s">
        <v>980</v>
      </c>
      <c r="F1494" s="672">
        <v>-18538.34</v>
      </c>
      <c r="G1494" s="672">
        <v>9667.18</v>
      </c>
      <c r="H1494" s="672">
        <v>-721.84</v>
      </c>
      <c r="I1494" s="672">
        <v>-7721.35</v>
      </c>
      <c r="J1494" s="672">
        <v>5385.08</v>
      </c>
      <c r="K1494" s="672">
        <v>-4135.55</v>
      </c>
      <c r="L1494" s="672">
        <v>-21011.86</v>
      </c>
    </row>
    <row r="1495" spans="2:12">
      <c r="B1495" s="180" t="s">
        <v>1472</v>
      </c>
      <c r="C1495" s="180" t="s">
        <v>1060</v>
      </c>
      <c r="D1495" s="180" t="s">
        <v>993</v>
      </c>
      <c r="E1495" s="180" t="s">
        <v>990</v>
      </c>
      <c r="F1495" s="672">
        <v>0</v>
      </c>
      <c r="G1495" s="672">
        <v>0</v>
      </c>
      <c r="H1495" s="672">
        <v>0</v>
      </c>
      <c r="I1495" s="672">
        <v>0</v>
      </c>
      <c r="J1495" s="672">
        <v>0</v>
      </c>
      <c r="K1495" s="672">
        <v>0</v>
      </c>
      <c r="L1495" s="672">
        <v>0</v>
      </c>
    </row>
    <row r="1496" spans="2:12">
      <c r="B1496" s="180" t="s">
        <v>1681</v>
      </c>
      <c r="C1496" s="180" t="s">
        <v>1682</v>
      </c>
      <c r="D1496" s="180" t="s">
        <v>974</v>
      </c>
      <c r="E1496" s="180" t="s">
        <v>975</v>
      </c>
      <c r="F1496" s="672">
        <v>6501.41</v>
      </c>
      <c r="G1496" s="672">
        <v>0</v>
      </c>
      <c r="H1496" s="672">
        <v>0</v>
      </c>
      <c r="I1496" s="672">
        <v>0</v>
      </c>
      <c r="J1496" s="672">
        <v>0</v>
      </c>
      <c r="K1496" s="672">
        <v>0</v>
      </c>
      <c r="L1496" s="672">
        <v>6501.41</v>
      </c>
    </row>
    <row r="1497" spans="2:12">
      <c r="B1497" s="180" t="s">
        <v>1243</v>
      </c>
      <c r="C1497" s="180" t="s">
        <v>1244</v>
      </c>
      <c r="D1497" s="180" t="s">
        <v>974</v>
      </c>
      <c r="E1497" s="180" t="s">
        <v>980</v>
      </c>
      <c r="F1497" s="672">
        <v>-100024.74</v>
      </c>
      <c r="G1497" s="672">
        <v>0</v>
      </c>
      <c r="H1497" s="672">
        <v>0</v>
      </c>
      <c r="I1497" s="672">
        <v>0</v>
      </c>
      <c r="J1497" s="672">
        <v>0</v>
      </c>
      <c r="K1497" s="672">
        <v>0</v>
      </c>
      <c r="L1497" s="672">
        <v>-100024.74</v>
      </c>
    </row>
    <row r="1498" spans="2:12">
      <c r="B1498" s="180" t="s">
        <v>1037</v>
      </c>
      <c r="C1498" s="180" t="s">
        <v>1038</v>
      </c>
      <c r="D1498" s="180" t="s">
        <v>974</v>
      </c>
      <c r="E1498" s="180" t="s">
        <v>983</v>
      </c>
      <c r="F1498" s="672">
        <v>375.38</v>
      </c>
      <c r="G1498" s="672">
        <v>-56.71</v>
      </c>
      <c r="H1498" s="672">
        <v>-56.69</v>
      </c>
      <c r="I1498" s="672">
        <v>62.79</v>
      </c>
      <c r="J1498" s="672">
        <v>-18</v>
      </c>
      <c r="K1498" s="672">
        <v>-22.53</v>
      </c>
      <c r="L1498" s="672">
        <v>466.52</v>
      </c>
    </row>
    <row r="1499" spans="2:12">
      <c r="B1499" s="180" t="s">
        <v>1671</v>
      </c>
      <c r="C1499" s="180" t="s">
        <v>1672</v>
      </c>
      <c r="D1499" s="180" t="s">
        <v>993</v>
      </c>
      <c r="E1499" s="180" t="s">
        <v>990</v>
      </c>
      <c r="F1499" s="672">
        <v>0</v>
      </c>
      <c r="G1499" s="672">
        <v>0</v>
      </c>
      <c r="H1499" s="672">
        <v>0</v>
      </c>
      <c r="I1499" s="672">
        <v>0</v>
      </c>
      <c r="J1499" s="672">
        <v>0</v>
      </c>
      <c r="K1499" s="672">
        <v>0</v>
      </c>
      <c r="L1499" s="672">
        <v>0</v>
      </c>
    </row>
    <row r="1500" spans="2:12">
      <c r="B1500" s="180" t="s">
        <v>2041</v>
      </c>
      <c r="C1500" s="180" t="s">
        <v>2042</v>
      </c>
      <c r="D1500" s="180" t="s">
        <v>993</v>
      </c>
      <c r="E1500" s="180" t="s">
        <v>980</v>
      </c>
      <c r="F1500" s="672">
        <v>460798.4</v>
      </c>
      <c r="G1500" s="672">
        <v>11821.84</v>
      </c>
      <c r="H1500" s="672">
        <v>13083.54</v>
      </c>
      <c r="I1500" s="672">
        <v>15142.6</v>
      </c>
      <c r="J1500" s="672">
        <v>13778.5</v>
      </c>
      <c r="K1500" s="672">
        <v>179420.93</v>
      </c>
      <c r="L1500" s="672">
        <v>227550.99</v>
      </c>
    </row>
    <row r="1501" spans="2:12">
      <c r="B1501" s="180" t="s">
        <v>1192</v>
      </c>
      <c r="C1501" s="180" t="s">
        <v>1193</v>
      </c>
      <c r="D1501" s="180" t="s">
        <v>974</v>
      </c>
      <c r="E1501" s="180" t="s">
        <v>990</v>
      </c>
      <c r="F1501" s="672">
        <v>0</v>
      </c>
      <c r="G1501" s="672">
        <v>0</v>
      </c>
      <c r="H1501" s="672">
        <v>0</v>
      </c>
      <c r="I1501" s="672">
        <v>0</v>
      </c>
      <c r="J1501" s="672">
        <v>0</v>
      </c>
      <c r="K1501" s="672">
        <v>0</v>
      </c>
      <c r="L1501" s="672">
        <v>0</v>
      </c>
    </row>
    <row r="1502" spans="2:12">
      <c r="B1502" s="180" t="s">
        <v>1782</v>
      </c>
      <c r="C1502" s="180" t="s">
        <v>1133</v>
      </c>
      <c r="D1502" s="180" t="s">
        <v>993</v>
      </c>
      <c r="E1502" s="180" t="s">
        <v>980</v>
      </c>
      <c r="F1502" s="672">
        <v>524850.9</v>
      </c>
      <c r="G1502" s="672">
        <v>10737.02</v>
      </c>
      <c r="H1502" s="672">
        <v>11797.24</v>
      </c>
      <c r="I1502" s="672">
        <v>12419.21</v>
      </c>
      <c r="J1502" s="672">
        <v>82457.98</v>
      </c>
      <c r="K1502" s="672">
        <v>154407.44</v>
      </c>
      <c r="L1502" s="672">
        <v>253032.01</v>
      </c>
    </row>
    <row r="1503" spans="2:12">
      <c r="B1503" s="180" t="s">
        <v>2043</v>
      </c>
      <c r="C1503" s="180" t="s">
        <v>982</v>
      </c>
      <c r="D1503" s="180" t="s">
        <v>974</v>
      </c>
      <c r="E1503" s="180" t="s">
        <v>975</v>
      </c>
      <c r="F1503" s="672">
        <v>93409.64</v>
      </c>
      <c r="G1503" s="672">
        <v>0</v>
      </c>
      <c r="H1503" s="672">
        <v>6.67</v>
      </c>
      <c r="I1503" s="672">
        <v>0</v>
      </c>
      <c r="J1503" s="672">
        <v>0</v>
      </c>
      <c r="K1503" s="672">
        <v>0</v>
      </c>
      <c r="L1503" s="672">
        <v>93402.97</v>
      </c>
    </row>
    <row r="1504" spans="2:12">
      <c r="B1504" s="180" t="s">
        <v>1263</v>
      </c>
      <c r="C1504" s="180" t="s">
        <v>1032</v>
      </c>
      <c r="D1504" s="180" t="s">
        <v>974</v>
      </c>
      <c r="E1504" s="180" t="s">
        <v>990</v>
      </c>
      <c r="F1504" s="672">
        <v>0</v>
      </c>
      <c r="G1504" s="672">
        <v>0</v>
      </c>
      <c r="H1504" s="672">
        <v>0</v>
      </c>
      <c r="I1504" s="672">
        <v>0</v>
      </c>
      <c r="J1504" s="672">
        <v>0</v>
      </c>
      <c r="K1504" s="672">
        <v>0</v>
      </c>
      <c r="L1504" s="672">
        <v>0</v>
      </c>
    </row>
    <row r="1505" spans="2:12">
      <c r="B1505" s="180" t="s">
        <v>2037</v>
      </c>
      <c r="C1505" s="180" t="s">
        <v>1137</v>
      </c>
      <c r="D1505" s="180" t="s">
        <v>974</v>
      </c>
      <c r="E1505" s="180" t="s">
        <v>980</v>
      </c>
      <c r="F1505" s="672">
        <v>0</v>
      </c>
      <c r="G1505" s="672">
        <v>-2038.69</v>
      </c>
      <c r="H1505" s="672">
        <v>1965.39</v>
      </c>
      <c r="I1505" s="672">
        <v>14.23</v>
      </c>
      <c r="J1505" s="672">
        <v>59.07</v>
      </c>
      <c r="K1505" s="672">
        <v>0</v>
      </c>
      <c r="L1505" s="672">
        <v>0</v>
      </c>
    </row>
    <row r="1506" spans="2:12">
      <c r="B1506" s="180" t="s">
        <v>1202</v>
      </c>
      <c r="C1506" s="180" t="s">
        <v>1137</v>
      </c>
      <c r="D1506" s="180" t="s">
        <v>974</v>
      </c>
      <c r="E1506" s="180" t="s">
        <v>975</v>
      </c>
      <c r="F1506" s="672">
        <v>589655.04000000004</v>
      </c>
      <c r="G1506" s="672">
        <v>0</v>
      </c>
      <c r="H1506" s="672">
        <v>0</v>
      </c>
      <c r="I1506" s="672">
        <v>0</v>
      </c>
      <c r="J1506" s="672">
        <v>0</v>
      </c>
      <c r="K1506" s="672">
        <v>0</v>
      </c>
      <c r="L1506" s="672">
        <v>589655.04000000004</v>
      </c>
    </row>
    <row r="1507" spans="2:12">
      <c r="B1507" s="180" t="s">
        <v>1663</v>
      </c>
      <c r="C1507" s="180" t="s">
        <v>1664</v>
      </c>
      <c r="D1507" s="180" t="s">
        <v>974</v>
      </c>
      <c r="E1507" s="180" t="s">
        <v>980</v>
      </c>
      <c r="F1507" s="672">
        <v>6032.79</v>
      </c>
      <c r="G1507" s="672">
        <v>3241.25</v>
      </c>
      <c r="H1507" s="672">
        <v>-2037.38</v>
      </c>
      <c r="I1507" s="672">
        <v>171.16</v>
      </c>
      <c r="J1507" s="672">
        <v>-726.93</v>
      </c>
      <c r="K1507" s="672">
        <v>3880.17</v>
      </c>
      <c r="L1507" s="672">
        <v>1504.52</v>
      </c>
    </row>
    <row r="1508" spans="2:12">
      <c r="B1508" s="180" t="s">
        <v>1538</v>
      </c>
      <c r="C1508" s="180" t="s">
        <v>1539</v>
      </c>
      <c r="D1508" s="180" t="s">
        <v>974</v>
      </c>
      <c r="E1508" s="180" t="s">
        <v>980</v>
      </c>
      <c r="F1508" s="672">
        <v>58581.87</v>
      </c>
      <c r="G1508" s="672">
        <v>35446.230000000003</v>
      </c>
      <c r="H1508" s="672">
        <v>30684.7</v>
      </c>
      <c r="I1508" s="672">
        <v>116.73</v>
      </c>
      <c r="J1508" s="672">
        <v>-1999.96</v>
      </c>
      <c r="K1508" s="672">
        <v>-5665.83</v>
      </c>
      <c r="L1508" s="672">
        <v>0</v>
      </c>
    </row>
    <row r="1509" spans="2:12">
      <c r="B1509" s="180" t="s">
        <v>978</v>
      </c>
      <c r="C1509" s="180" t="s">
        <v>979</v>
      </c>
      <c r="D1509" s="180" t="s">
        <v>974</v>
      </c>
      <c r="E1509" s="180" t="s">
        <v>975</v>
      </c>
      <c r="F1509" s="672">
        <v>-2.83</v>
      </c>
      <c r="G1509" s="672">
        <v>0</v>
      </c>
      <c r="H1509" s="672">
        <v>0</v>
      </c>
      <c r="I1509" s="672">
        <v>0</v>
      </c>
      <c r="J1509" s="672">
        <v>0</v>
      </c>
      <c r="K1509" s="672">
        <v>-2.83</v>
      </c>
      <c r="L1509" s="672">
        <v>0</v>
      </c>
    </row>
    <row r="1510" spans="2:12">
      <c r="B1510" s="180" t="s">
        <v>1332</v>
      </c>
      <c r="C1510" s="180" t="s">
        <v>1333</v>
      </c>
      <c r="D1510" s="180" t="s">
        <v>993</v>
      </c>
      <c r="E1510" s="180" t="s">
        <v>980</v>
      </c>
      <c r="F1510" s="672">
        <v>347413.29</v>
      </c>
      <c r="G1510" s="672">
        <v>8532.41</v>
      </c>
      <c r="H1510" s="672">
        <v>9680.8799999999992</v>
      </c>
      <c r="I1510" s="672">
        <v>9683.3799999999992</v>
      </c>
      <c r="J1510" s="672">
        <v>8353.19</v>
      </c>
      <c r="K1510" s="672">
        <v>92969.67</v>
      </c>
      <c r="L1510" s="672">
        <v>218193.76</v>
      </c>
    </row>
    <row r="1511" spans="2:12">
      <c r="B1511" s="180" t="s">
        <v>1266</v>
      </c>
      <c r="C1511" s="180" t="s">
        <v>1267</v>
      </c>
      <c r="D1511" s="180" t="s">
        <v>993</v>
      </c>
      <c r="E1511" s="180" t="s">
        <v>980</v>
      </c>
      <c r="F1511" s="672">
        <v>1017240.28</v>
      </c>
      <c r="G1511" s="672">
        <v>20795.52</v>
      </c>
      <c r="H1511" s="672">
        <v>19928.36</v>
      </c>
      <c r="I1511" s="672">
        <v>25702.43</v>
      </c>
      <c r="J1511" s="672">
        <v>22779.7</v>
      </c>
      <c r="K1511" s="672">
        <v>220300.43</v>
      </c>
      <c r="L1511" s="672">
        <v>707733.84</v>
      </c>
    </row>
    <row r="1512" spans="2:12">
      <c r="B1512" s="180" t="s">
        <v>1912</v>
      </c>
      <c r="C1512" s="180" t="s">
        <v>1412</v>
      </c>
      <c r="D1512" s="180" t="s">
        <v>993</v>
      </c>
      <c r="E1512" s="180" t="s">
        <v>980</v>
      </c>
      <c r="F1512" s="672">
        <v>244350.34</v>
      </c>
      <c r="G1512" s="672">
        <v>7771.42</v>
      </c>
      <c r="H1512" s="672">
        <v>7813.14</v>
      </c>
      <c r="I1512" s="672">
        <v>5837.43</v>
      </c>
      <c r="J1512" s="672">
        <v>6237.41</v>
      </c>
      <c r="K1512" s="672">
        <v>66711.63</v>
      </c>
      <c r="L1512" s="672">
        <v>149979.31</v>
      </c>
    </row>
    <row r="1513" spans="2:12">
      <c r="B1513" s="180" t="s">
        <v>1759</v>
      </c>
      <c r="C1513" s="180" t="s">
        <v>1267</v>
      </c>
      <c r="D1513" s="180" t="s">
        <v>993</v>
      </c>
      <c r="E1513" s="180" t="s">
        <v>980</v>
      </c>
      <c r="F1513" s="672">
        <v>881.41</v>
      </c>
      <c r="G1513" s="672">
        <v>26.19</v>
      </c>
      <c r="H1513" s="672">
        <v>23.53</v>
      </c>
      <c r="I1513" s="672">
        <v>28.84</v>
      </c>
      <c r="J1513" s="672">
        <v>26.19</v>
      </c>
      <c r="K1513" s="672">
        <v>204.77</v>
      </c>
      <c r="L1513" s="672">
        <v>571.89</v>
      </c>
    </row>
    <row r="1514" spans="2:12">
      <c r="B1514" s="180" t="s">
        <v>1177</v>
      </c>
      <c r="C1514" s="180" t="s">
        <v>1178</v>
      </c>
      <c r="D1514" s="180" t="s">
        <v>974</v>
      </c>
      <c r="E1514" s="180" t="s">
        <v>975</v>
      </c>
      <c r="F1514" s="672">
        <v>4779.55</v>
      </c>
      <c r="G1514" s="672">
        <v>0</v>
      </c>
      <c r="H1514" s="672">
        <v>0</v>
      </c>
      <c r="I1514" s="672">
        <v>0</v>
      </c>
      <c r="J1514" s="672">
        <v>0</v>
      </c>
      <c r="K1514" s="672">
        <v>0</v>
      </c>
      <c r="L1514" s="672">
        <v>4779.55</v>
      </c>
    </row>
    <row r="1515" spans="2:12">
      <c r="B1515" s="180" t="s">
        <v>1794</v>
      </c>
      <c r="C1515" s="180" t="s">
        <v>995</v>
      </c>
      <c r="D1515" s="180" t="s">
        <v>993</v>
      </c>
      <c r="E1515" s="180" t="s">
        <v>1034</v>
      </c>
      <c r="F1515" s="672">
        <v>0</v>
      </c>
      <c r="G1515" s="672">
        <v>0</v>
      </c>
      <c r="H1515" s="672">
        <v>0</v>
      </c>
      <c r="I1515" s="672">
        <v>0</v>
      </c>
      <c r="J1515" s="672">
        <v>0</v>
      </c>
      <c r="K1515" s="672">
        <v>0</v>
      </c>
      <c r="L1515" s="672">
        <v>0</v>
      </c>
    </row>
    <row r="1516" spans="2:12">
      <c r="B1516" s="180" t="s">
        <v>1950</v>
      </c>
      <c r="C1516" s="180" t="s">
        <v>1439</v>
      </c>
      <c r="D1516" s="180" t="s">
        <v>993</v>
      </c>
      <c r="E1516" s="180" t="s">
        <v>980</v>
      </c>
      <c r="F1516" s="672">
        <v>1347489.38</v>
      </c>
      <c r="G1516" s="672">
        <v>23426.49</v>
      </c>
      <c r="H1516" s="672">
        <v>26849.83</v>
      </c>
      <c r="I1516" s="672">
        <v>27581.63</v>
      </c>
      <c r="J1516" s="672">
        <v>166035.73000000001</v>
      </c>
      <c r="K1516" s="672">
        <v>139357.4</v>
      </c>
      <c r="L1516" s="672">
        <v>964238.3</v>
      </c>
    </row>
    <row r="1517" spans="2:12">
      <c r="B1517" s="180" t="s">
        <v>1918</v>
      </c>
      <c r="C1517" s="180" t="s">
        <v>1488</v>
      </c>
      <c r="D1517" s="180" t="s">
        <v>974</v>
      </c>
      <c r="E1517" s="180" t="s">
        <v>990</v>
      </c>
      <c r="F1517" s="672">
        <v>0</v>
      </c>
      <c r="G1517" s="672">
        <v>0</v>
      </c>
      <c r="H1517" s="672">
        <v>0</v>
      </c>
      <c r="I1517" s="672">
        <v>0</v>
      </c>
      <c r="J1517" s="672">
        <v>0</v>
      </c>
      <c r="K1517" s="672">
        <v>0</v>
      </c>
      <c r="L1517" s="672">
        <v>0</v>
      </c>
    </row>
    <row r="1518" spans="2:12">
      <c r="B1518" s="180" t="s">
        <v>1683</v>
      </c>
      <c r="C1518" s="180" t="s">
        <v>1032</v>
      </c>
      <c r="D1518" s="180" t="s">
        <v>974</v>
      </c>
      <c r="E1518" s="180" t="s">
        <v>980</v>
      </c>
      <c r="F1518" s="672">
        <v>503716.17</v>
      </c>
      <c r="G1518" s="672">
        <v>63829.1</v>
      </c>
      <c r="H1518" s="672">
        <v>79038.14</v>
      </c>
      <c r="I1518" s="672">
        <v>63558.15</v>
      </c>
      <c r="J1518" s="672">
        <v>69127.5</v>
      </c>
      <c r="K1518" s="672">
        <v>194925.28</v>
      </c>
      <c r="L1518" s="672">
        <v>33238</v>
      </c>
    </row>
    <row r="1519" spans="2:12">
      <c r="B1519" s="180" t="s">
        <v>1783</v>
      </c>
      <c r="C1519" s="180" t="s">
        <v>1701</v>
      </c>
      <c r="D1519" s="180" t="s">
        <v>974</v>
      </c>
      <c r="E1519" s="180" t="s">
        <v>1702</v>
      </c>
      <c r="F1519" s="672">
        <v>0</v>
      </c>
      <c r="G1519" s="672">
        <v>0</v>
      </c>
      <c r="H1519" s="672">
        <v>0</v>
      </c>
      <c r="I1519" s="672">
        <v>0</v>
      </c>
      <c r="J1519" s="672">
        <v>0</v>
      </c>
      <c r="K1519" s="672">
        <v>0</v>
      </c>
      <c r="L1519" s="672">
        <v>0</v>
      </c>
    </row>
    <row r="1520" spans="2:12">
      <c r="B1520" s="180" t="s">
        <v>1684</v>
      </c>
      <c r="C1520" s="180" t="s">
        <v>1094</v>
      </c>
      <c r="D1520" s="180" t="s">
        <v>974</v>
      </c>
      <c r="E1520" s="180" t="s">
        <v>980</v>
      </c>
      <c r="F1520" s="672">
        <v>5989873</v>
      </c>
      <c r="G1520" s="672">
        <v>-102242.42</v>
      </c>
      <c r="H1520" s="672">
        <v>-79065.37</v>
      </c>
      <c r="I1520" s="672">
        <v>84015.82</v>
      </c>
      <c r="J1520" s="672">
        <v>-91612.36</v>
      </c>
      <c r="K1520" s="672">
        <v>3406269.66</v>
      </c>
      <c r="L1520" s="672">
        <v>2772507.67</v>
      </c>
    </row>
    <row r="1521" spans="2:12">
      <c r="B1521" s="180" t="s">
        <v>1463</v>
      </c>
      <c r="C1521" s="180" t="s">
        <v>1464</v>
      </c>
      <c r="D1521" s="180" t="s">
        <v>974</v>
      </c>
      <c r="E1521" s="180" t="s">
        <v>1075</v>
      </c>
      <c r="F1521" s="672">
        <v>0</v>
      </c>
      <c r="G1521" s="672">
        <v>0</v>
      </c>
      <c r="H1521" s="672">
        <v>0</v>
      </c>
      <c r="I1521" s="672">
        <v>0</v>
      </c>
      <c r="J1521" s="672">
        <v>0</v>
      </c>
      <c r="K1521" s="672">
        <v>0</v>
      </c>
      <c r="L1521" s="672">
        <v>0</v>
      </c>
    </row>
    <row r="1522" spans="2:12">
      <c r="B1522" s="180" t="s">
        <v>1898</v>
      </c>
      <c r="C1522" s="180" t="s">
        <v>1899</v>
      </c>
      <c r="D1522" s="180" t="s">
        <v>974</v>
      </c>
      <c r="E1522" s="180" t="s">
        <v>980</v>
      </c>
      <c r="F1522" s="672">
        <v>0</v>
      </c>
      <c r="G1522" s="672">
        <v>0</v>
      </c>
      <c r="H1522" s="672">
        <v>0.33</v>
      </c>
      <c r="I1522" s="672">
        <v>-0.33</v>
      </c>
      <c r="J1522" s="672">
        <v>0</v>
      </c>
      <c r="K1522" s="672">
        <v>0</v>
      </c>
      <c r="L1522" s="672">
        <v>0</v>
      </c>
    </row>
    <row r="1523" spans="2:12">
      <c r="B1523" s="180" t="s">
        <v>1479</v>
      </c>
      <c r="C1523" s="180" t="s">
        <v>1480</v>
      </c>
      <c r="D1523" s="180" t="s">
        <v>974</v>
      </c>
      <c r="E1523" s="180" t="s">
        <v>983</v>
      </c>
      <c r="F1523" s="672">
        <v>0</v>
      </c>
      <c r="G1523" s="672">
        <v>0</v>
      </c>
      <c r="H1523" s="672">
        <v>0</v>
      </c>
      <c r="I1523" s="672">
        <v>0</v>
      </c>
      <c r="J1523" s="672">
        <v>0</v>
      </c>
      <c r="K1523" s="672">
        <v>38868.639999999999</v>
      </c>
      <c r="L1523" s="672">
        <v>-38868.639999999999</v>
      </c>
    </row>
    <row r="1524" spans="2:12">
      <c r="B1524" s="180" t="s">
        <v>2044</v>
      </c>
      <c r="C1524" s="180" t="s">
        <v>2045</v>
      </c>
      <c r="D1524" s="180" t="s">
        <v>974</v>
      </c>
      <c r="E1524" s="180" t="s">
        <v>980</v>
      </c>
      <c r="F1524" s="672">
        <v>-344.96</v>
      </c>
      <c r="G1524" s="672">
        <v>0</v>
      </c>
      <c r="H1524" s="672">
        <v>0</v>
      </c>
      <c r="I1524" s="672">
        <v>0</v>
      </c>
      <c r="J1524" s="672">
        <v>0</v>
      </c>
      <c r="K1524" s="672">
        <v>0</v>
      </c>
      <c r="L1524" s="672">
        <v>-344.96</v>
      </c>
    </row>
    <row r="1525" spans="2:12">
      <c r="B1525" s="180" t="s">
        <v>2017</v>
      </c>
      <c r="C1525" s="180" t="s">
        <v>2018</v>
      </c>
      <c r="D1525" s="180" t="s">
        <v>974</v>
      </c>
      <c r="E1525" s="180" t="s">
        <v>975</v>
      </c>
      <c r="F1525" s="672">
        <v>-2711.97</v>
      </c>
      <c r="G1525" s="672">
        <v>0</v>
      </c>
      <c r="H1525" s="672">
        <v>0</v>
      </c>
      <c r="I1525" s="672">
        <v>0</v>
      </c>
      <c r="J1525" s="672">
        <v>0</v>
      </c>
      <c r="K1525" s="672">
        <v>-2726.97</v>
      </c>
      <c r="L1525" s="672">
        <v>15</v>
      </c>
    </row>
    <row r="1526" spans="2:12">
      <c r="B1526" s="180" t="s">
        <v>1530</v>
      </c>
      <c r="C1526" s="180" t="s">
        <v>1531</v>
      </c>
      <c r="D1526" s="180" t="s">
        <v>974</v>
      </c>
      <c r="E1526" s="180" t="s">
        <v>990</v>
      </c>
      <c r="F1526" s="672">
        <v>0</v>
      </c>
      <c r="G1526" s="672">
        <v>0</v>
      </c>
      <c r="H1526" s="672">
        <v>0</v>
      </c>
      <c r="I1526" s="672">
        <v>0</v>
      </c>
      <c r="J1526" s="672">
        <v>0</v>
      </c>
      <c r="K1526" s="672">
        <v>0</v>
      </c>
      <c r="L1526" s="672">
        <v>0</v>
      </c>
    </row>
    <row r="1527" spans="2:12">
      <c r="B1527" s="180" t="s">
        <v>1901</v>
      </c>
      <c r="C1527" s="180" t="s">
        <v>1197</v>
      </c>
      <c r="D1527" s="180" t="s">
        <v>993</v>
      </c>
      <c r="E1527" s="180" t="s">
        <v>975</v>
      </c>
      <c r="F1527" s="672">
        <v>-7257.25</v>
      </c>
      <c r="G1527" s="672">
        <v>0</v>
      </c>
      <c r="H1527" s="672">
        <v>0</v>
      </c>
      <c r="I1527" s="672">
        <v>0</v>
      </c>
      <c r="J1527" s="672">
        <v>0</v>
      </c>
      <c r="K1527" s="672">
        <v>0</v>
      </c>
      <c r="L1527" s="672">
        <v>-7257.25</v>
      </c>
    </row>
    <row r="1528" spans="2:12">
      <c r="B1528" s="180" t="s">
        <v>1625</v>
      </c>
      <c r="C1528" s="180" t="s">
        <v>1626</v>
      </c>
      <c r="D1528" s="180" t="s">
        <v>974</v>
      </c>
      <c r="E1528" s="180" t="s">
        <v>980</v>
      </c>
      <c r="F1528" s="672">
        <v>301140.03000000003</v>
      </c>
      <c r="G1528" s="672">
        <v>30055.96</v>
      </c>
      <c r="H1528" s="672">
        <v>-2683.71</v>
      </c>
      <c r="I1528" s="672">
        <v>219793.41</v>
      </c>
      <c r="J1528" s="672">
        <v>5996.64</v>
      </c>
      <c r="K1528" s="672">
        <v>754158.42</v>
      </c>
      <c r="L1528" s="672">
        <v>-706180.69</v>
      </c>
    </row>
    <row r="1529" spans="2:12">
      <c r="B1529" s="180" t="s">
        <v>1817</v>
      </c>
      <c r="C1529" s="180" t="s">
        <v>1631</v>
      </c>
      <c r="D1529" s="180" t="s">
        <v>993</v>
      </c>
      <c r="E1529" s="180" t="s">
        <v>975</v>
      </c>
      <c r="F1529" s="672">
        <v>-12121.01</v>
      </c>
      <c r="G1529" s="672">
        <v>0</v>
      </c>
      <c r="H1529" s="672">
        <v>0</v>
      </c>
      <c r="I1529" s="672">
        <v>0</v>
      </c>
      <c r="J1529" s="672">
        <v>0</v>
      </c>
      <c r="K1529" s="672">
        <v>0</v>
      </c>
      <c r="L1529" s="672">
        <v>-12121.01</v>
      </c>
    </row>
    <row r="1530" spans="2:12">
      <c r="B1530" s="180" t="s">
        <v>1555</v>
      </c>
      <c r="C1530" s="180" t="s">
        <v>1325</v>
      </c>
      <c r="D1530" s="180" t="s">
        <v>993</v>
      </c>
      <c r="E1530" s="180" t="s">
        <v>980</v>
      </c>
      <c r="F1530" s="672">
        <v>1725252.6</v>
      </c>
      <c r="G1530" s="672">
        <v>56586.21</v>
      </c>
      <c r="H1530" s="672">
        <v>38640.04</v>
      </c>
      <c r="I1530" s="672">
        <v>68116.210000000006</v>
      </c>
      <c r="J1530" s="672">
        <v>36919.5</v>
      </c>
      <c r="K1530" s="672">
        <v>325775.73</v>
      </c>
      <c r="L1530" s="672">
        <v>1199214.9099999999</v>
      </c>
    </row>
    <row r="1531" spans="2:12">
      <c r="B1531" s="180" t="s">
        <v>1915</v>
      </c>
      <c r="C1531" s="180" t="s">
        <v>1916</v>
      </c>
      <c r="D1531" s="180" t="s">
        <v>974</v>
      </c>
      <c r="E1531" s="180" t="s">
        <v>975</v>
      </c>
      <c r="F1531" s="672">
        <v>78317.509999999995</v>
      </c>
      <c r="G1531" s="672">
        <v>0</v>
      </c>
      <c r="H1531" s="672">
        <v>0</v>
      </c>
      <c r="I1531" s="672">
        <v>0</v>
      </c>
      <c r="J1531" s="672">
        <v>2708.9</v>
      </c>
      <c r="K1531" s="672">
        <v>43461.21</v>
      </c>
      <c r="L1531" s="672">
        <v>32147.4</v>
      </c>
    </row>
    <row r="1532" spans="2:12">
      <c r="B1532" s="180" t="s">
        <v>1168</v>
      </c>
      <c r="C1532" s="180" t="s">
        <v>1169</v>
      </c>
      <c r="D1532" s="180" t="s">
        <v>974</v>
      </c>
      <c r="E1532" s="180" t="s">
        <v>990</v>
      </c>
      <c r="F1532" s="672">
        <v>0</v>
      </c>
      <c r="G1532" s="672">
        <v>0</v>
      </c>
      <c r="H1532" s="672">
        <v>0</v>
      </c>
      <c r="I1532" s="672">
        <v>0</v>
      </c>
      <c r="J1532" s="672">
        <v>0</v>
      </c>
      <c r="K1532" s="672">
        <v>0</v>
      </c>
      <c r="L1532" s="672">
        <v>0</v>
      </c>
    </row>
    <row r="1533" spans="2:12">
      <c r="B1533" s="180" t="s">
        <v>1622</v>
      </c>
      <c r="C1533" s="180" t="s">
        <v>1302</v>
      </c>
      <c r="D1533" s="180" t="s">
        <v>993</v>
      </c>
      <c r="E1533" s="180" t="s">
        <v>983</v>
      </c>
      <c r="F1533" s="672">
        <v>259.13</v>
      </c>
      <c r="G1533" s="672">
        <v>35.479999999999997</v>
      </c>
      <c r="H1533" s="672">
        <v>37.31</v>
      </c>
      <c r="I1533" s="672">
        <v>38.909999999999997</v>
      </c>
      <c r="J1533" s="672">
        <v>38.909999999999997</v>
      </c>
      <c r="K1533" s="672">
        <v>108.52</v>
      </c>
      <c r="L1533" s="672">
        <v>0</v>
      </c>
    </row>
    <row r="1534" spans="2:12">
      <c r="B1534" s="180" t="s">
        <v>1744</v>
      </c>
      <c r="C1534" s="180" t="s">
        <v>1307</v>
      </c>
      <c r="D1534" s="180" t="s">
        <v>993</v>
      </c>
      <c r="E1534" s="180" t="s">
        <v>975</v>
      </c>
      <c r="F1534" s="672">
        <v>-17886.560000000001</v>
      </c>
      <c r="G1534" s="672">
        <v>0</v>
      </c>
      <c r="H1534" s="672">
        <v>0</v>
      </c>
      <c r="I1534" s="672">
        <v>0</v>
      </c>
      <c r="J1534" s="672">
        <v>0</v>
      </c>
      <c r="K1534" s="672">
        <v>0</v>
      </c>
      <c r="L1534" s="672">
        <v>-17886.560000000001</v>
      </c>
    </row>
    <row r="1535" spans="2:12">
      <c r="B1535" s="180" t="s">
        <v>1646</v>
      </c>
      <c r="C1535" s="180" t="s">
        <v>1098</v>
      </c>
      <c r="D1535" s="180" t="s">
        <v>993</v>
      </c>
      <c r="E1535" s="180" t="s">
        <v>975</v>
      </c>
      <c r="F1535" s="672">
        <v>-16612.650000000001</v>
      </c>
      <c r="G1535" s="672">
        <v>0</v>
      </c>
      <c r="H1535" s="672">
        <v>0</v>
      </c>
      <c r="I1535" s="672">
        <v>0</v>
      </c>
      <c r="J1535" s="672">
        <v>0</v>
      </c>
      <c r="K1535" s="672">
        <v>0</v>
      </c>
      <c r="L1535" s="672">
        <v>-16612.650000000001</v>
      </c>
    </row>
    <row r="1536" spans="2:12">
      <c r="B1536" s="180" t="s">
        <v>1097</v>
      </c>
      <c r="C1536" s="180" t="s">
        <v>1098</v>
      </c>
      <c r="D1536" s="180" t="s">
        <v>993</v>
      </c>
      <c r="E1536" s="180" t="s">
        <v>975</v>
      </c>
      <c r="F1536" s="672">
        <v>-1852.97</v>
      </c>
      <c r="G1536" s="672">
        <v>0</v>
      </c>
      <c r="H1536" s="672">
        <v>0</v>
      </c>
      <c r="I1536" s="672">
        <v>0</v>
      </c>
      <c r="J1536" s="672">
        <v>0</v>
      </c>
      <c r="K1536" s="672">
        <v>-1852.97</v>
      </c>
      <c r="L1536" s="672">
        <v>0</v>
      </c>
    </row>
    <row r="1537" spans="2:12">
      <c r="B1537" s="180" t="s">
        <v>1893</v>
      </c>
      <c r="C1537" s="180" t="s">
        <v>1011</v>
      </c>
      <c r="D1537" s="180" t="s">
        <v>993</v>
      </c>
      <c r="E1537" s="180" t="s">
        <v>990</v>
      </c>
      <c r="F1537" s="672">
        <v>0</v>
      </c>
      <c r="G1537" s="672">
        <v>0</v>
      </c>
      <c r="H1537" s="672">
        <v>0</v>
      </c>
      <c r="I1537" s="672">
        <v>0</v>
      </c>
      <c r="J1537" s="672">
        <v>0</v>
      </c>
      <c r="K1537" s="672">
        <v>0</v>
      </c>
      <c r="L1537" s="672">
        <v>0</v>
      </c>
    </row>
    <row r="1538" spans="2:12">
      <c r="B1538" s="180" t="s">
        <v>1668</v>
      </c>
      <c r="C1538" s="180" t="s">
        <v>1669</v>
      </c>
      <c r="D1538" s="180" t="s">
        <v>974</v>
      </c>
      <c r="E1538" s="180" t="s">
        <v>980</v>
      </c>
      <c r="F1538" s="672">
        <v>6844702.4699999997</v>
      </c>
      <c r="G1538" s="672">
        <v>158592.98000000001</v>
      </c>
      <c r="H1538" s="672">
        <v>158995.74</v>
      </c>
      <c r="I1538" s="672">
        <v>158821.51999999999</v>
      </c>
      <c r="J1538" s="672">
        <v>158813.57</v>
      </c>
      <c r="K1538" s="672">
        <v>1249462.1100000001</v>
      </c>
      <c r="L1538" s="672">
        <v>4960016.55</v>
      </c>
    </row>
    <row r="1539" spans="2:12">
      <c r="B1539" s="180" t="s">
        <v>1663</v>
      </c>
      <c r="C1539" s="180" t="s">
        <v>1664</v>
      </c>
      <c r="D1539" s="180" t="s">
        <v>974</v>
      </c>
      <c r="E1539" s="180" t="s">
        <v>990</v>
      </c>
      <c r="F1539" s="672">
        <v>0</v>
      </c>
      <c r="G1539" s="672">
        <v>0</v>
      </c>
      <c r="H1539" s="672">
        <v>0</v>
      </c>
      <c r="I1539" s="672">
        <v>0</v>
      </c>
      <c r="J1539" s="672">
        <v>0</v>
      </c>
      <c r="K1539" s="672">
        <v>0</v>
      </c>
      <c r="L1539" s="672">
        <v>0</v>
      </c>
    </row>
    <row r="1540" spans="2:12">
      <c r="B1540" s="180" t="s">
        <v>1776</v>
      </c>
      <c r="C1540" s="180" t="s">
        <v>1009</v>
      </c>
      <c r="D1540" s="180" t="s">
        <v>974</v>
      </c>
      <c r="E1540" s="180" t="s">
        <v>990</v>
      </c>
      <c r="F1540" s="672">
        <v>0</v>
      </c>
      <c r="G1540" s="672">
        <v>0</v>
      </c>
      <c r="H1540" s="672">
        <v>0</v>
      </c>
      <c r="I1540" s="672">
        <v>0</v>
      </c>
      <c r="J1540" s="672">
        <v>0</v>
      </c>
      <c r="K1540" s="672">
        <v>0</v>
      </c>
      <c r="L1540" s="672">
        <v>0</v>
      </c>
    </row>
    <row r="1541" spans="2:12">
      <c r="B1541" s="180" t="s">
        <v>1089</v>
      </c>
      <c r="C1541" s="180" t="s">
        <v>1090</v>
      </c>
      <c r="D1541" s="180" t="s">
        <v>974</v>
      </c>
      <c r="E1541" s="180" t="s">
        <v>990</v>
      </c>
      <c r="F1541" s="672">
        <v>0</v>
      </c>
      <c r="G1541" s="672">
        <v>0</v>
      </c>
      <c r="H1541" s="672">
        <v>0</v>
      </c>
      <c r="I1541" s="672">
        <v>0</v>
      </c>
      <c r="J1541" s="672">
        <v>0</v>
      </c>
      <c r="K1541" s="672">
        <v>0</v>
      </c>
      <c r="L1541" s="672">
        <v>0</v>
      </c>
    </row>
    <row r="1542" spans="2:12">
      <c r="B1542" s="180" t="s">
        <v>1012</v>
      </c>
      <c r="C1542" s="180" t="s">
        <v>1013</v>
      </c>
      <c r="D1542" s="180" t="s">
        <v>974</v>
      </c>
      <c r="E1542" s="180" t="s">
        <v>975</v>
      </c>
      <c r="F1542" s="672">
        <v>238804.65</v>
      </c>
      <c r="G1542" s="672">
        <v>0</v>
      </c>
      <c r="H1542" s="672">
        <v>0</v>
      </c>
      <c r="I1542" s="672">
        <v>0</v>
      </c>
      <c r="J1542" s="672">
        <v>0</v>
      </c>
      <c r="K1542" s="672">
        <v>0</v>
      </c>
      <c r="L1542" s="672">
        <v>238804.65</v>
      </c>
    </row>
    <row r="1543" spans="2:12">
      <c r="B1543" s="180" t="s">
        <v>1164</v>
      </c>
      <c r="C1543" s="180" t="s">
        <v>1165</v>
      </c>
      <c r="D1543" s="180" t="s">
        <v>974</v>
      </c>
      <c r="E1543" s="180" t="s">
        <v>975</v>
      </c>
      <c r="F1543" s="672">
        <v>6990.43</v>
      </c>
      <c r="G1543" s="672">
        <v>0</v>
      </c>
      <c r="H1543" s="672">
        <v>0</v>
      </c>
      <c r="I1543" s="672">
        <v>0</v>
      </c>
      <c r="J1543" s="672">
        <v>0</v>
      </c>
      <c r="K1543" s="672">
        <v>917.07</v>
      </c>
      <c r="L1543" s="672">
        <v>6073.36</v>
      </c>
    </row>
    <row r="1544" spans="2:12">
      <c r="B1544" s="180" t="s">
        <v>1229</v>
      </c>
      <c r="C1544" s="180" t="s">
        <v>1230</v>
      </c>
      <c r="D1544" s="180" t="s">
        <v>974</v>
      </c>
      <c r="E1544" s="180" t="s">
        <v>1363</v>
      </c>
      <c r="F1544" s="672">
        <v>115135.12</v>
      </c>
      <c r="G1544" s="672">
        <v>-4520.21</v>
      </c>
      <c r="H1544" s="672">
        <v>0</v>
      </c>
      <c r="I1544" s="672">
        <v>-9413.0499999999993</v>
      </c>
      <c r="J1544" s="672">
        <v>-13903.26</v>
      </c>
      <c r="K1544" s="672">
        <v>-54726.47</v>
      </c>
      <c r="L1544" s="672">
        <v>197698.11</v>
      </c>
    </row>
    <row r="1545" spans="2:12">
      <c r="B1545" s="180" t="s">
        <v>1236</v>
      </c>
      <c r="C1545" s="180" t="s">
        <v>1237</v>
      </c>
      <c r="D1545" s="180" t="s">
        <v>993</v>
      </c>
      <c r="E1545" s="180" t="s">
        <v>1075</v>
      </c>
      <c r="F1545" s="672">
        <v>0</v>
      </c>
      <c r="G1545" s="672">
        <v>0</v>
      </c>
      <c r="H1545" s="672">
        <v>0</v>
      </c>
      <c r="I1545" s="672">
        <v>0</v>
      </c>
      <c r="J1545" s="672">
        <v>0</v>
      </c>
      <c r="K1545" s="672">
        <v>0</v>
      </c>
      <c r="L1545" s="672">
        <v>0</v>
      </c>
    </row>
    <row r="1546" spans="2:12">
      <c r="B1546" s="180" t="s">
        <v>1617</v>
      </c>
      <c r="C1546" s="180" t="s">
        <v>1412</v>
      </c>
      <c r="D1546" s="180" t="s">
        <v>993</v>
      </c>
      <c r="E1546" s="180" t="s">
        <v>990</v>
      </c>
      <c r="F1546" s="672">
        <v>0</v>
      </c>
      <c r="G1546" s="672">
        <v>0</v>
      </c>
      <c r="H1546" s="672">
        <v>0</v>
      </c>
      <c r="I1546" s="672">
        <v>0</v>
      </c>
      <c r="J1546" s="672">
        <v>0</v>
      </c>
      <c r="K1546" s="672">
        <v>0</v>
      </c>
      <c r="L1546" s="672">
        <v>0</v>
      </c>
    </row>
    <row r="1547" spans="2:12">
      <c r="B1547" s="180" t="s">
        <v>1617</v>
      </c>
      <c r="C1547" s="180" t="s">
        <v>1412</v>
      </c>
      <c r="D1547" s="180" t="s">
        <v>993</v>
      </c>
      <c r="E1547" s="180" t="s">
        <v>975</v>
      </c>
      <c r="F1547" s="672">
        <v>-1917279.59</v>
      </c>
      <c r="G1547" s="672">
        <v>0</v>
      </c>
      <c r="H1547" s="672">
        <v>0</v>
      </c>
      <c r="I1547" s="672">
        <v>0</v>
      </c>
      <c r="J1547" s="672">
        <v>0</v>
      </c>
      <c r="K1547" s="672">
        <v>-122.28</v>
      </c>
      <c r="L1547" s="672">
        <v>-1917157.31</v>
      </c>
    </row>
    <row r="1548" spans="2:12">
      <c r="B1548" s="180" t="s">
        <v>1842</v>
      </c>
      <c r="C1548" s="180" t="s">
        <v>1389</v>
      </c>
      <c r="D1548" s="180" t="s">
        <v>993</v>
      </c>
      <c r="E1548" s="180" t="s">
        <v>980</v>
      </c>
      <c r="F1548" s="672">
        <v>562271.55000000005</v>
      </c>
      <c r="G1548" s="672">
        <v>17029.87</v>
      </c>
      <c r="H1548" s="672">
        <v>11843.01</v>
      </c>
      <c r="I1548" s="672">
        <v>94612.14</v>
      </c>
      <c r="J1548" s="672">
        <v>5509.41</v>
      </c>
      <c r="K1548" s="672">
        <v>86319</v>
      </c>
      <c r="L1548" s="672">
        <v>346958.12</v>
      </c>
    </row>
    <row r="1549" spans="2:12">
      <c r="B1549" s="180" t="s">
        <v>1988</v>
      </c>
      <c r="C1549" s="180" t="s">
        <v>1989</v>
      </c>
      <c r="D1549" s="180" t="s">
        <v>974</v>
      </c>
      <c r="E1549" s="180" t="s">
        <v>990</v>
      </c>
      <c r="F1549" s="672">
        <v>0</v>
      </c>
      <c r="G1549" s="672">
        <v>0</v>
      </c>
      <c r="H1549" s="672">
        <v>0</v>
      </c>
      <c r="I1549" s="672">
        <v>0</v>
      </c>
      <c r="J1549" s="672">
        <v>0</v>
      </c>
      <c r="K1549" s="672">
        <v>0</v>
      </c>
      <c r="L1549" s="672">
        <v>0</v>
      </c>
    </row>
    <row r="1550" spans="2:12">
      <c r="B1550" s="180" t="s">
        <v>1640</v>
      </c>
      <c r="C1550" s="180" t="s">
        <v>1641</v>
      </c>
      <c r="D1550" s="180" t="s">
        <v>974</v>
      </c>
      <c r="E1550" s="180" t="s">
        <v>980</v>
      </c>
      <c r="F1550" s="672">
        <v>46211.62</v>
      </c>
      <c r="G1550" s="672">
        <v>-23994.92</v>
      </c>
      <c r="H1550" s="672">
        <v>530064</v>
      </c>
      <c r="I1550" s="672">
        <v>-116926.04</v>
      </c>
      <c r="J1550" s="672">
        <v>1160.78</v>
      </c>
      <c r="K1550" s="672">
        <v>-265525.23</v>
      </c>
      <c r="L1550" s="672">
        <v>-78566.97</v>
      </c>
    </row>
    <row r="1551" spans="2:12">
      <c r="B1551" s="180" t="s">
        <v>1777</v>
      </c>
      <c r="C1551" s="180" t="s">
        <v>1778</v>
      </c>
      <c r="D1551" s="180" t="s">
        <v>974</v>
      </c>
      <c r="E1551" s="180" t="s">
        <v>975</v>
      </c>
      <c r="F1551" s="672">
        <v>204738.81</v>
      </c>
      <c r="G1551" s="672">
        <v>0</v>
      </c>
      <c r="H1551" s="672">
        <v>0</v>
      </c>
      <c r="I1551" s="672">
        <v>0</v>
      </c>
      <c r="J1551" s="672">
        <v>0</v>
      </c>
      <c r="K1551" s="672">
        <v>204738.81</v>
      </c>
      <c r="L1551" s="672">
        <v>0</v>
      </c>
    </row>
    <row r="1552" spans="2:12">
      <c r="B1552" s="180" t="s">
        <v>2046</v>
      </c>
      <c r="C1552" s="180" t="s">
        <v>2047</v>
      </c>
      <c r="D1552" s="180" t="s">
        <v>974</v>
      </c>
      <c r="E1552" s="180" t="s">
        <v>990</v>
      </c>
      <c r="F1552" s="672">
        <v>0</v>
      </c>
      <c r="G1552" s="672">
        <v>0</v>
      </c>
      <c r="H1552" s="672">
        <v>0</v>
      </c>
      <c r="I1552" s="672">
        <v>0</v>
      </c>
      <c r="J1552" s="672">
        <v>0</v>
      </c>
      <c r="K1552" s="672">
        <v>0</v>
      </c>
      <c r="L1552" s="672">
        <v>0</v>
      </c>
    </row>
    <row r="1553" spans="2:12">
      <c r="B1553" s="180" t="s">
        <v>2048</v>
      </c>
      <c r="C1553" s="180" t="s">
        <v>2042</v>
      </c>
      <c r="D1553" s="180" t="s">
        <v>993</v>
      </c>
      <c r="E1553" s="180" t="s">
        <v>990</v>
      </c>
      <c r="F1553" s="672">
        <v>-422.43</v>
      </c>
      <c r="G1553" s="672">
        <v>0</v>
      </c>
      <c r="H1553" s="672">
        <v>0</v>
      </c>
      <c r="I1553" s="672">
        <v>0</v>
      </c>
      <c r="J1553" s="672">
        <v>0</v>
      </c>
      <c r="K1553" s="672">
        <v>0</v>
      </c>
      <c r="L1553" s="672">
        <v>-422.43</v>
      </c>
    </row>
    <row r="1554" spans="2:12">
      <c r="B1554" s="180" t="s">
        <v>1845</v>
      </c>
      <c r="C1554" s="180" t="s">
        <v>1846</v>
      </c>
      <c r="D1554" s="180" t="s">
        <v>974</v>
      </c>
      <c r="E1554" s="180" t="s">
        <v>975</v>
      </c>
      <c r="F1554" s="672">
        <v>24673.23</v>
      </c>
      <c r="G1554" s="672">
        <v>0</v>
      </c>
      <c r="H1554" s="672">
        <v>0</v>
      </c>
      <c r="I1554" s="672">
        <v>0</v>
      </c>
      <c r="J1554" s="672">
        <v>0</v>
      </c>
      <c r="K1554" s="672">
        <v>0</v>
      </c>
      <c r="L1554" s="672">
        <v>24673.23</v>
      </c>
    </row>
    <row r="1555" spans="2:12">
      <c r="B1555" s="180" t="s">
        <v>1754</v>
      </c>
      <c r="C1555" s="180" t="s">
        <v>1009</v>
      </c>
      <c r="D1555" s="180" t="s">
        <v>974</v>
      </c>
      <c r="E1555" s="180" t="s">
        <v>975</v>
      </c>
      <c r="F1555" s="672">
        <v>475931.45</v>
      </c>
      <c r="G1555" s="672">
        <v>242601.93</v>
      </c>
      <c r="H1555" s="672">
        <v>0</v>
      </c>
      <c r="I1555" s="672">
        <v>0</v>
      </c>
      <c r="J1555" s="672">
        <v>0</v>
      </c>
      <c r="K1555" s="672">
        <v>0</v>
      </c>
      <c r="L1555" s="672">
        <v>233329.52</v>
      </c>
    </row>
    <row r="1556" spans="2:12">
      <c r="B1556" s="180" t="s">
        <v>2049</v>
      </c>
      <c r="C1556" s="180" t="s">
        <v>1220</v>
      </c>
      <c r="D1556" s="180" t="s">
        <v>974</v>
      </c>
      <c r="E1556" s="180" t="s">
        <v>975</v>
      </c>
      <c r="F1556" s="672">
        <v>4210589.25</v>
      </c>
      <c r="G1556" s="672">
        <v>0</v>
      </c>
      <c r="H1556" s="672">
        <v>0</v>
      </c>
      <c r="I1556" s="672">
        <v>0</v>
      </c>
      <c r="J1556" s="672">
        <v>0</v>
      </c>
      <c r="K1556" s="672">
        <v>2917498.46</v>
      </c>
      <c r="L1556" s="672">
        <v>1293090.79</v>
      </c>
    </row>
    <row r="1557" spans="2:12">
      <c r="B1557" s="180" t="s">
        <v>1940</v>
      </c>
      <c r="C1557" s="180" t="s">
        <v>1115</v>
      </c>
      <c r="D1557" s="180" t="s">
        <v>974</v>
      </c>
      <c r="E1557" s="180" t="s">
        <v>975</v>
      </c>
      <c r="F1557" s="672">
        <v>463703.96</v>
      </c>
      <c r="G1557" s="672">
        <v>0</v>
      </c>
      <c r="H1557" s="672">
        <v>0</v>
      </c>
      <c r="I1557" s="672">
        <v>0</v>
      </c>
      <c r="J1557" s="672">
        <v>0</v>
      </c>
      <c r="K1557" s="672">
        <v>0</v>
      </c>
      <c r="L1557" s="672">
        <v>463703.96</v>
      </c>
    </row>
    <row r="1558" spans="2:12">
      <c r="B1558" s="180" t="s">
        <v>1885</v>
      </c>
      <c r="C1558" s="180" t="s">
        <v>1287</v>
      </c>
      <c r="D1558" s="180" t="s">
        <v>974</v>
      </c>
      <c r="E1558" s="180" t="s">
        <v>980</v>
      </c>
      <c r="F1558" s="672">
        <v>48307.24</v>
      </c>
      <c r="G1558" s="672">
        <v>-26745.91</v>
      </c>
      <c r="H1558" s="672">
        <v>-14187.05</v>
      </c>
      <c r="I1558" s="672">
        <v>32690.47</v>
      </c>
      <c r="J1558" s="672">
        <v>-11678.44</v>
      </c>
      <c r="K1558" s="672">
        <v>802.62</v>
      </c>
      <c r="L1558" s="672">
        <v>67425.55</v>
      </c>
    </row>
    <row r="1559" spans="2:12">
      <c r="B1559" s="180" t="s">
        <v>1704</v>
      </c>
      <c r="C1559" s="180" t="s">
        <v>1705</v>
      </c>
      <c r="D1559" s="180" t="s">
        <v>974</v>
      </c>
      <c r="E1559" s="180" t="s">
        <v>975</v>
      </c>
      <c r="F1559" s="672">
        <v>-100185.79</v>
      </c>
      <c r="G1559" s="672">
        <v>0</v>
      </c>
      <c r="H1559" s="672">
        <v>0</v>
      </c>
      <c r="I1559" s="672">
        <v>0</v>
      </c>
      <c r="J1559" s="672">
        <v>0</v>
      </c>
      <c r="K1559" s="672">
        <v>0</v>
      </c>
      <c r="L1559" s="672">
        <v>-100185.79</v>
      </c>
    </row>
    <row r="1560" spans="2:12">
      <c r="B1560" s="180" t="s">
        <v>1278</v>
      </c>
      <c r="C1560" s="180" t="s">
        <v>1279</v>
      </c>
      <c r="D1560" s="180" t="s">
        <v>974</v>
      </c>
      <c r="E1560" s="180" t="s">
        <v>990</v>
      </c>
      <c r="F1560" s="672">
        <v>0</v>
      </c>
      <c r="G1560" s="672">
        <v>0</v>
      </c>
      <c r="H1560" s="672">
        <v>0</v>
      </c>
      <c r="I1560" s="672">
        <v>0</v>
      </c>
      <c r="J1560" s="672">
        <v>0</v>
      </c>
      <c r="K1560" s="672">
        <v>0</v>
      </c>
      <c r="L1560" s="672">
        <v>0</v>
      </c>
    </row>
    <row r="1561" spans="2:12">
      <c r="B1561" s="180" t="s">
        <v>1338</v>
      </c>
      <c r="C1561" s="180" t="s">
        <v>1339</v>
      </c>
      <c r="D1561" s="180" t="s">
        <v>974</v>
      </c>
      <c r="E1561" s="180" t="s">
        <v>975</v>
      </c>
      <c r="F1561" s="672">
        <v>-3033.52</v>
      </c>
      <c r="G1561" s="672">
        <v>0</v>
      </c>
      <c r="H1561" s="672">
        <v>0</v>
      </c>
      <c r="I1561" s="672">
        <v>0</v>
      </c>
      <c r="J1561" s="672">
        <v>0</v>
      </c>
      <c r="K1561" s="672">
        <v>0</v>
      </c>
      <c r="L1561" s="672">
        <v>-3033.52</v>
      </c>
    </row>
    <row r="1562" spans="2:12">
      <c r="B1562" s="180" t="s">
        <v>1731</v>
      </c>
      <c r="C1562" s="180" t="s">
        <v>1732</v>
      </c>
      <c r="D1562" s="180" t="s">
        <v>974</v>
      </c>
      <c r="E1562" s="180" t="s">
        <v>990</v>
      </c>
      <c r="F1562" s="672">
        <v>0</v>
      </c>
      <c r="G1562" s="672">
        <v>0</v>
      </c>
      <c r="H1562" s="672">
        <v>0</v>
      </c>
      <c r="I1562" s="672">
        <v>0</v>
      </c>
      <c r="J1562" s="672">
        <v>0</v>
      </c>
      <c r="K1562" s="672">
        <v>0</v>
      </c>
      <c r="L1562" s="672">
        <v>0</v>
      </c>
    </row>
    <row r="1563" spans="2:12">
      <c r="B1563" s="180" t="s">
        <v>1681</v>
      </c>
      <c r="C1563" s="180" t="s">
        <v>1682</v>
      </c>
      <c r="D1563" s="180" t="s">
        <v>974</v>
      </c>
      <c r="E1563" s="180" t="s">
        <v>990</v>
      </c>
      <c r="F1563" s="672">
        <v>0</v>
      </c>
      <c r="G1563" s="672">
        <v>0</v>
      </c>
      <c r="H1563" s="672">
        <v>0</v>
      </c>
      <c r="I1563" s="672">
        <v>0</v>
      </c>
      <c r="J1563" s="672">
        <v>0</v>
      </c>
      <c r="K1563" s="672">
        <v>0</v>
      </c>
      <c r="L1563" s="672">
        <v>0</v>
      </c>
    </row>
    <row r="1564" spans="2:12">
      <c r="B1564" s="180" t="s">
        <v>1632</v>
      </c>
      <c r="C1564" s="180" t="s">
        <v>1633</v>
      </c>
      <c r="D1564" s="180" t="s">
        <v>974</v>
      </c>
      <c r="E1564" s="180" t="s">
        <v>980</v>
      </c>
      <c r="F1564" s="672">
        <v>83371.75</v>
      </c>
      <c r="G1564" s="672">
        <v>-39493.07</v>
      </c>
      <c r="H1564" s="672">
        <v>54239.75</v>
      </c>
      <c r="I1564" s="672">
        <v>-2008.56</v>
      </c>
      <c r="J1564" s="672">
        <v>143.13</v>
      </c>
      <c r="K1564" s="672">
        <v>3688.6</v>
      </c>
      <c r="L1564" s="672">
        <v>66801.899999999994</v>
      </c>
    </row>
    <row r="1565" spans="2:12">
      <c r="B1565" s="180" t="s">
        <v>1973</v>
      </c>
      <c r="C1565" s="180" t="s">
        <v>1974</v>
      </c>
      <c r="D1565" s="180" t="s">
        <v>974</v>
      </c>
      <c r="E1565" s="180" t="s">
        <v>990</v>
      </c>
      <c r="F1565" s="672">
        <v>0</v>
      </c>
      <c r="G1565" s="672">
        <v>0</v>
      </c>
      <c r="H1565" s="672">
        <v>0</v>
      </c>
      <c r="I1565" s="672">
        <v>0</v>
      </c>
      <c r="J1565" s="672">
        <v>0</v>
      </c>
      <c r="K1565" s="672">
        <v>0</v>
      </c>
      <c r="L1565" s="672">
        <v>0</v>
      </c>
    </row>
    <row r="1566" spans="2:12">
      <c r="B1566" s="180" t="s">
        <v>1983</v>
      </c>
      <c r="C1566" s="180" t="s">
        <v>1115</v>
      </c>
      <c r="D1566" s="180" t="s">
        <v>974</v>
      </c>
      <c r="E1566" s="180" t="s">
        <v>975</v>
      </c>
      <c r="F1566" s="672">
        <v>1014894.82</v>
      </c>
      <c r="G1566" s="672">
        <v>0</v>
      </c>
      <c r="H1566" s="672">
        <v>0</v>
      </c>
      <c r="I1566" s="672">
        <v>0</v>
      </c>
      <c r="J1566" s="672">
        <v>32354.97</v>
      </c>
      <c r="K1566" s="672">
        <v>302538.02</v>
      </c>
      <c r="L1566" s="672">
        <v>680001.83</v>
      </c>
    </row>
    <row r="1567" spans="2:12">
      <c r="B1567" s="180" t="s">
        <v>2050</v>
      </c>
      <c r="C1567" s="180" t="s">
        <v>2051</v>
      </c>
      <c r="D1567" s="180" t="s">
        <v>974</v>
      </c>
      <c r="E1567" s="180" t="s">
        <v>980</v>
      </c>
      <c r="F1567" s="672">
        <v>-526527.97</v>
      </c>
      <c r="G1567" s="672">
        <v>-1779.28</v>
      </c>
      <c r="H1567" s="672">
        <v>-327625.3</v>
      </c>
      <c r="I1567" s="672">
        <v>127733.3</v>
      </c>
      <c r="J1567" s="672">
        <v>-113652.64</v>
      </c>
      <c r="K1567" s="672">
        <v>188679.49</v>
      </c>
      <c r="L1567" s="672">
        <v>-399883.54</v>
      </c>
    </row>
    <row r="1568" spans="2:12">
      <c r="B1568" s="180" t="s">
        <v>2052</v>
      </c>
      <c r="C1568" s="180" t="s">
        <v>2053</v>
      </c>
      <c r="D1568" s="180" t="s">
        <v>974</v>
      </c>
      <c r="E1568" s="180" t="s">
        <v>980</v>
      </c>
      <c r="F1568" s="672">
        <v>9324.66</v>
      </c>
      <c r="G1568" s="672">
        <v>4271.58</v>
      </c>
      <c r="H1568" s="672">
        <v>262.81</v>
      </c>
      <c r="I1568" s="672">
        <v>-5059.5200000000004</v>
      </c>
      <c r="J1568" s="672">
        <v>-293.27999999999997</v>
      </c>
      <c r="K1568" s="672">
        <v>31151.32</v>
      </c>
      <c r="L1568" s="672">
        <v>-21008.25</v>
      </c>
    </row>
    <row r="1569" spans="2:12">
      <c r="B1569" s="180" t="s">
        <v>1546</v>
      </c>
      <c r="C1569" s="180" t="s">
        <v>1547</v>
      </c>
      <c r="D1569" s="180" t="s">
        <v>974</v>
      </c>
      <c r="E1569" s="180" t="s">
        <v>990</v>
      </c>
      <c r="F1569" s="672">
        <v>0</v>
      </c>
      <c r="G1569" s="672">
        <v>0</v>
      </c>
      <c r="H1569" s="672">
        <v>0</v>
      </c>
      <c r="I1569" s="672">
        <v>0</v>
      </c>
      <c r="J1569" s="672">
        <v>0</v>
      </c>
      <c r="K1569" s="672">
        <v>0</v>
      </c>
      <c r="L1569" s="672">
        <v>0</v>
      </c>
    </row>
    <row r="1570" spans="2:12">
      <c r="B1570" s="180" t="s">
        <v>1734</v>
      </c>
      <c r="C1570" s="180" t="s">
        <v>1735</v>
      </c>
      <c r="D1570" s="180" t="s">
        <v>993</v>
      </c>
      <c r="E1570" s="180" t="s">
        <v>990</v>
      </c>
      <c r="F1570" s="672">
        <v>0</v>
      </c>
      <c r="G1570" s="672">
        <v>0</v>
      </c>
      <c r="H1570" s="672">
        <v>0</v>
      </c>
      <c r="I1570" s="672">
        <v>0</v>
      </c>
      <c r="J1570" s="672">
        <v>0</v>
      </c>
      <c r="K1570" s="672">
        <v>0</v>
      </c>
      <c r="L1570" s="672">
        <v>0</v>
      </c>
    </row>
    <row r="1571" spans="2:12">
      <c r="B1571" s="180" t="s">
        <v>1627</v>
      </c>
      <c r="C1571" s="180" t="s">
        <v>1220</v>
      </c>
      <c r="D1571" s="180" t="s">
        <v>974</v>
      </c>
      <c r="E1571" s="180" t="s">
        <v>975</v>
      </c>
      <c r="F1571" s="672">
        <v>8911.3799999999992</v>
      </c>
      <c r="G1571" s="672">
        <v>0</v>
      </c>
      <c r="H1571" s="672">
        <v>0</v>
      </c>
      <c r="I1571" s="672">
        <v>0</v>
      </c>
      <c r="J1571" s="672">
        <v>0</v>
      </c>
      <c r="K1571" s="672">
        <v>85.93</v>
      </c>
      <c r="L1571" s="672">
        <v>8825.4500000000007</v>
      </c>
    </row>
    <row r="1572" spans="2:12">
      <c r="B1572" s="180" t="s">
        <v>1907</v>
      </c>
      <c r="C1572" s="180" t="s">
        <v>1185</v>
      </c>
      <c r="D1572" s="180" t="s">
        <v>993</v>
      </c>
      <c r="E1572" s="180" t="s">
        <v>980</v>
      </c>
      <c r="F1572" s="672">
        <v>767993.05</v>
      </c>
      <c r="G1572" s="672">
        <v>8795.31</v>
      </c>
      <c r="H1572" s="672">
        <v>4664.8500000000004</v>
      </c>
      <c r="I1572" s="672">
        <v>5152.08</v>
      </c>
      <c r="J1572" s="672">
        <v>4480.13</v>
      </c>
      <c r="K1572" s="672">
        <v>132709.98000000001</v>
      </c>
      <c r="L1572" s="672">
        <v>612190.69999999995</v>
      </c>
    </row>
    <row r="1573" spans="2:12">
      <c r="B1573" s="180" t="s">
        <v>1790</v>
      </c>
      <c r="C1573" s="180" t="s">
        <v>1791</v>
      </c>
      <c r="D1573" s="180" t="s">
        <v>974</v>
      </c>
      <c r="E1573" s="180" t="s">
        <v>975</v>
      </c>
      <c r="F1573" s="672">
        <v>3083.53</v>
      </c>
      <c r="G1573" s="672">
        <v>0</v>
      </c>
      <c r="H1573" s="672">
        <v>0</v>
      </c>
      <c r="I1573" s="672">
        <v>0</v>
      </c>
      <c r="J1573" s="672">
        <v>0</v>
      </c>
      <c r="K1573" s="672">
        <v>0</v>
      </c>
      <c r="L1573" s="672">
        <v>3083.53</v>
      </c>
    </row>
    <row r="1574" spans="2:12">
      <c r="B1574" s="180" t="s">
        <v>1654</v>
      </c>
      <c r="C1574" s="180" t="s">
        <v>1488</v>
      </c>
      <c r="D1574" s="180" t="s">
        <v>974</v>
      </c>
      <c r="E1574" s="180" t="s">
        <v>980</v>
      </c>
      <c r="F1574" s="672">
        <v>-15399.97</v>
      </c>
      <c r="G1574" s="672">
        <v>17820.75</v>
      </c>
      <c r="H1574" s="672">
        <v>21816.28</v>
      </c>
      <c r="I1574" s="672">
        <v>26732.26</v>
      </c>
      <c r="J1574" s="672">
        <v>-100691.52</v>
      </c>
      <c r="K1574" s="672">
        <v>79683.11</v>
      </c>
      <c r="L1574" s="672">
        <v>-60760.85</v>
      </c>
    </row>
    <row r="1575" spans="2:12">
      <c r="B1575" s="180" t="s">
        <v>1710</v>
      </c>
      <c r="C1575" s="180" t="s">
        <v>1711</v>
      </c>
      <c r="D1575" s="180" t="s">
        <v>974</v>
      </c>
      <c r="E1575" s="180" t="s">
        <v>990</v>
      </c>
      <c r="F1575" s="672">
        <v>0</v>
      </c>
      <c r="G1575" s="672">
        <v>0</v>
      </c>
      <c r="H1575" s="672">
        <v>0</v>
      </c>
      <c r="I1575" s="672">
        <v>0</v>
      </c>
      <c r="J1575" s="672">
        <v>0</v>
      </c>
      <c r="K1575" s="672">
        <v>0</v>
      </c>
      <c r="L1575" s="672">
        <v>0</v>
      </c>
    </row>
    <row r="1576" spans="2:12">
      <c r="B1576" s="180" t="s">
        <v>1973</v>
      </c>
      <c r="C1576" s="180" t="s">
        <v>1974</v>
      </c>
      <c r="D1576" s="180" t="s">
        <v>974</v>
      </c>
      <c r="E1576" s="180" t="s">
        <v>975</v>
      </c>
      <c r="F1576" s="672">
        <v>0</v>
      </c>
      <c r="G1576" s="672">
        <v>0</v>
      </c>
      <c r="H1576" s="672">
        <v>0</v>
      </c>
      <c r="I1576" s="672">
        <v>0</v>
      </c>
      <c r="J1576" s="672">
        <v>0</v>
      </c>
      <c r="K1576" s="672">
        <v>0</v>
      </c>
      <c r="L1576" s="672">
        <v>0</v>
      </c>
    </row>
    <row r="1577" spans="2:12">
      <c r="B1577" s="180" t="s">
        <v>1432</v>
      </c>
      <c r="C1577" s="180" t="s">
        <v>1433</v>
      </c>
      <c r="D1577" s="180" t="s">
        <v>974</v>
      </c>
      <c r="E1577" s="180" t="s">
        <v>975</v>
      </c>
      <c r="F1577" s="672">
        <v>71668.94</v>
      </c>
      <c r="G1577" s="672">
        <v>0</v>
      </c>
      <c r="H1577" s="672">
        <v>0</v>
      </c>
      <c r="I1577" s="672">
        <v>0</v>
      </c>
      <c r="J1577" s="672">
        <v>0</v>
      </c>
      <c r="K1577" s="672">
        <v>0</v>
      </c>
      <c r="L1577" s="672">
        <v>71668.94</v>
      </c>
    </row>
    <row r="1578" spans="2:12">
      <c r="B1578" s="180" t="s">
        <v>1264</v>
      </c>
      <c r="C1578" s="180" t="s">
        <v>1265</v>
      </c>
      <c r="D1578" s="180" t="s">
        <v>974</v>
      </c>
      <c r="E1578" s="180" t="s">
        <v>983</v>
      </c>
      <c r="F1578" s="672">
        <v>404843.13</v>
      </c>
      <c r="G1578" s="672">
        <v>1378.36</v>
      </c>
      <c r="H1578" s="672">
        <v>1490.55</v>
      </c>
      <c r="I1578" s="672">
        <v>1435.49</v>
      </c>
      <c r="J1578" s="672">
        <v>1508.85</v>
      </c>
      <c r="K1578" s="672">
        <v>875.9</v>
      </c>
      <c r="L1578" s="672">
        <v>398153.98</v>
      </c>
    </row>
    <row r="1579" spans="2:12">
      <c r="B1579" s="180" t="s">
        <v>1821</v>
      </c>
      <c r="C1579" s="180" t="s">
        <v>1822</v>
      </c>
      <c r="D1579" s="180" t="s">
        <v>974</v>
      </c>
      <c r="E1579" s="180" t="s">
        <v>980</v>
      </c>
      <c r="F1579" s="672">
        <v>0</v>
      </c>
      <c r="G1579" s="672">
        <v>0</v>
      </c>
      <c r="H1579" s="672">
        <v>0.84</v>
      </c>
      <c r="I1579" s="672">
        <v>-0.84</v>
      </c>
      <c r="J1579" s="672">
        <v>0</v>
      </c>
      <c r="K1579" s="672">
        <v>0</v>
      </c>
      <c r="L1579" s="672">
        <v>0</v>
      </c>
    </row>
    <row r="1580" spans="2:12">
      <c r="B1580" s="180" t="s">
        <v>1391</v>
      </c>
      <c r="C1580" s="180" t="s">
        <v>1106</v>
      </c>
      <c r="D1580" s="180" t="s">
        <v>993</v>
      </c>
      <c r="E1580" s="180" t="s">
        <v>975</v>
      </c>
      <c r="F1580" s="672">
        <v>-16017.48</v>
      </c>
      <c r="G1580" s="672">
        <v>0</v>
      </c>
      <c r="H1580" s="672">
        <v>0</v>
      </c>
      <c r="I1580" s="672">
        <v>0</v>
      </c>
      <c r="J1580" s="672">
        <v>0</v>
      </c>
      <c r="K1580" s="672">
        <v>0</v>
      </c>
      <c r="L1580" s="672">
        <v>-16017.48</v>
      </c>
    </row>
    <row r="1581" spans="2:12">
      <c r="B1581" s="180" t="s">
        <v>1043</v>
      </c>
      <c r="C1581" s="180" t="s">
        <v>1044</v>
      </c>
      <c r="D1581" s="180" t="s">
        <v>974</v>
      </c>
      <c r="E1581" s="180" t="s">
        <v>990</v>
      </c>
      <c r="F1581" s="672">
        <v>0</v>
      </c>
      <c r="G1581" s="672">
        <v>0</v>
      </c>
      <c r="H1581" s="672">
        <v>0</v>
      </c>
      <c r="I1581" s="672">
        <v>0</v>
      </c>
      <c r="J1581" s="672">
        <v>0</v>
      </c>
      <c r="K1581" s="672">
        <v>0</v>
      </c>
      <c r="L1581" s="672">
        <v>0</v>
      </c>
    </row>
    <row r="1582" spans="2:12">
      <c r="B1582" s="180" t="s">
        <v>1346</v>
      </c>
      <c r="C1582" s="180" t="s">
        <v>1347</v>
      </c>
      <c r="D1582" s="180" t="s">
        <v>974</v>
      </c>
      <c r="E1582" s="180" t="s">
        <v>975</v>
      </c>
      <c r="F1582" s="672">
        <v>7561.96</v>
      </c>
      <c r="G1582" s="672">
        <v>0</v>
      </c>
      <c r="H1582" s="672">
        <v>0</v>
      </c>
      <c r="I1582" s="672">
        <v>0</v>
      </c>
      <c r="J1582" s="672">
        <v>0</v>
      </c>
      <c r="K1582" s="672">
        <v>4291.9799999999996</v>
      </c>
      <c r="L1582" s="672">
        <v>3269.98</v>
      </c>
    </row>
    <row r="1583" spans="2:12">
      <c r="B1583" s="180" t="s">
        <v>1336</v>
      </c>
      <c r="C1583" s="180" t="s">
        <v>1036</v>
      </c>
      <c r="D1583" s="180" t="s">
        <v>993</v>
      </c>
      <c r="E1583" s="180" t="s">
        <v>990</v>
      </c>
      <c r="F1583" s="672">
        <v>0</v>
      </c>
      <c r="G1583" s="672">
        <v>0</v>
      </c>
      <c r="H1583" s="672">
        <v>0</v>
      </c>
      <c r="I1583" s="672">
        <v>0</v>
      </c>
      <c r="J1583" s="672">
        <v>0</v>
      </c>
      <c r="K1583" s="672">
        <v>0</v>
      </c>
      <c r="L1583" s="672">
        <v>0</v>
      </c>
    </row>
    <row r="1584" spans="2:12">
      <c r="B1584" s="180" t="s">
        <v>1608</v>
      </c>
      <c r="C1584" s="180" t="s">
        <v>1302</v>
      </c>
      <c r="D1584" s="180" t="s">
        <v>993</v>
      </c>
      <c r="E1584" s="180" t="s">
        <v>975</v>
      </c>
      <c r="F1584" s="672">
        <v>-89520.05</v>
      </c>
      <c r="G1584" s="672">
        <v>0</v>
      </c>
      <c r="H1584" s="672">
        <v>0</v>
      </c>
      <c r="I1584" s="672">
        <v>0</v>
      </c>
      <c r="J1584" s="672">
        <v>0</v>
      </c>
      <c r="K1584" s="672">
        <v>-88615.4</v>
      </c>
      <c r="L1584" s="672">
        <v>-904.65</v>
      </c>
    </row>
    <row r="1585" spans="2:12">
      <c r="B1585" s="180" t="s">
        <v>2054</v>
      </c>
      <c r="C1585" s="180" t="s">
        <v>2055</v>
      </c>
      <c r="D1585" s="180" t="s">
        <v>974</v>
      </c>
      <c r="E1585" s="180" t="s">
        <v>980</v>
      </c>
      <c r="F1585" s="672">
        <v>97024.05</v>
      </c>
      <c r="G1585" s="672">
        <v>16858.57</v>
      </c>
      <c r="H1585" s="672">
        <v>18669.099999999999</v>
      </c>
      <c r="I1585" s="672">
        <v>19124.47</v>
      </c>
      <c r="J1585" s="672">
        <v>18268.490000000002</v>
      </c>
      <c r="K1585" s="672">
        <v>23157.14</v>
      </c>
      <c r="L1585" s="672">
        <v>946.28</v>
      </c>
    </row>
    <row r="1586" spans="2:12">
      <c r="B1586" s="180" t="s">
        <v>1235</v>
      </c>
      <c r="C1586" s="180" t="s">
        <v>1167</v>
      </c>
      <c r="D1586" s="180" t="s">
        <v>993</v>
      </c>
      <c r="E1586" s="180" t="s">
        <v>980</v>
      </c>
      <c r="F1586" s="672">
        <v>210460.69</v>
      </c>
      <c r="G1586" s="672">
        <v>4842.62</v>
      </c>
      <c r="H1586" s="672">
        <v>6970.22</v>
      </c>
      <c r="I1586" s="672">
        <v>8368.1299999999992</v>
      </c>
      <c r="J1586" s="672">
        <v>8555.66</v>
      </c>
      <c r="K1586" s="672">
        <v>43189.279999999999</v>
      </c>
      <c r="L1586" s="672">
        <v>138534.78</v>
      </c>
    </row>
    <row r="1587" spans="2:12">
      <c r="B1587" s="180" t="s">
        <v>1184</v>
      </c>
      <c r="C1587" s="180" t="s">
        <v>1185</v>
      </c>
      <c r="D1587" s="180" t="s">
        <v>993</v>
      </c>
      <c r="E1587" s="180" t="s">
        <v>980</v>
      </c>
      <c r="F1587" s="672">
        <v>2345183.87</v>
      </c>
      <c r="G1587" s="672">
        <v>47363.67</v>
      </c>
      <c r="H1587" s="672">
        <v>23848.22</v>
      </c>
      <c r="I1587" s="672">
        <v>41017.07</v>
      </c>
      <c r="J1587" s="672">
        <v>41971.95</v>
      </c>
      <c r="K1587" s="672">
        <v>477125.38</v>
      </c>
      <c r="L1587" s="672">
        <v>1713857.58</v>
      </c>
    </row>
    <row r="1588" spans="2:12">
      <c r="B1588" s="180" t="s">
        <v>1771</v>
      </c>
      <c r="C1588" s="180" t="s">
        <v>1772</v>
      </c>
      <c r="D1588" s="180" t="s">
        <v>974</v>
      </c>
      <c r="E1588" s="180" t="s">
        <v>975</v>
      </c>
      <c r="F1588" s="672">
        <v>168849.1</v>
      </c>
      <c r="G1588" s="672">
        <v>0</v>
      </c>
      <c r="H1588" s="672">
        <v>0</v>
      </c>
      <c r="I1588" s="672">
        <v>0</v>
      </c>
      <c r="J1588" s="672">
        <v>0</v>
      </c>
      <c r="K1588" s="672">
        <v>0</v>
      </c>
      <c r="L1588" s="672">
        <v>168849.1</v>
      </c>
    </row>
    <row r="1589" spans="2:12">
      <c r="B1589" s="180" t="s">
        <v>1190</v>
      </c>
      <c r="C1589" s="180" t="s">
        <v>1191</v>
      </c>
      <c r="D1589" s="180" t="s">
        <v>974</v>
      </c>
      <c r="E1589" s="180" t="s">
        <v>1034</v>
      </c>
      <c r="F1589" s="672">
        <v>0</v>
      </c>
      <c r="G1589" s="672">
        <v>0</v>
      </c>
      <c r="H1589" s="672">
        <v>0</v>
      </c>
      <c r="I1589" s="672">
        <v>0</v>
      </c>
      <c r="J1589" s="672">
        <v>0</v>
      </c>
      <c r="K1589" s="672">
        <v>0</v>
      </c>
      <c r="L1589" s="672">
        <v>0</v>
      </c>
    </row>
    <row r="1590" spans="2:12">
      <c r="B1590" s="180" t="s">
        <v>1568</v>
      </c>
      <c r="C1590" s="180" t="s">
        <v>1569</v>
      </c>
      <c r="D1590" s="180" t="s">
        <v>974</v>
      </c>
      <c r="E1590" s="180" t="s">
        <v>983</v>
      </c>
      <c r="F1590" s="672">
        <v>734.89</v>
      </c>
      <c r="G1590" s="672">
        <v>17.13</v>
      </c>
      <c r="H1590" s="672">
        <v>17.13</v>
      </c>
      <c r="I1590" s="672">
        <v>17.13</v>
      </c>
      <c r="J1590" s="672">
        <v>17.13</v>
      </c>
      <c r="K1590" s="672">
        <v>134.85</v>
      </c>
      <c r="L1590" s="672">
        <v>531.52</v>
      </c>
    </row>
    <row r="1591" spans="2:12">
      <c r="B1591" s="180" t="s">
        <v>1482</v>
      </c>
      <c r="C1591" s="180" t="s">
        <v>1455</v>
      </c>
      <c r="D1591" s="180" t="s">
        <v>993</v>
      </c>
      <c r="E1591" s="180" t="s">
        <v>975</v>
      </c>
      <c r="F1591" s="672">
        <v>-70415.56</v>
      </c>
      <c r="G1591" s="672">
        <v>0</v>
      </c>
      <c r="H1591" s="672">
        <v>0</v>
      </c>
      <c r="I1591" s="672">
        <v>0</v>
      </c>
      <c r="J1591" s="672">
        <v>0</v>
      </c>
      <c r="K1591" s="672">
        <v>-4393.29</v>
      </c>
      <c r="L1591" s="672">
        <v>-66022.27</v>
      </c>
    </row>
    <row r="1592" spans="2:12">
      <c r="B1592" s="180" t="s">
        <v>1236</v>
      </c>
      <c r="C1592" s="180" t="s">
        <v>1237</v>
      </c>
      <c r="D1592" s="180" t="s">
        <v>993</v>
      </c>
      <c r="E1592" s="180" t="s">
        <v>983</v>
      </c>
      <c r="F1592" s="672">
        <v>4601.58</v>
      </c>
      <c r="G1592" s="672">
        <v>0</v>
      </c>
      <c r="H1592" s="672">
        <v>0</v>
      </c>
      <c r="I1592" s="672">
        <v>0</v>
      </c>
      <c r="J1592" s="672">
        <v>0</v>
      </c>
      <c r="K1592" s="672">
        <v>3769.26</v>
      </c>
      <c r="L1592" s="672">
        <v>832.32</v>
      </c>
    </row>
    <row r="1593" spans="2:12">
      <c r="B1593" s="180" t="s">
        <v>1811</v>
      </c>
      <c r="C1593" s="180" t="s">
        <v>1525</v>
      </c>
      <c r="D1593" s="180" t="s">
        <v>993</v>
      </c>
      <c r="E1593" s="180" t="s">
        <v>975</v>
      </c>
      <c r="F1593" s="672">
        <v>-142.55000000000001</v>
      </c>
      <c r="G1593" s="672">
        <v>0</v>
      </c>
      <c r="H1593" s="672">
        <v>0</v>
      </c>
      <c r="I1593" s="672">
        <v>0</v>
      </c>
      <c r="J1593" s="672">
        <v>0</v>
      </c>
      <c r="K1593" s="672">
        <v>0</v>
      </c>
      <c r="L1593" s="672">
        <v>-142.55000000000001</v>
      </c>
    </row>
    <row r="1594" spans="2:12">
      <c r="B1594" s="180" t="s">
        <v>2049</v>
      </c>
      <c r="C1594" s="180" t="s">
        <v>1220</v>
      </c>
      <c r="D1594" s="180" t="s">
        <v>974</v>
      </c>
      <c r="E1594" s="180" t="s">
        <v>980</v>
      </c>
      <c r="F1594" s="672">
        <v>1240831.18</v>
      </c>
      <c r="G1594" s="672">
        <v>-187720.13</v>
      </c>
      <c r="H1594" s="672">
        <v>-1165280.19</v>
      </c>
      <c r="I1594" s="672">
        <v>763016.72</v>
      </c>
      <c r="J1594" s="672">
        <v>751069.55</v>
      </c>
      <c r="K1594" s="672">
        <v>-1719654.51</v>
      </c>
      <c r="L1594" s="672">
        <v>2799399.74</v>
      </c>
    </row>
    <row r="1595" spans="2:12">
      <c r="B1595" s="180" t="s">
        <v>1865</v>
      </c>
      <c r="C1595" s="180" t="s">
        <v>1287</v>
      </c>
      <c r="D1595" s="180" t="s">
        <v>974</v>
      </c>
      <c r="E1595" s="180" t="s">
        <v>990</v>
      </c>
      <c r="F1595" s="672">
        <v>0</v>
      </c>
      <c r="G1595" s="672">
        <v>0</v>
      </c>
      <c r="H1595" s="672">
        <v>0</v>
      </c>
      <c r="I1595" s="672">
        <v>0</v>
      </c>
      <c r="J1595" s="672">
        <v>0</v>
      </c>
      <c r="K1595" s="672">
        <v>0</v>
      </c>
      <c r="L1595" s="672">
        <v>0</v>
      </c>
    </row>
    <row r="1596" spans="2:12">
      <c r="B1596" s="180" t="s">
        <v>1893</v>
      </c>
      <c r="C1596" s="180" t="s">
        <v>1011</v>
      </c>
      <c r="D1596" s="180" t="s">
        <v>993</v>
      </c>
      <c r="E1596" s="180" t="s">
        <v>975</v>
      </c>
      <c r="F1596" s="672">
        <v>-46344.14</v>
      </c>
      <c r="G1596" s="672">
        <v>0</v>
      </c>
      <c r="H1596" s="672">
        <v>0</v>
      </c>
      <c r="I1596" s="672">
        <v>0</v>
      </c>
      <c r="J1596" s="672">
        <v>0</v>
      </c>
      <c r="K1596" s="672">
        <v>0</v>
      </c>
      <c r="L1596" s="672">
        <v>-46344.14</v>
      </c>
    </row>
    <row r="1597" spans="2:12">
      <c r="B1597" s="180" t="s">
        <v>1470</v>
      </c>
      <c r="C1597" s="180" t="s">
        <v>1471</v>
      </c>
      <c r="D1597" s="180" t="s">
        <v>974</v>
      </c>
      <c r="E1597" s="180" t="s">
        <v>975</v>
      </c>
      <c r="F1597" s="672">
        <v>6541.31</v>
      </c>
      <c r="G1597" s="672">
        <v>0</v>
      </c>
      <c r="H1597" s="672">
        <v>0</v>
      </c>
      <c r="I1597" s="672">
        <v>0</v>
      </c>
      <c r="J1597" s="672">
        <v>0</v>
      </c>
      <c r="K1597" s="672">
        <v>0</v>
      </c>
      <c r="L1597" s="672">
        <v>6541.31</v>
      </c>
    </row>
    <row r="1598" spans="2:12">
      <c r="B1598" s="180" t="s">
        <v>1679</v>
      </c>
      <c r="C1598" s="180" t="s">
        <v>1680</v>
      </c>
      <c r="D1598" s="180" t="s">
        <v>974</v>
      </c>
      <c r="E1598" s="180" t="s">
        <v>1034</v>
      </c>
      <c r="F1598" s="672">
        <v>0</v>
      </c>
      <c r="G1598" s="672">
        <v>0</v>
      </c>
      <c r="H1598" s="672">
        <v>0</v>
      </c>
      <c r="I1598" s="672">
        <v>0</v>
      </c>
      <c r="J1598" s="672">
        <v>0</v>
      </c>
      <c r="K1598" s="672">
        <v>0</v>
      </c>
      <c r="L1598" s="672">
        <v>0</v>
      </c>
    </row>
    <row r="1599" spans="2:12">
      <c r="B1599" s="180" t="s">
        <v>1649</v>
      </c>
      <c r="C1599" s="180" t="s">
        <v>1650</v>
      </c>
      <c r="D1599" s="180" t="s">
        <v>974</v>
      </c>
      <c r="E1599" s="180" t="s">
        <v>1075</v>
      </c>
      <c r="F1599" s="672">
        <v>0</v>
      </c>
      <c r="G1599" s="672">
        <v>0</v>
      </c>
      <c r="H1599" s="672">
        <v>0</v>
      </c>
      <c r="I1599" s="672">
        <v>0</v>
      </c>
      <c r="J1599" s="672">
        <v>0</v>
      </c>
      <c r="K1599" s="672">
        <v>0</v>
      </c>
      <c r="L1599" s="672">
        <v>0</v>
      </c>
    </row>
    <row r="1600" spans="2:12">
      <c r="B1600" s="180" t="s">
        <v>1006</v>
      </c>
      <c r="C1600" s="180" t="s">
        <v>1007</v>
      </c>
      <c r="D1600" s="180" t="s">
        <v>974</v>
      </c>
      <c r="E1600" s="180" t="s">
        <v>990</v>
      </c>
      <c r="F1600" s="672">
        <v>0</v>
      </c>
      <c r="G1600" s="672">
        <v>0</v>
      </c>
      <c r="H1600" s="672">
        <v>0</v>
      </c>
      <c r="I1600" s="672">
        <v>0</v>
      </c>
      <c r="J1600" s="672">
        <v>0</v>
      </c>
      <c r="K1600" s="672">
        <v>0</v>
      </c>
      <c r="L1600" s="672">
        <v>0</v>
      </c>
    </row>
    <row r="1601" spans="2:12">
      <c r="B1601" s="180" t="s">
        <v>2013</v>
      </c>
      <c r="C1601" s="180" t="s">
        <v>2014</v>
      </c>
      <c r="D1601" s="180" t="s">
        <v>974</v>
      </c>
      <c r="E1601" s="180" t="s">
        <v>990</v>
      </c>
      <c r="F1601" s="672">
        <v>0</v>
      </c>
      <c r="G1601" s="672">
        <v>0</v>
      </c>
      <c r="H1601" s="672">
        <v>0</v>
      </c>
      <c r="I1601" s="672">
        <v>0</v>
      </c>
      <c r="J1601" s="672">
        <v>0</v>
      </c>
      <c r="K1601" s="672">
        <v>0</v>
      </c>
      <c r="L1601" s="672">
        <v>0</v>
      </c>
    </row>
    <row r="1602" spans="2:12">
      <c r="B1602" s="180" t="s">
        <v>1528</v>
      </c>
      <c r="C1602" s="180" t="s">
        <v>1529</v>
      </c>
      <c r="D1602" s="180" t="s">
        <v>974</v>
      </c>
      <c r="E1602" s="180" t="s">
        <v>990</v>
      </c>
      <c r="F1602" s="672">
        <v>0</v>
      </c>
      <c r="G1602" s="672">
        <v>0</v>
      </c>
      <c r="H1602" s="672">
        <v>0</v>
      </c>
      <c r="I1602" s="672">
        <v>0</v>
      </c>
      <c r="J1602" s="672">
        <v>0</v>
      </c>
      <c r="K1602" s="672">
        <v>0</v>
      </c>
      <c r="L1602" s="672">
        <v>0</v>
      </c>
    </row>
    <row r="1603" spans="2:12">
      <c r="B1603" s="180" t="s">
        <v>1283</v>
      </c>
      <c r="C1603" s="180" t="s">
        <v>1131</v>
      </c>
      <c r="D1603" s="180" t="s">
        <v>974</v>
      </c>
      <c r="E1603" s="180" t="s">
        <v>1075</v>
      </c>
      <c r="F1603" s="672">
        <v>0</v>
      </c>
      <c r="G1603" s="672">
        <v>0</v>
      </c>
      <c r="H1603" s="672">
        <v>0</v>
      </c>
      <c r="I1603" s="672">
        <v>0</v>
      </c>
      <c r="J1603" s="672">
        <v>0</v>
      </c>
      <c r="K1603" s="672">
        <v>0</v>
      </c>
      <c r="L1603" s="672">
        <v>0</v>
      </c>
    </row>
    <row r="1604" spans="2:12">
      <c r="B1604" s="180" t="s">
        <v>1373</v>
      </c>
      <c r="C1604" s="180" t="s">
        <v>1374</v>
      </c>
      <c r="D1604" s="180" t="s">
        <v>974</v>
      </c>
      <c r="E1604" s="180" t="s">
        <v>980</v>
      </c>
      <c r="F1604" s="672">
        <v>16018.66</v>
      </c>
      <c r="G1604" s="672">
        <v>-2375.37</v>
      </c>
      <c r="H1604" s="672">
        <v>-201.35</v>
      </c>
      <c r="I1604" s="672">
        <v>740.38</v>
      </c>
      <c r="J1604" s="672">
        <v>1167.77</v>
      </c>
      <c r="K1604" s="672">
        <v>267.10000000000002</v>
      </c>
      <c r="L1604" s="672">
        <v>16420.13</v>
      </c>
    </row>
    <row r="1605" spans="2:12">
      <c r="B1605" s="180" t="s">
        <v>1621</v>
      </c>
      <c r="C1605" s="180" t="s">
        <v>1156</v>
      </c>
      <c r="D1605" s="180" t="s">
        <v>974</v>
      </c>
      <c r="E1605" s="180" t="s">
        <v>990</v>
      </c>
      <c r="F1605" s="672">
        <v>0</v>
      </c>
      <c r="G1605" s="672">
        <v>0</v>
      </c>
      <c r="H1605" s="672">
        <v>0</v>
      </c>
      <c r="I1605" s="672">
        <v>0</v>
      </c>
      <c r="J1605" s="672">
        <v>0</v>
      </c>
      <c r="K1605" s="672">
        <v>0</v>
      </c>
      <c r="L1605" s="672">
        <v>0</v>
      </c>
    </row>
    <row r="1606" spans="2:12">
      <c r="B1606" s="180" t="s">
        <v>2056</v>
      </c>
      <c r="C1606" s="180" t="s">
        <v>2057</v>
      </c>
      <c r="D1606" s="180" t="s">
        <v>974</v>
      </c>
      <c r="E1606" s="180" t="s">
        <v>1111</v>
      </c>
      <c r="F1606" s="672">
        <v>-1589.69</v>
      </c>
      <c r="G1606" s="672">
        <v>0</v>
      </c>
      <c r="H1606" s="672">
        <v>0</v>
      </c>
      <c r="I1606" s="672">
        <v>0</v>
      </c>
      <c r="J1606" s="672">
        <v>0</v>
      </c>
      <c r="K1606" s="672">
        <v>0</v>
      </c>
      <c r="L1606" s="672">
        <v>-1589.69</v>
      </c>
    </row>
    <row r="1607" spans="2:12">
      <c r="B1607" s="180" t="s">
        <v>2058</v>
      </c>
      <c r="C1607" s="180" t="s">
        <v>1562</v>
      </c>
      <c r="D1607" s="180" t="s">
        <v>993</v>
      </c>
      <c r="E1607" s="180" t="s">
        <v>990</v>
      </c>
      <c r="F1607" s="672">
        <v>0</v>
      </c>
      <c r="G1607" s="672">
        <v>0</v>
      </c>
      <c r="H1607" s="672">
        <v>0</v>
      </c>
      <c r="I1607" s="672">
        <v>0</v>
      </c>
      <c r="J1607" s="672">
        <v>0</v>
      </c>
      <c r="K1607" s="672">
        <v>0</v>
      </c>
      <c r="L1607" s="672">
        <v>0</v>
      </c>
    </row>
    <row r="1608" spans="2:12">
      <c r="B1608" s="180" t="s">
        <v>1834</v>
      </c>
      <c r="C1608" s="180" t="s">
        <v>1835</v>
      </c>
      <c r="D1608" s="180" t="s">
        <v>974</v>
      </c>
      <c r="E1608" s="180" t="s">
        <v>975</v>
      </c>
      <c r="F1608" s="672">
        <v>96289.94</v>
      </c>
      <c r="G1608" s="672">
        <v>8695.36</v>
      </c>
      <c r="H1608" s="672">
        <v>8695.36</v>
      </c>
      <c r="I1608" s="672">
        <v>8695.36</v>
      </c>
      <c r="J1608" s="672">
        <v>8695.36</v>
      </c>
      <c r="K1608" s="672">
        <v>0</v>
      </c>
      <c r="L1608" s="672">
        <v>61508.5</v>
      </c>
    </row>
    <row r="1609" spans="2:12">
      <c r="B1609" s="180" t="s">
        <v>1272</v>
      </c>
      <c r="C1609" s="180" t="s">
        <v>1273</v>
      </c>
      <c r="D1609" s="180" t="s">
        <v>993</v>
      </c>
      <c r="E1609" s="180" t="s">
        <v>980</v>
      </c>
      <c r="F1609" s="672">
        <v>791181.29</v>
      </c>
      <c r="G1609" s="672">
        <v>489700.42</v>
      </c>
      <c r="H1609" s="672">
        <v>7670.94</v>
      </c>
      <c r="I1609" s="672">
        <v>6887.3</v>
      </c>
      <c r="J1609" s="672">
        <v>23934.69</v>
      </c>
      <c r="K1609" s="672">
        <v>61195.21</v>
      </c>
      <c r="L1609" s="672">
        <v>201792.73</v>
      </c>
    </row>
    <row r="1610" spans="2:12">
      <c r="B1610" s="180" t="s">
        <v>2017</v>
      </c>
      <c r="C1610" s="180" t="s">
        <v>2018</v>
      </c>
      <c r="D1610" s="180" t="s">
        <v>974</v>
      </c>
      <c r="E1610" s="180" t="s">
        <v>990</v>
      </c>
      <c r="F1610" s="672">
        <v>0</v>
      </c>
      <c r="G1610" s="672">
        <v>0</v>
      </c>
      <c r="H1610" s="672">
        <v>0</v>
      </c>
      <c r="I1610" s="672">
        <v>0</v>
      </c>
      <c r="J1610" s="672">
        <v>0</v>
      </c>
      <c r="K1610" s="672">
        <v>0</v>
      </c>
      <c r="L1610" s="672">
        <v>0</v>
      </c>
    </row>
    <row r="1611" spans="2:12">
      <c r="B1611" s="180" t="s">
        <v>1879</v>
      </c>
      <c r="C1611" s="180" t="s">
        <v>1220</v>
      </c>
      <c r="D1611" s="180" t="s">
        <v>974</v>
      </c>
      <c r="E1611" s="180" t="s">
        <v>975</v>
      </c>
      <c r="F1611" s="672">
        <v>105861.58</v>
      </c>
      <c r="G1611" s="672">
        <v>0</v>
      </c>
      <c r="H1611" s="672">
        <v>0</v>
      </c>
      <c r="I1611" s="672">
        <v>0</v>
      </c>
      <c r="J1611" s="672">
        <v>0</v>
      </c>
      <c r="K1611" s="672">
        <v>93884.97</v>
      </c>
      <c r="L1611" s="672">
        <v>11976.61</v>
      </c>
    </row>
    <row r="1612" spans="2:12">
      <c r="B1612" s="180" t="s">
        <v>1657</v>
      </c>
      <c r="C1612" s="180" t="s">
        <v>1500</v>
      </c>
      <c r="D1612" s="180" t="s">
        <v>993</v>
      </c>
      <c r="E1612" s="180" t="s">
        <v>990</v>
      </c>
      <c r="F1612" s="672">
        <v>0</v>
      </c>
      <c r="G1612" s="672">
        <v>0</v>
      </c>
      <c r="H1612" s="672">
        <v>0</v>
      </c>
      <c r="I1612" s="672">
        <v>0</v>
      </c>
      <c r="J1612" s="672">
        <v>0</v>
      </c>
      <c r="K1612" s="672">
        <v>0</v>
      </c>
      <c r="L1612" s="672">
        <v>0</v>
      </c>
    </row>
    <row r="1613" spans="2:12">
      <c r="B1613" s="180" t="s">
        <v>1910</v>
      </c>
      <c r="C1613" s="180" t="s">
        <v>1911</v>
      </c>
      <c r="D1613" s="180" t="s">
        <v>974</v>
      </c>
      <c r="E1613" s="180" t="s">
        <v>980</v>
      </c>
      <c r="F1613" s="672">
        <v>-126232.9</v>
      </c>
      <c r="G1613" s="672">
        <v>-6543.48</v>
      </c>
      <c r="H1613" s="672">
        <v>-39795.33</v>
      </c>
      <c r="I1613" s="672">
        <v>39474.32</v>
      </c>
      <c r="J1613" s="672">
        <v>-3343.16</v>
      </c>
      <c r="K1613" s="672">
        <v>190369.87</v>
      </c>
      <c r="L1613" s="672">
        <v>-306395.12</v>
      </c>
    </row>
    <row r="1614" spans="2:12">
      <c r="B1614" s="180" t="s">
        <v>1145</v>
      </c>
      <c r="C1614" s="180" t="s">
        <v>1146</v>
      </c>
      <c r="D1614" s="180" t="s">
        <v>974</v>
      </c>
      <c r="E1614" s="180" t="s">
        <v>980</v>
      </c>
      <c r="F1614" s="672">
        <v>3065748.16</v>
      </c>
      <c r="G1614" s="672">
        <v>70680</v>
      </c>
      <c r="H1614" s="672">
        <v>70337.490000000005</v>
      </c>
      <c r="I1614" s="672">
        <v>70829.14</v>
      </c>
      <c r="J1614" s="672">
        <v>71120.11</v>
      </c>
      <c r="K1614" s="672">
        <v>558763.35</v>
      </c>
      <c r="L1614" s="672">
        <v>2224018.0699999998</v>
      </c>
    </row>
    <row r="1615" spans="2:12">
      <c r="B1615" s="180" t="s">
        <v>2059</v>
      </c>
      <c r="C1615" s="180" t="s">
        <v>2060</v>
      </c>
      <c r="D1615" s="180" t="s">
        <v>974</v>
      </c>
      <c r="E1615" s="180" t="s">
        <v>980</v>
      </c>
      <c r="F1615" s="672">
        <v>6645098.8099999996</v>
      </c>
      <c r="G1615" s="672">
        <v>155041.82</v>
      </c>
      <c r="H1615" s="672">
        <v>155046.54999999999</v>
      </c>
      <c r="I1615" s="672">
        <v>155060.32</v>
      </c>
      <c r="J1615" s="672">
        <v>155033.46</v>
      </c>
      <c r="K1615" s="672">
        <v>1217863.6599999999</v>
      </c>
      <c r="L1615" s="672">
        <v>4807053</v>
      </c>
    </row>
    <row r="1616" spans="2:12">
      <c r="B1616" s="180" t="s">
        <v>1584</v>
      </c>
      <c r="C1616" s="180" t="s">
        <v>1585</v>
      </c>
      <c r="D1616" s="180" t="s">
        <v>974</v>
      </c>
      <c r="E1616" s="180" t="s">
        <v>980</v>
      </c>
      <c r="F1616" s="672">
        <v>47663.92</v>
      </c>
      <c r="G1616" s="672">
        <v>-3721.1</v>
      </c>
      <c r="H1616" s="672">
        <v>-58793.919999999998</v>
      </c>
      <c r="I1616" s="672">
        <v>2101.88</v>
      </c>
      <c r="J1616" s="672">
        <v>25084.77</v>
      </c>
      <c r="K1616" s="672">
        <v>3414.38</v>
      </c>
      <c r="L1616" s="672">
        <v>79577.91</v>
      </c>
    </row>
    <row r="1617" spans="2:12">
      <c r="B1617" s="180" t="s">
        <v>1130</v>
      </c>
      <c r="C1617" s="180" t="s">
        <v>1131</v>
      </c>
      <c r="D1617" s="180" t="s">
        <v>974</v>
      </c>
      <c r="E1617" s="180" t="s">
        <v>975</v>
      </c>
      <c r="F1617" s="672">
        <v>138567.38</v>
      </c>
      <c r="G1617" s="672">
        <v>0</v>
      </c>
      <c r="H1617" s="672">
        <v>0</v>
      </c>
      <c r="I1617" s="672">
        <v>0</v>
      </c>
      <c r="J1617" s="672">
        <v>0</v>
      </c>
      <c r="K1617" s="672">
        <v>0</v>
      </c>
      <c r="L1617" s="672">
        <v>138567.38</v>
      </c>
    </row>
    <row r="1618" spans="2:12">
      <c r="B1618" s="180" t="s">
        <v>1481</v>
      </c>
      <c r="C1618" s="180" t="s">
        <v>992</v>
      </c>
      <c r="D1618" s="180" t="s">
        <v>993</v>
      </c>
      <c r="E1618" s="180" t="s">
        <v>990</v>
      </c>
      <c r="F1618" s="672">
        <v>-0.75</v>
      </c>
      <c r="G1618" s="672">
        <v>0</v>
      </c>
      <c r="H1618" s="672">
        <v>0</v>
      </c>
      <c r="I1618" s="672">
        <v>0</v>
      </c>
      <c r="J1618" s="672">
        <v>0</v>
      </c>
      <c r="K1618" s="672">
        <v>0</v>
      </c>
      <c r="L1618" s="672">
        <v>-0.75</v>
      </c>
    </row>
    <row r="1619" spans="2:12">
      <c r="B1619" s="180" t="s">
        <v>1136</v>
      </c>
      <c r="C1619" s="180" t="s">
        <v>1137</v>
      </c>
      <c r="D1619" s="180" t="s">
        <v>974</v>
      </c>
      <c r="E1619" s="180" t="s">
        <v>980</v>
      </c>
      <c r="F1619" s="672">
        <v>1333197.32</v>
      </c>
      <c r="G1619" s="672">
        <v>-531243.43999999994</v>
      </c>
      <c r="H1619" s="672">
        <v>838438.48</v>
      </c>
      <c r="I1619" s="672">
        <v>182069.15</v>
      </c>
      <c r="J1619" s="672">
        <v>241919.06</v>
      </c>
      <c r="K1619" s="672">
        <v>154891.01999999999</v>
      </c>
      <c r="L1619" s="672">
        <v>447123.05</v>
      </c>
    </row>
    <row r="1620" spans="2:12">
      <c r="B1620" s="180" t="s">
        <v>1958</v>
      </c>
      <c r="C1620" s="180" t="s">
        <v>1531</v>
      </c>
      <c r="D1620" s="180" t="s">
        <v>974</v>
      </c>
      <c r="E1620" s="180" t="s">
        <v>975</v>
      </c>
      <c r="F1620" s="672">
        <v>2747272.6</v>
      </c>
      <c r="G1620" s="672">
        <v>-1766.11</v>
      </c>
      <c r="H1620" s="672">
        <v>-877.85</v>
      </c>
      <c r="I1620" s="672">
        <v>-920.68</v>
      </c>
      <c r="J1620" s="672">
        <v>-948.34</v>
      </c>
      <c r="K1620" s="672">
        <v>1523878.44</v>
      </c>
      <c r="L1620" s="672">
        <v>1227907.1399999999</v>
      </c>
    </row>
    <row r="1621" spans="2:12">
      <c r="B1621" s="180" t="s">
        <v>1352</v>
      </c>
      <c r="C1621" s="180" t="s">
        <v>1220</v>
      </c>
      <c r="D1621" s="180" t="s">
        <v>974</v>
      </c>
      <c r="E1621" s="180" t="s">
        <v>980</v>
      </c>
      <c r="F1621" s="672">
        <v>1246727.31</v>
      </c>
      <c r="G1621" s="672">
        <v>-590907.32999999996</v>
      </c>
      <c r="H1621" s="672">
        <v>545923.36</v>
      </c>
      <c r="I1621" s="672">
        <v>477863.06</v>
      </c>
      <c r="J1621" s="672">
        <v>522935.05</v>
      </c>
      <c r="K1621" s="672">
        <v>-1266167.45</v>
      </c>
      <c r="L1621" s="672">
        <v>1557080.62</v>
      </c>
    </row>
    <row r="1622" spans="2:12">
      <c r="B1622" s="180" t="s">
        <v>1598</v>
      </c>
      <c r="C1622" s="180" t="s">
        <v>1036</v>
      </c>
      <c r="D1622" s="180" t="s">
        <v>993</v>
      </c>
      <c r="E1622" s="180" t="s">
        <v>990</v>
      </c>
      <c r="F1622" s="672">
        <v>0</v>
      </c>
      <c r="G1622" s="672">
        <v>0</v>
      </c>
      <c r="H1622" s="672">
        <v>0</v>
      </c>
      <c r="I1622" s="672">
        <v>0</v>
      </c>
      <c r="J1622" s="672">
        <v>0</v>
      </c>
      <c r="K1622" s="672">
        <v>0</v>
      </c>
      <c r="L1622" s="672">
        <v>0</v>
      </c>
    </row>
    <row r="1623" spans="2:12">
      <c r="B1623" s="180" t="s">
        <v>1761</v>
      </c>
      <c r="C1623" s="180" t="s">
        <v>1762</v>
      </c>
      <c r="D1623" s="180" t="s">
        <v>974</v>
      </c>
      <c r="E1623" s="180" t="s">
        <v>990</v>
      </c>
      <c r="F1623" s="672">
        <v>0</v>
      </c>
      <c r="G1623" s="672">
        <v>0</v>
      </c>
      <c r="H1623" s="672">
        <v>0</v>
      </c>
      <c r="I1623" s="672">
        <v>0</v>
      </c>
      <c r="J1623" s="672">
        <v>0</v>
      </c>
      <c r="K1623" s="672">
        <v>0</v>
      </c>
      <c r="L1623" s="672">
        <v>0</v>
      </c>
    </row>
    <row r="1624" spans="2:12">
      <c r="B1624" s="180" t="s">
        <v>1988</v>
      </c>
      <c r="C1624" s="180" t="s">
        <v>1989</v>
      </c>
      <c r="D1624" s="180" t="s">
        <v>974</v>
      </c>
      <c r="E1624" s="180" t="s">
        <v>980</v>
      </c>
      <c r="F1624" s="672">
        <v>2177191.71</v>
      </c>
      <c r="G1624" s="672">
        <v>50682.46</v>
      </c>
      <c r="H1624" s="672">
        <v>50743.76</v>
      </c>
      <c r="I1624" s="672">
        <v>50686.44</v>
      </c>
      <c r="J1624" s="672">
        <v>50773.83</v>
      </c>
      <c r="K1624" s="672">
        <v>398658.15</v>
      </c>
      <c r="L1624" s="672">
        <v>1575647.07</v>
      </c>
    </row>
    <row r="1625" spans="2:12">
      <c r="B1625" s="180" t="s">
        <v>1522</v>
      </c>
      <c r="C1625" s="180" t="s">
        <v>1523</v>
      </c>
      <c r="D1625" s="180" t="s">
        <v>974</v>
      </c>
      <c r="E1625" s="180" t="s">
        <v>980</v>
      </c>
      <c r="F1625" s="672">
        <v>-96965.45</v>
      </c>
      <c r="G1625" s="672">
        <v>-16542.09</v>
      </c>
      <c r="H1625" s="672">
        <v>13752.97</v>
      </c>
      <c r="I1625" s="672">
        <v>13665.67</v>
      </c>
      <c r="J1625" s="672">
        <v>-25801.69</v>
      </c>
      <c r="K1625" s="672">
        <v>105446.62</v>
      </c>
      <c r="L1625" s="672">
        <v>-187486.93</v>
      </c>
    </row>
    <row r="1626" spans="2:12">
      <c r="B1626" s="180" t="s">
        <v>1827</v>
      </c>
      <c r="C1626" s="180" t="s">
        <v>1828</v>
      </c>
      <c r="D1626" s="180" t="s">
        <v>974</v>
      </c>
      <c r="E1626" s="180" t="s">
        <v>1075</v>
      </c>
      <c r="F1626" s="672">
        <v>0</v>
      </c>
      <c r="G1626" s="672">
        <v>0</v>
      </c>
      <c r="H1626" s="672">
        <v>0</v>
      </c>
      <c r="I1626" s="672">
        <v>0</v>
      </c>
      <c r="J1626" s="672">
        <v>0</v>
      </c>
      <c r="K1626" s="672">
        <v>0</v>
      </c>
      <c r="L1626" s="672">
        <v>0</v>
      </c>
    </row>
    <row r="1627" spans="2:12">
      <c r="B1627" s="180" t="s">
        <v>1417</v>
      </c>
      <c r="C1627" s="180" t="s">
        <v>1418</v>
      </c>
      <c r="D1627" s="180" t="s">
        <v>974</v>
      </c>
      <c r="E1627" s="180" t="s">
        <v>975</v>
      </c>
      <c r="F1627" s="672">
        <v>75583.25</v>
      </c>
      <c r="G1627" s="672">
        <v>0</v>
      </c>
      <c r="H1627" s="672">
        <v>0</v>
      </c>
      <c r="I1627" s="672">
        <v>0</v>
      </c>
      <c r="J1627" s="672">
        <v>0</v>
      </c>
      <c r="K1627" s="672">
        <v>-3781</v>
      </c>
      <c r="L1627" s="672">
        <v>79364.25</v>
      </c>
    </row>
    <row r="1628" spans="2:12">
      <c r="B1628" s="180" t="s">
        <v>1070</v>
      </c>
      <c r="C1628" s="180" t="s">
        <v>1005</v>
      </c>
      <c r="D1628" s="180" t="s">
        <v>993</v>
      </c>
      <c r="E1628" s="180" t="s">
        <v>990</v>
      </c>
      <c r="F1628" s="672">
        <v>-110.58</v>
      </c>
      <c r="G1628" s="672">
        <v>0</v>
      </c>
      <c r="H1628" s="672">
        <v>0</v>
      </c>
      <c r="I1628" s="672">
        <v>0</v>
      </c>
      <c r="J1628" s="672">
        <v>0</v>
      </c>
      <c r="K1628" s="672">
        <v>0</v>
      </c>
      <c r="L1628" s="672">
        <v>-110.58</v>
      </c>
    </row>
    <row r="1629" spans="2:12">
      <c r="B1629" s="180" t="s">
        <v>1344</v>
      </c>
      <c r="C1629" s="180" t="s">
        <v>1345</v>
      </c>
      <c r="D1629" s="180" t="s">
        <v>974</v>
      </c>
      <c r="E1629" s="180" t="s">
        <v>975</v>
      </c>
      <c r="F1629" s="672">
        <v>338.8</v>
      </c>
      <c r="G1629" s="672">
        <v>0</v>
      </c>
      <c r="H1629" s="672">
        <v>0</v>
      </c>
      <c r="I1629" s="672">
        <v>0</v>
      </c>
      <c r="J1629" s="672">
        <v>0</v>
      </c>
      <c r="K1629" s="672">
        <v>0</v>
      </c>
      <c r="L1629" s="672">
        <v>338.8</v>
      </c>
    </row>
    <row r="1630" spans="2:12">
      <c r="B1630" s="180" t="s">
        <v>2061</v>
      </c>
      <c r="C1630" s="180" t="s">
        <v>1094</v>
      </c>
      <c r="D1630" s="180" t="s">
        <v>974</v>
      </c>
      <c r="E1630" s="180" t="s">
        <v>980</v>
      </c>
      <c r="F1630" s="672">
        <v>1894527.6</v>
      </c>
      <c r="G1630" s="672">
        <v>-39257.56</v>
      </c>
      <c r="H1630" s="672">
        <v>607019.75</v>
      </c>
      <c r="I1630" s="672">
        <v>126875.88</v>
      </c>
      <c r="J1630" s="672">
        <v>-23393.42</v>
      </c>
      <c r="K1630" s="672">
        <v>588302.02</v>
      </c>
      <c r="L1630" s="672">
        <v>634980.93000000005</v>
      </c>
    </row>
    <row r="1631" spans="2:12">
      <c r="B1631" s="180" t="s">
        <v>1908</v>
      </c>
      <c r="C1631" s="180" t="s">
        <v>1909</v>
      </c>
      <c r="D1631" s="180" t="s">
        <v>974</v>
      </c>
      <c r="E1631" s="180" t="s">
        <v>980</v>
      </c>
      <c r="F1631" s="672">
        <v>-188369.95</v>
      </c>
      <c r="G1631" s="672">
        <v>0</v>
      </c>
      <c r="H1631" s="672">
        <v>10375.98</v>
      </c>
      <c r="I1631" s="672">
        <v>-19717</v>
      </c>
      <c r="J1631" s="672">
        <v>-1667.68</v>
      </c>
      <c r="K1631" s="672">
        <v>2345.87</v>
      </c>
      <c r="L1631" s="672">
        <v>-179707.12</v>
      </c>
    </row>
    <row r="1632" spans="2:12">
      <c r="B1632" s="180" t="s">
        <v>1485</v>
      </c>
      <c r="C1632" s="180" t="s">
        <v>1486</v>
      </c>
      <c r="D1632" s="180" t="s">
        <v>974</v>
      </c>
      <c r="E1632" s="180" t="s">
        <v>975</v>
      </c>
      <c r="F1632" s="672">
        <v>-5.67</v>
      </c>
      <c r="G1632" s="672">
        <v>0</v>
      </c>
      <c r="H1632" s="672">
        <v>0</v>
      </c>
      <c r="I1632" s="672">
        <v>0</v>
      </c>
      <c r="J1632" s="672">
        <v>0</v>
      </c>
      <c r="K1632" s="672">
        <v>-5.67</v>
      </c>
      <c r="L1632" s="672">
        <v>0</v>
      </c>
    </row>
    <row r="1633" spans="2:12">
      <c r="B1633" s="180" t="s">
        <v>1903</v>
      </c>
      <c r="C1633" s="180" t="s">
        <v>1904</v>
      </c>
      <c r="D1633" s="180" t="s">
        <v>974</v>
      </c>
      <c r="E1633" s="180" t="s">
        <v>1075</v>
      </c>
      <c r="F1633" s="672">
        <v>0</v>
      </c>
      <c r="G1633" s="672">
        <v>0</v>
      </c>
      <c r="H1633" s="672">
        <v>0</v>
      </c>
      <c r="I1633" s="672">
        <v>0</v>
      </c>
      <c r="J1633" s="672">
        <v>0</v>
      </c>
      <c r="K1633" s="672">
        <v>0</v>
      </c>
      <c r="L1633" s="672">
        <v>0</v>
      </c>
    </row>
    <row r="1634" spans="2:12">
      <c r="B1634" s="180" t="s">
        <v>1192</v>
      </c>
      <c r="C1634" s="180" t="s">
        <v>1193</v>
      </c>
      <c r="D1634" s="180" t="s">
        <v>974</v>
      </c>
      <c r="E1634" s="180" t="s">
        <v>983</v>
      </c>
      <c r="F1634" s="672">
        <v>342.96</v>
      </c>
      <c r="G1634" s="672">
        <v>118.62</v>
      </c>
      <c r="H1634" s="672">
        <v>224.34</v>
      </c>
      <c r="I1634" s="672">
        <v>0</v>
      </c>
      <c r="J1634" s="672">
        <v>0</v>
      </c>
      <c r="K1634" s="672">
        <v>0</v>
      </c>
      <c r="L1634" s="672">
        <v>0</v>
      </c>
    </row>
    <row r="1635" spans="2:12">
      <c r="B1635" s="180" t="s">
        <v>2043</v>
      </c>
      <c r="C1635" s="180" t="s">
        <v>982</v>
      </c>
      <c r="D1635" s="180" t="s">
        <v>974</v>
      </c>
      <c r="E1635" s="180" t="s">
        <v>980</v>
      </c>
      <c r="F1635" s="672">
        <v>13811.09</v>
      </c>
      <c r="G1635" s="672">
        <v>-1168.44</v>
      </c>
      <c r="H1635" s="672">
        <v>887.76</v>
      </c>
      <c r="I1635" s="672">
        <v>-932.04</v>
      </c>
      <c r="J1635" s="672">
        <v>1301.43</v>
      </c>
      <c r="K1635" s="672">
        <v>-2915.82</v>
      </c>
      <c r="L1635" s="672">
        <v>16638.2</v>
      </c>
    </row>
    <row r="1636" spans="2:12">
      <c r="B1636" s="180" t="s">
        <v>1971</v>
      </c>
      <c r="C1636" s="180" t="s">
        <v>1972</v>
      </c>
      <c r="D1636" s="180" t="s">
        <v>974</v>
      </c>
      <c r="E1636" s="180" t="s">
        <v>990</v>
      </c>
      <c r="F1636" s="672">
        <v>0</v>
      </c>
      <c r="G1636" s="672">
        <v>0</v>
      </c>
      <c r="H1636" s="672">
        <v>0</v>
      </c>
      <c r="I1636" s="672">
        <v>0</v>
      </c>
      <c r="J1636" s="672">
        <v>0</v>
      </c>
      <c r="K1636" s="672">
        <v>0</v>
      </c>
      <c r="L1636" s="672">
        <v>0</v>
      </c>
    </row>
    <row r="1637" spans="2:12">
      <c r="B1637" s="180" t="s">
        <v>2062</v>
      </c>
      <c r="C1637" s="180" t="s">
        <v>2063</v>
      </c>
      <c r="D1637" s="180" t="s">
        <v>974</v>
      </c>
      <c r="E1637" s="180" t="s">
        <v>990</v>
      </c>
      <c r="F1637" s="672">
        <v>0</v>
      </c>
      <c r="G1637" s="672">
        <v>0</v>
      </c>
      <c r="H1637" s="672">
        <v>0</v>
      </c>
      <c r="I1637" s="672">
        <v>0</v>
      </c>
      <c r="J1637" s="672">
        <v>0</v>
      </c>
      <c r="K1637" s="672">
        <v>0</v>
      </c>
      <c r="L1637" s="672">
        <v>0</v>
      </c>
    </row>
    <row r="1638" spans="2:12">
      <c r="B1638" s="180" t="s">
        <v>1938</v>
      </c>
      <c r="C1638" s="180" t="s">
        <v>1032</v>
      </c>
      <c r="D1638" s="180" t="s">
        <v>974</v>
      </c>
      <c r="E1638" s="180" t="s">
        <v>980</v>
      </c>
      <c r="F1638" s="672">
        <v>594925.61</v>
      </c>
      <c r="G1638" s="672">
        <v>221025.39</v>
      </c>
      <c r="H1638" s="672">
        <v>202066.35</v>
      </c>
      <c r="I1638" s="672">
        <v>-428962.98</v>
      </c>
      <c r="J1638" s="672">
        <v>240143.98</v>
      </c>
      <c r="K1638" s="672">
        <v>377514.68</v>
      </c>
      <c r="L1638" s="672">
        <v>-16861.810000000001</v>
      </c>
    </row>
    <row r="1639" spans="2:12">
      <c r="B1639" s="180" t="s">
        <v>1793</v>
      </c>
      <c r="C1639" s="180" t="s">
        <v>1707</v>
      </c>
      <c r="D1639" s="180" t="s">
        <v>993</v>
      </c>
      <c r="E1639" s="180" t="s">
        <v>990</v>
      </c>
      <c r="F1639" s="672">
        <v>0</v>
      </c>
      <c r="G1639" s="672">
        <v>0</v>
      </c>
      <c r="H1639" s="672">
        <v>0</v>
      </c>
      <c r="I1639" s="672">
        <v>0</v>
      </c>
      <c r="J1639" s="672">
        <v>0</v>
      </c>
      <c r="K1639" s="672">
        <v>0</v>
      </c>
      <c r="L1639" s="672">
        <v>0</v>
      </c>
    </row>
    <row r="1640" spans="2:12">
      <c r="B1640" s="180" t="s">
        <v>2052</v>
      </c>
      <c r="C1640" s="180" t="s">
        <v>2053</v>
      </c>
      <c r="D1640" s="180" t="s">
        <v>974</v>
      </c>
      <c r="E1640" s="180" t="s">
        <v>990</v>
      </c>
      <c r="F1640" s="672">
        <v>0</v>
      </c>
      <c r="G1640" s="672">
        <v>0</v>
      </c>
      <c r="H1640" s="672">
        <v>0</v>
      </c>
      <c r="I1640" s="672">
        <v>0</v>
      </c>
      <c r="J1640" s="672">
        <v>0</v>
      </c>
      <c r="K1640" s="672">
        <v>0</v>
      </c>
      <c r="L1640" s="672">
        <v>0</v>
      </c>
    </row>
    <row r="1641" spans="2:12">
      <c r="B1641" s="180" t="s">
        <v>1053</v>
      </c>
      <c r="C1641" s="180" t="s">
        <v>1054</v>
      </c>
      <c r="D1641" s="180" t="s">
        <v>974</v>
      </c>
      <c r="E1641" s="180" t="s">
        <v>1363</v>
      </c>
      <c r="F1641" s="672">
        <v>417000.08</v>
      </c>
      <c r="G1641" s="672">
        <v>0</v>
      </c>
      <c r="H1641" s="672">
        <v>-39645.24</v>
      </c>
      <c r="I1641" s="672">
        <v>0</v>
      </c>
      <c r="J1641" s="672">
        <v>-18501.11</v>
      </c>
      <c r="K1641" s="672">
        <v>475146.43</v>
      </c>
      <c r="L1641" s="672">
        <v>0</v>
      </c>
    </row>
    <row r="1642" spans="2:12">
      <c r="B1642" s="180" t="s">
        <v>1565</v>
      </c>
      <c r="C1642" s="180" t="s">
        <v>1566</v>
      </c>
      <c r="D1642" s="180" t="s">
        <v>993</v>
      </c>
      <c r="E1642" s="180" t="s">
        <v>1075</v>
      </c>
      <c r="F1642" s="672">
        <v>0</v>
      </c>
      <c r="G1642" s="672">
        <v>0</v>
      </c>
      <c r="H1642" s="672">
        <v>0</v>
      </c>
      <c r="I1642" s="672">
        <v>0</v>
      </c>
      <c r="J1642" s="672">
        <v>0</v>
      </c>
      <c r="K1642" s="672">
        <v>0</v>
      </c>
      <c r="L1642" s="672">
        <v>0</v>
      </c>
    </row>
    <row r="1643" spans="2:12">
      <c r="B1643" s="180" t="s">
        <v>1854</v>
      </c>
      <c r="C1643" s="180" t="s">
        <v>1855</v>
      </c>
      <c r="D1643" s="180" t="s">
        <v>974</v>
      </c>
      <c r="E1643" s="180" t="s">
        <v>980</v>
      </c>
      <c r="F1643" s="672">
        <v>4245487.71</v>
      </c>
      <c r="G1643" s="672">
        <v>94828.18</v>
      </c>
      <c r="H1643" s="672">
        <v>104232.31</v>
      </c>
      <c r="I1643" s="672">
        <v>104649.54</v>
      </c>
      <c r="J1643" s="672">
        <v>95253.23</v>
      </c>
      <c r="K1643" s="672">
        <v>736565.78</v>
      </c>
      <c r="L1643" s="672">
        <v>3109958.67</v>
      </c>
    </row>
    <row r="1644" spans="2:12">
      <c r="B1644" s="180" t="s">
        <v>1282</v>
      </c>
      <c r="C1644" s="180" t="s">
        <v>1062</v>
      </c>
      <c r="D1644" s="180" t="s">
        <v>993</v>
      </c>
      <c r="E1644" s="180" t="s">
        <v>975</v>
      </c>
      <c r="F1644" s="672">
        <v>-473.5</v>
      </c>
      <c r="G1644" s="672">
        <v>0</v>
      </c>
      <c r="H1644" s="672">
        <v>0</v>
      </c>
      <c r="I1644" s="672">
        <v>0</v>
      </c>
      <c r="J1644" s="672">
        <v>0</v>
      </c>
      <c r="K1644" s="672">
        <v>0</v>
      </c>
      <c r="L1644" s="672">
        <v>-473.5</v>
      </c>
    </row>
    <row r="1645" spans="2:12">
      <c r="B1645" s="180" t="s">
        <v>1794</v>
      </c>
      <c r="C1645" s="180" t="s">
        <v>995</v>
      </c>
      <c r="D1645" s="180" t="s">
        <v>993</v>
      </c>
      <c r="E1645" s="180" t="s">
        <v>1018</v>
      </c>
      <c r="F1645" s="672">
        <v>0</v>
      </c>
      <c r="G1645" s="672">
        <v>0</v>
      </c>
      <c r="H1645" s="672">
        <v>0</v>
      </c>
      <c r="I1645" s="672">
        <v>0</v>
      </c>
      <c r="J1645" s="672">
        <v>0</v>
      </c>
      <c r="K1645" s="672">
        <v>0</v>
      </c>
      <c r="L1645" s="672">
        <v>0</v>
      </c>
    </row>
    <row r="1646" spans="2:12">
      <c r="B1646" s="180" t="s">
        <v>1892</v>
      </c>
      <c r="C1646" s="180" t="s">
        <v>1367</v>
      </c>
      <c r="D1646" s="180" t="s">
        <v>993</v>
      </c>
      <c r="E1646" s="180" t="s">
        <v>975</v>
      </c>
      <c r="F1646" s="672">
        <v>-123578.17</v>
      </c>
      <c r="G1646" s="672">
        <v>0</v>
      </c>
      <c r="H1646" s="672">
        <v>0</v>
      </c>
      <c r="I1646" s="672">
        <v>0</v>
      </c>
      <c r="J1646" s="672">
        <v>0</v>
      </c>
      <c r="K1646" s="672">
        <v>0</v>
      </c>
      <c r="L1646" s="672">
        <v>-123578.17</v>
      </c>
    </row>
    <row r="1647" spans="2:12">
      <c r="B1647" s="180" t="s">
        <v>1020</v>
      </c>
      <c r="C1647" s="180" t="s">
        <v>1021</v>
      </c>
      <c r="D1647" s="180" t="s">
        <v>993</v>
      </c>
      <c r="E1647" s="180" t="s">
        <v>980</v>
      </c>
      <c r="F1647" s="672">
        <v>1596133.42</v>
      </c>
      <c r="G1647" s="672">
        <v>25679.75</v>
      </c>
      <c r="H1647" s="672">
        <v>29370.880000000001</v>
      </c>
      <c r="I1647" s="672">
        <v>27720.47</v>
      </c>
      <c r="J1647" s="672">
        <v>40934.910000000003</v>
      </c>
      <c r="K1647" s="672">
        <v>298754.31</v>
      </c>
      <c r="L1647" s="672">
        <v>1173673.1000000001</v>
      </c>
    </row>
    <row r="1648" spans="2:12">
      <c r="B1648" s="180" t="s">
        <v>2034</v>
      </c>
      <c r="C1648" s="180" t="s">
        <v>1281</v>
      </c>
      <c r="D1648" s="180" t="s">
        <v>993</v>
      </c>
      <c r="E1648" s="180" t="s">
        <v>990</v>
      </c>
      <c r="F1648" s="672">
        <v>0</v>
      </c>
      <c r="G1648" s="672">
        <v>0</v>
      </c>
      <c r="H1648" s="672">
        <v>0</v>
      </c>
      <c r="I1648" s="672">
        <v>0</v>
      </c>
      <c r="J1648" s="672">
        <v>0</v>
      </c>
      <c r="K1648" s="672">
        <v>0</v>
      </c>
      <c r="L1648" s="672">
        <v>0</v>
      </c>
    </row>
    <row r="1649" spans="2:12">
      <c r="B1649" s="180" t="s">
        <v>1594</v>
      </c>
      <c r="C1649" s="180" t="s">
        <v>1595</v>
      </c>
      <c r="D1649" s="180" t="s">
        <v>974</v>
      </c>
      <c r="E1649" s="180" t="s">
        <v>980</v>
      </c>
      <c r="F1649" s="672">
        <v>-1107066.78</v>
      </c>
      <c r="G1649" s="672">
        <v>-10468.83</v>
      </c>
      <c r="H1649" s="672">
        <v>5072.8500000000004</v>
      </c>
      <c r="I1649" s="672">
        <v>-69969.279999999999</v>
      </c>
      <c r="J1649" s="672">
        <v>-906.22</v>
      </c>
      <c r="K1649" s="672">
        <v>64511.09</v>
      </c>
      <c r="L1649" s="672">
        <v>-1095306.3899999999</v>
      </c>
    </row>
    <row r="1650" spans="2:12">
      <c r="B1650" s="180" t="s">
        <v>1141</v>
      </c>
      <c r="C1650" s="180" t="s">
        <v>1142</v>
      </c>
      <c r="D1650" s="180" t="s">
        <v>974</v>
      </c>
      <c r="E1650" s="180" t="s">
        <v>980</v>
      </c>
      <c r="F1650" s="672">
        <v>198.36</v>
      </c>
      <c r="G1650" s="672">
        <v>-113.12</v>
      </c>
      <c r="H1650" s="672">
        <v>-50.88</v>
      </c>
      <c r="I1650" s="672">
        <v>6.09</v>
      </c>
      <c r="J1650" s="672">
        <v>-643.61</v>
      </c>
      <c r="K1650" s="672">
        <v>1025.43</v>
      </c>
      <c r="L1650" s="672">
        <v>-25.55</v>
      </c>
    </row>
    <row r="1651" spans="2:12">
      <c r="B1651" s="180" t="s">
        <v>2010</v>
      </c>
      <c r="C1651" s="180" t="s">
        <v>2011</v>
      </c>
      <c r="D1651" s="180" t="s">
        <v>974</v>
      </c>
      <c r="E1651" s="180" t="s">
        <v>975</v>
      </c>
      <c r="F1651" s="672">
        <v>-7510</v>
      </c>
      <c r="G1651" s="672">
        <v>0</v>
      </c>
      <c r="H1651" s="672">
        <v>0</v>
      </c>
      <c r="I1651" s="672">
        <v>0</v>
      </c>
      <c r="J1651" s="672">
        <v>0</v>
      </c>
      <c r="K1651" s="672">
        <v>0</v>
      </c>
      <c r="L1651" s="672">
        <v>-7510</v>
      </c>
    </row>
    <row r="1652" spans="2:12">
      <c r="B1652" s="180" t="s">
        <v>1856</v>
      </c>
      <c r="C1652" s="180" t="s">
        <v>1857</v>
      </c>
      <c r="D1652" s="180" t="s">
        <v>974</v>
      </c>
      <c r="E1652" s="180" t="s">
        <v>980</v>
      </c>
      <c r="F1652" s="672">
        <v>2631.73</v>
      </c>
      <c r="G1652" s="672">
        <v>-435.28</v>
      </c>
      <c r="H1652" s="672">
        <v>-258.82</v>
      </c>
      <c r="I1652" s="672">
        <v>46.64</v>
      </c>
      <c r="J1652" s="672">
        <v>-1381.66</v>
      </c>
      <c r="K1652" s="672">
        <v>2244.48</v>
      </c>
      <c r="L1652" s="672">
        <v>2416.37</v>
      </c>
    </row>
    <row r="1653" spans="2:12">
      <c r="B1653" s="180" t="s">
        <v>1635</v>
      </c>
      <c r="C1653" s="180" t="s">
        <v>1636</v>
      </c>
      <c r="D1653" s="180" t="s">
        <v>974</v>
      </c>
      <c r="E1653" s="180" t="s">
        <v>980</v>
      </c>
      <c r="F1653" s="672">
        <v>29459.51</v>
      </c>
      <c r="G1653" s="672">
        <v>-5721.81</v>
      </c>
      <c r="H1653" s="672">
        <v>3914.54</v>
      </c>
      <c r="I1653" s="672">
        <v>1198.78</v>
      </c>
      <c r="J1653" s="672">
        <v>-5019.47</v>
      </c>
      <c r="K1653" s="672">
        <v>226807.85</v>
      </c>
      <c r="L1653" s="672">
        <v>-191720.38</v>
      </c>
    </row>
    <row r="1654" spans="2:12">
      <c r="B1654" s="180" t="s">
        <v>1690</v>
      </c>
      <c r="C1654" s="180" t="s">
        <v>1691</v>
      </c>
      <c r="D1654" s="180" t="s">
        <v>974</v>
      </c>
      <c r="E1654" s="180" t="s">
        <v>975</v>
      </c>
      <c r="F1654" s="672">
        <v>5572.05</v>
      </c>
      <c r="G1654" s="672">
        <v>0</v>
      </c>
      <c r="H1654" s="672">
        <v>0</v>
      </c>
      <c r="I1654" s="672">
        <v>0</v>
      </c>
      <c r="J1654" s="672">
        <v>0</v>
      </c>
      <c r="K1654" s="672">
        <v>-269.76</v>
      </c>
      <c r="L1654" s="672">
        <v>5841.81</v>
      </c>
    </row>
    <row r="1655" spans="2:12">
      <c r="B1655" s="180" t="s">
        <v>1719</v>
      </c>
      <c r="C1655" s="180" t="s">
        <v>1199</v>
      </c>
      <c r="D1655" s="180" t="s">
        <v>993</v>
      </c>
      <c r="E1655" s="180" t="s">
        <v>990</v>
      </c>
      <c r="F1655" s="672">
        <v>0</v>
      </c>
      <c r="G1655" s="672">
        <v>0</v>
      </c>
      <c r="H1655" s="672">
        <v>0</v>
      </c>
      <c r="I1655" s="672">
        <v>0</v>
      </c>
      <c r="J1655" s="672">
        <v>0</v>
      </c>
      <c r="K1655" s="672">
        <v>0</v>
      </c>
      <c r="L1655" s="672">
        <v>0</v>
      </c>
    </row>
    <row r="1656" spans="2:12">
      <c r="B1656" s="180" t="s">
        <v>1296</v>
      </c>
      <c r="C1656" s="180" t="s">
        <v>1021</v>
      </c>
      <c r="D1656" s="180" t="s">
        <v>993</v>
      </c>
      <c r="E1656" s="180" t="s">
        <v>1078</v>
      </c>
      <c r="F1656" s="672">
        <v>-2356</v>
      </c>
      <c r="G1656" s="672">
        <v>-2356</v>
      </c>
      <c r="H1656" s="672">
        <v>0</v>
      </c>
      <c r="I1656" s="672">
        <v>0</v>
      </c>
      <c r="J1656" s="672">
        <v>0</v>
      </c>
      <c r="K1656" s="672">
        <v>0</v>
      </c>
      <c r="L1656" s="672">
        <v>0</v>
      </c>
    </row>
    <row r="1657" spans="2:12">
      <c r="B1657" s="180" t="s">
        <v>2031</v>
      </c>
      <c r="C1657" s="180" t="s">
        <v>1123</v>
      </c>
      <c r="D1657" s="180" t="s">
        <v>993</v>
      </c>
      <c r="E1657" s="180" t="s">
        <v>990</v>
      </c>
      <c r="F1657" s="672">
        <v>0</v>
      </c>
      <c r="G1657" s="672">
        <v>0</v>
      </c>
      <c r="H1657" s="672">
        <v>0</v>
      </c>
      <c r="I1657" s="672">
        <v>0</v>
      </c>
      <c r="J1657" s="672">
        <v>0</v>
      </c>
      <c r="K1657" s="672">
        <v>0</v>
      </c>
      <c r="L1657" s="672">
        <v>0</v>
      </c>
    </row>
    <row r="1658" spans="2:12">
      <c r="B1658" s="180" t="s">
        <v>1016</v>
      </c>
      <c r="C1658" s="180" t="s">
        <v>1017</v>
      </c>
      <c r="D1658" s="180" t="s">
        <v>974</v>
      </c>
      <c r="E1658" s="180" t="s">
        <v>975</v>
      </c>
      <c r="F1658" s="672">
        <v>830262</v>
      </c>
      <c r="G1658" s="672">
        <v>0</v>
      </c>
      <c r="H1658" s="672">
        <v>0</v>
      </c>
      <c r="I1658" s="672">
        <v>0</v>
      </c>
      <c r="J1658" s="672">
        <v>0</v>
      </c>
      <c r="K1658" s="672">
        <v>4104.34</v>
      </c>
      <c r="L1658" s="672">
        <v>826157.66</v>
      </c>
    </row>
    <row r="1659" spans="2:12">
      <c r="B1659" s="180" t="s">
        <v>1605</v>
      </c>
      <c r="C1659" s="180" t="s">
        <v>1439</v>
      </c>
      <c r="D1659" s="180" t="s">
        <v>993</v>
      </c>
      <c r="E1659" s="180" t="s">
        <v>980</v>
      </c>
      <c r="F1659" s="672">
        <v>369798.9</v>
      </c>
      <c r="G1659" s="672">
        <v>9282.4</v>
      </c>
      <c r="H1659" s="672">
        <v>8858.2099999999991</v>
      </c>
      <c r="I1659" s="672">
        <v>5427.74</v>
      </c>
      <c r="J1659" s="672">
        <v>7726.16</v>
      </c>
      <c r="K1659" s="672">
        <v>62070.46</v>
      </c>
      <c r="L1659" s="672">
        <v>276433.93</v>
      </c>
    </row>
    <row r="1660" spans="2:12">
      <c r="B1660" s="180" t="s">
        <v>1588</v>
      </c>
      <c r="C1660" s="180" t="s">
        <v>1589</v>
      </c>
      <c r="D1660" s="180" t="s">
        <v>974</v>
      </c>
      <c r="E1660" s="180" t="s">
        <v>990</v>
      </c>
      <c r="F1660" s="672">
        <v>0</v>
      </c>
      <c r="G1660" s="672">
        <v>0</v>
      </c>
      <c r="H1660" s="672">
        <v>0</v>
      </c>
      <c r="I1660" s="672">
        <v>0</v>
      </c>
      <c r="J1660" s="672">
        <v>0</v>
      </c>
      <c r="K1660" s="672">
        <v>0</v>
      </c>
      <c r="L1660" s="672">
        <v>0</v>
      </c>
    </row>
    <row r="1661" spans="2:12">
      <c r="B1661" s="180" t="s">
        <v>1655</v>
      </c>
      <c r="C1661" s="180" t="s">
        <v>1656</v>
      </c>
      <c r="D1661" s="180" t="s">
        <v>974</v>
      </c>
      <c r="E1661" s="180" t="s">
        <v>980</v>
      </c>
      <c r="F1661" s="672">
        <v>751582.66</v>
      </c>
      <c r="G1661" s="672">
        <v>-313495.33</v>
      </c>
      <c r="H1661" s="672">
        <v>189678.22</v>
      </c>
      <c r="I1661" s="672">
        <v>42051.360000000001</v>
      </c>
      <c r="J1661" s="672">
        <v>-607555.74</v>
      </c>
      <c r="K1661" s="672">
        <v>163345.60000000001</v>
      </c>
      <c r="L1661" s="672">
        <v>1277558.55</v>
      </c>
    </row>
    <row r="1662" spans="2:12">
      <c r="B1662" s="180" t="s">
        <v>1465</v>
      </c>
      <c r="C1662" s="180" t="s">
        <v>1115</v>
      </c>
      <c r="D1662" s="180" t="s">
        <v>974</v>
      </c>
      <c r="E1662" s="180" t="s">
        <v>990</v>
      </c>
      <c r="F1662" s="672">
        <v>0</v>
      </c>
      <c r="G1662" s="672">
        <v>0</v>
      </c>
      <c r="H1662" s="672">
        <v>0</v>
      </c>
      <c r="I1662" s="672">
        <v>0</v>
      </c>
      <c r="J1662" s="672">
        <v>0</v>
      </c>
      <c r="K1662" s="672">
        <v>0</v>
      </c>
      <c r="L1662" s="672">
        <v>0</v>
      </c>
    </row>
    <row r="1663" spans="2:12">
      <c r="B1663" s="180" t="s">
        <v>1554</v>
      </c>
      <c r="C1663" s="180" t="s">
        <v>1115</v>
      </c>
      <c r="D1663" s="180" t="s">
        <v>974</v>
      </c>
      <c r="E1663" s="180" t="s">
        <v>990</v>
      </c>
      <c r="F1663" s="672">
        <v>0</v>
      </c>
      <c r="G1663" s="672">
        <v>0</v>
      </c>
      <c r="H1663" s="672">
        <v>0</v>
      </c>
      <c r="I1663" s="672">
        <v>0</v>
      </c>
      <c r="J1663" s="672">
        <v>0</v>
      </c>
      <c r="K1663" s="672">
        <v>0</v>
      </c>
      <c r="L1663" s="672">
        <v>0</v>
      </c>
    </row>
    <row r="1664" spans="2:12">
      <c r="B1664" s="180" t="s">
        <v>1327</v>
      </c>
      <c r="C1664" s="180" t="s">
        <v>1269</v>
      </c>
      <c r="D1664" s="180" t="s">
        <v>974</v>
      </c>
      <c r="E1664" s="180" t="s">
        <v>975</v>
      </c>
      <c r="F1664" s="672">
        <v>857240.14</v>
      </c>
      <c r="G1664" s="672">
        <v>0</v>
      </c>
      <c r="H1664" s="672">
        <v>0</v>
      </c>
      <c r="I1664" s="672">
        <v>0</v>
      </c>
      <c r="J1664" s="672">
        <v>0</v>
      </c>
      <c r="K1664" s="672">
        <v>0</v>
      </c>
      <c r="L1664" s="672">
        <v>857240.14</v>
      </c>
    </row>
    <row r="1665" spans="2:12">
      <c r="B1665" s="180" t="s">
        <v>1308</v>
      </c>
      <c r="C1665" s="180" t="s">
        <v>1309</v>
      </c>
      <c r="D1665" s="180" t="s">
        <v>993</v>
      </c>
      <c r="E1665" s="180" t="s">
        <v>980</v>
      </c>
      <c r="F1665" s="672">
        <v>110325.32</v>
      </c>
      <c r="G1665" s="672">
        <v>2520.61</v>
      </c>
      <c r="H1665" s="672">
        <v>2764.43</v>
      </c>
      <c r="I1665" s="672">
        <v>2479.63</v>
      </c>
      <c r="J1665" s="672">
        <v>2254.79</v>
      </c>
      <c r="K1665" s="672">
        <v>21057.59</v>
      </c>
      <c r="L1665" s="672">
        <v>79248.27</v>
      </c>
    </row>
    <row r="1666" spans="2:12">
      <c r="B1666" s="180" t="s">
        <v>2009</v>
      </c>
      <c r="C1666" s="180" t="s">
        <v>1502</v>
      </c>
      <c r="D1666" s="180" t="s">
        <v>993</v>
      </c>
      <c r="E1666" s="180" t="s">
        <v>1078</v>
      </c>
      <c r="F1666" s="672">
        <v>690</v>
      </c>
      <c r="G1666" s="672">
        <v>0</v>
      </c>
      <c r="H1666" s="672">
        <v>0</v>
      </c>
      <c r="I1666" s="672">
        <v>0</v>
      </c>
      <c r="J1666" s="672">
        <v>0</v>
      </c>
      <c r="K1666" s="672">
        <v>0</v>
      </c>
      <c r="L1666" s="672">
        <v>690</v>
      </c>
    </row>
    <row r="1667" spans="2:12">
      <c r="B1667" s="180" t="s">
        <v>1829</v>
      </c>
      <c r="C1667" s="180" t="s">
        <v>1369</v>
      </c>
      <c r="D1667" s="180" t="s">
        <v>993</v>
      </c>
      <c r="E1667" s="180" t="s">
        <v>1075</v>
      </c>
      <c r="F1667" s="672">
        <v>0</v>
      </c>
      <c r="G1667" s="672">
        <v>0</v>
      </c>
      <c r="H1667" s="672">
        <v>0</v>
      </c>
      <c r="I1667" s="672">
        <v>0</v>
      </c>
      <c r="J1667" s="672">
        <v>0</v>
      </c>
      <c r="K1667" s="672">
        <v>0</v>
      </c>
      <c r="L1667" s="672">
        <v>0</v>
      </c>
    </row>
    <row r="1668" spans="2:12">
      <c r="B1668" s="180" t="s">
        <v>1795</v>
      </c>
      <c r="C1668" s="180" t="s">
        <v>1796</v>
      </c>
      <c r="D1668" s="180" t="s">
        <v>974</v>
      </c>
      <c r="E1668" s="180" t="s">
        <v>983</v>
      </c>
      <c r="F1668" s="672">
        <v>168459.35</v>
      </c>
      <c r="G1668" s="672">
        <v>3740.76</v>
      </c>
      <c r="H1668" s="672">
        <v>3834.75</v>
      </c>
      <c r="I1668" s="672">
        <v>3588.91</v>
      </c>
      <c r="J1668" s="672">
        <v>3968</v>
      </c>
      <c r="K1668" s="672">
        <v>30381.09</v>
      </c>
      <c r="L1668" s="672">
        <v>122945.84</v>
      </c>
    </row>
    <row r="1669" spans="2:12">
      <c r="B1669" s="180" t="s">
        <v>1016</v>
      </c>
      <c r="C1669" s="180" t="s">
        <v>1017</v>
      </c>
      <c r="D1669" s="180" t="s">
        <v>974</v>
      </c>
      <c r="E1669" s="180" t="s">
        <v>1034</v>
      </c>
      <c r="F1669" s="672">
        <v>0</v>
      </c>
      <c r="G1669" s="672">
        <v>0</v>
      </c>
      <c r="H1669" s="672">
        <v>0</v>
      </c>
      <c r="I1669" s="672">
        <v>0</v>
      </c>
      <c r="J1669" s="672">
        <v>0</v>
      </c>
      <c r="K1669" s="672">
        <v>0</v>
      </c>
      <c r="L1669" s="672">
        <v>0</v>
      </c>
    </row>
    <row r="1670" spans="2:12">
      <c r="B1670" s="180" t="s">
        <v>1862</v>
      </c>
      <c r="C1670" s="180" t="s">
        <v>1102</v>
      </c>
      <c r="D1670" s="180" t="s">
        <v>993</v>
      </c>
      <c r="E1670" s="180" t="s">
        <v>980</v>
      </c>
      <c r="F1670" s="672">
        <v>387133.49</v>
      </c>
      <c r="G1670" s="672">
        <v>10624.47</v>
      </c>
      <c r="H1670" s="672">
        <v>11588.98</v>
      </c>
      <c r="I1670" s="672">
        <v>12245.72</v>
      </c>
      <c r="J1670" s="672">
        <v>14026.79</v>
      </c>
      <c r="K1670" s="672">
        <v>75681.990000000005</v>
      </c>
      <c r="L1670" s="672">
        <v>262965.53999999998</v>
      </c>
    </row>
    <row r="1671" spans="2:12">
      <c r="B1671" s="180" t="s">
        <v>1463</v>
      </c>
      <c r="C1671" s="180" t="s">
        <v>1464</v>
      </c>
      <c r="D1671" s="180" t="s">
        <v>974</v>
      </c>
      <c r="E1671" s="180" t="s">
        <v>980</v>
      </c>
      <c r="F1671" s="672">
        <v>13087478.359999999</v>
      </c>
      <c r="G1671" s="672">
        <v>308982.31</v>
      </c>
      <c r="H1671" s="672">
        <v>304731.17</v>
      </c>
      <c r="I1671" s="672">
        <v>321078.44</v>
      </c>
      <c r="J1671" s="672">
        <v>314696.65999999997</v>
      </c>
      <c r="K1671" s="672">
        <v>2447941.25</v>
      </c>
      <c r="L1671" s="672">
        <v>9390048.5299999993</v>
      </c>
    </row>
    <row r="1672" spans="2:12">
      <c r="B1672" s="180" t="s">
        <v>2064</v>
      </c>
      <c r="C1672" s="180" t="s">
        <v>2065</v>
      </c>
      <c r="D1672" s="180" t="s">
        <v>974</v>
      </c>
      <c r="E1672" s="180" t="s">
        <v>990</v>
      </c>
      <c r="F1672" s="672">
        <v>-365.2</v>
      </c>
      <c r="G1672" s="672">
        <v>0</v>
      </c>
      <c r="H1672" s="672">
        <v>0</v>
      </c>
      <c r="I1672" s="672">
        <v>0</v>
      </c>
      <c r="J1672" s="672">
        <v>0</v>
      </c>
      <c r="K1672" s="672">
        <v>0</v>
      </c>
      <c r="L1672" s="672">
        <v>-365.2</v>
      </c>
    </row>
    <row r="1673" spans="2:12">
      <c r="B1673" s="180" t="s">
        <v>1513</v>
      </c>
      <c r="C1673" s="180" t="s">
        <v>1488</v>
      </c>
      <c r="D1673" s="180" t="s">
        <v>974</v>
      </c>
      <c r="E1673" s="180" t="s">
        <v>990</v>
      </c>
      <c r="F1673" s="672">
        <v>0</v>
      </c>
      <c r="G1673" s="672">
        <v>0</v>
      </c>
      <c r="H1673" s="672">
        <v>0</v>
      </c>
      <c r="I1673" s="672">
        <v>0</v>
      </c>
      <c r="J1673" s="672">
        <v>0</v>
      </c>
      <c r="K1673" s="672">
        <v>0</v>
      </c>
      <c r="L1673" s="672">
        <v>0</v>
      </c>
    </row>
    <row r="1674" spans="2:12">
      <c r="B1674" s="180" t="s">
        <v>1328</v>
      </c>
      <c r="C1674" s="180" t="s">
        <v>1104</v>
      </c>
      <c r="D1674" s="180" t="s">
        <v>993</v>
      </c>
      <c r="E1674" s="180" t="s">
        <v>990</v>
      </c>
      <c r="F1674" s="672">
        <v>0</v>
      </c>
      <c r="G1674" s="672">
        <v>0</v>
      </c>
      <c r="H1674" s="672">
        <v>0</v>
      </c>
      <c r="I1674" s="672">
        <v>0</v>
      </c>
      <c r="J1674" s="672">
        <v>0</v>
      </c>
      <c r="K1674" s="672">
        <v>0</v>
      </c>
      <c r="L1674" s="672">
        <v>0</v>
      </c>
    </row>
    <row r="1675" spans="2:12">
      <c r="B1675" s="180" t="s">
        <v>1484</v>
      </c>
      <c r="C1675" s="180" t="s">
        <v>1421</v>
      </c>
      <c r="D1675" s="180" t="s">
        <v>993</v>
      </c>
      <c r="E1675" s="180" t="s">
        <v>975</v>
      </c>
      <c r="F1675" s="672">
        <v>-206671.25</v>
      </c>
      <c r="G1675" s="672">
        <v>0</v>
      </c>
      <c r="H1675" s="672">
        <v>0</v>
      </c>
      <c r="I1675" s="672">
        <v>0</v>
      </c>
      <c r="J1675" s="672">
        <v>0</v>
      </c>
      <c r="K1675" s="672">
        <v>0</v>
      </c>
      <c r="L1675" s="672">
        <v>-206671.25</v>
      </c>
    </row>
    <row r="1676" spans="2:12">
      <c r="B1676" s="180" t="s">
        <v>1745</v>
      </c>
      <c r="C1676" s="180" t="s">
        <v>1746</v>
      </c>
      <c r="D1676" s="180" t="s">
        <v>974</v>
      </c>
      <c r="E1676" s="180" t="s">
        <v>980</v>
      </c>
      <c r="F1676" s="672">
        <v>3185234.27</v>
      </c>
      <c r="G1676" s="672">
        <v>79964.42</v>
      </c>
      <c r="H1676" s="672">
        <v>74738.289999999994</v>
      </c>
      <c r="I1676" s="672">
        <v>75235.039999999994</v>
      </c>
      <c r="J1676" s="672">
        <v>75557.240000000005</v>
      </c>
      <c r="K1676" s="672">
        <v>580027.11</v>
      </c>
      <c r="L1676" s="672">
        <v>2299712.17</v>
      </c>
    </row>
    <row r="1677" spans="2:12">
      <c r="B1677" s="180" t="s">
        <v>1747</v>
      </c>
      <c r="C1677" s="180" t="s">
        <v>1748</v>
      </c>
      <c r="D1677" s="180" t="s">
        <v>974</v>
      </c>
      <c r="E1677" s="180" t="s">
        <v>990</v>
      </c>
      <c r="F1677" s="672">
        <v>0</v>
      </c>
      <c r="G1677" s="672">
        <v>0</v>
      </c>
      <c r="H1677" s="672">
        <v>0</v>
      </c>
      <c r="I1677" s="672">
        <v>0</v>
      </c>
      <c r="J1677" s="672">
        <v>0</v>
      </c>
      <c r="K1677" s="672">
        <v>0</v>
      </c>
      <c r="L1677" s="672">
        <v>0</v>
      </c>
    </row>
    <row r="1678" spans="2:12">
      <c r="B1678" s="180" t="s">
        <v>1797</v>
      </c>
      <c r="C1678" s="180" t="s">
        <v>1798</v>
      </c>
      <c r="D1678" s="180" t="s">
        <v>974</v>
      </c>
      <c r="E1678" s="180" t="s">
        <v>980</v>
      </c>
      <c r="F1678" s="672">
        <v>4778906.74</v>
      </c>
      <c r="G1678" s="672">
        <v>111664.6</v>
      </c>
      <c r="H1678" s="672">
        <v>111233.2</v>
      </c>
      <c r="I1678" s="672">
        <v>111248.55</v>
      </c>
      <c r="J1678" s="672">
        <v>111233.24</v>
      </c>
      <c r="K1678" s="672">
        <v>874881.87</v>
      </c>
      <c r="L1678" s="672">
        <v>3458645.28</v>
      </c>
    </row>
    <row r="1679" spans="2:12">
      <c r="B1679" s="180" t="s">
        <v>1524</v>
      </c>
      <c r="C1679" s="180" t="s">
        <v>1525</v>
      </c>
      <c r="D1679" s="180" t="s">
        <v>993</v>
      </c>
      <c r="E1679" s="180" t="s">
        <v>990</v>
      </c>
      <c r="F1679" s="672">
        <v>0</v>
      </c>
      <c r="G1679" s="672">
        <v>0</v>
      </c>
      <c r="H1679" s="672">
        <v>0</v>
      </c>
      <c r="I1679" s="672">
        <v>0</v>
      </c>
      <c r="J1679" s="672">
        <v>0</v>
      </c>
      <c r="K1679" s="672">
        <v>0</v>
      </c>
      <c r="L1679" s="672">
        <v>0</v>
      </c>
    </row>
    <row r="1680" spans="2:12">
      <c r="B1680" s="180" t="s">
        <v>1039</v>
      </c>
      <c r="C1680" s="180" t="s">
        <v>1040</v>
      </c>
      <c r="D1680" s="180" t="s">
        <v>974</v>
      </c>
      <c r="E1680" s="180" t="s">
        <v>975</v>
      </c>
      <c r="F1680" s="672">
        <v>10733.52</v>
      </c>
      <c r="G1680" s="672">
        <v>0</v>
      </c>
      <c r="H1680" s="672">
        <v>0</v>
      </c>
      <c r="I1680" s="672">
        <v>0</v>
      </c>
      <c r="J1680" s="672">
        <v>0</v>
      </c>
      <c r="K1680" s="672">
        <v>0</v>
      </c>
      <c r="L1680" s="672">
        <v>10733.52</v>
      </c>
    </row>
    <row r="1681" spans="2:12">
      <c r="B1681" s="180" t="s">
        <v>1014</v>
      </c>
      <c r="C1681" s="180" t="s">
        <v>1015</v>
      </c>
      <c r="D1681" s="180" t="s">
        <v>974</v>
      </c>
      <c r="E1681" s="180" t="s">
        <v>990</v>
      </c>
      <c r="F1681" s="672">
        <v>0</v>
      </c>
      <c r="G1681" s="672">
        <v>0</v>
      </c>
      <c r="H1681" s="672">
        <v>0</v>
      </c>
      <c r="I1681" s="672">
        <v>0</v>
      </c>
      <c r="J1681" s="672">
        <v>0</v>
      </c>
      <c r="K1681" s="672">
        <v>0</v>
      </c>
      <c r="L1681" s="672">
        <v>0</v>
      </c>
    </row>
    <row r="1682" spans="2:12">
      <c r="B1682" s="180" t="s">
        <v>1785</v>
      </c>
      <c r="C1682" s="180" t="s">
        <v>1707</v>
      </c>
      <c r="D1682" s="180" t="s">
        <v>993</v>
      </c>
      <c r="E1682" s="180" t="s">
        <v>980</v>
      </c>
      <c r="F1682" s="672">
        <v>16555.439999999999</v>
      </c>
      <c r="G1682" s="672">
        <v>985.98</v>
      </c>
      <c r="H1682" s="672">
        <v>1014.88</v>
      </c>
      <c r="I1682" s="672">
        <v>1325.71</v>
      </c>
      <c r="J1682" s="672">
        <v>1480.09</v>
      </c>
      <c r="K1682" s="672">
        <v>7122.46</v>
      </c>
      <c r="L1682" s="672">
        <v>4626.32</v>
      </c>
    </row>
    <row r="1683" spans="2:12">
      <c r="B1683" s="180" t="s">
        <v>1157</v>
      </c>
      <c r="C1683" s="180" t="s">
        <v>1121</v>
      </c>
      <c r="D1683" s="180" t="s">
        <v>993</v>
      </c>
      <c r="E1683" s="180" t="s">
        <v>980</v>
      </c>
      <c r="F1683" s="672">
        <v>223660.39</v>
      </c>
      <c r="G1683" s="672">
        <v>951.42</v>
      </c>
      <c r="H1683" s="672">
        <v>1196.22</v>
      </c>
      <c r="I1683" s="672">
        <v>1280.92</v>
      </c>
      <c r="J1683" s="672">
        <v>1339.95</v>
      </c>
      <c r="K1683" s="672">
        <v>173285.02</v>
      </c>
      <c r="L1683" s="672">
        <v>45606.86</v>
      </c>
    </row>
    <row r="1684" spans="2:12">
      <c r="B1684" s="180" t="s">
        <v>1493</v>
      </c>
      <c r="C1684" s="180" t="s">
        <v>1494</v>
      </c>
      <c r="D1684" s="180" t="s">
        <v>974</v>
      </c>
      <c r="E1684" s="180" t="s">
        <v>1075</v>
      </c>
      <c r="F1684" s="672">
        <v>0</v>
      </c>
      <c r="G1684" s="672">
        <v>0</v>
      </c>
      <c r="H1684" s="672">
        <v>0</v>
      </c>
      <c r="I1684" s="672">
        <v>0</v>
      </c>
      <c r="J1684" s="672">
        <v>0</v>
      </c>
      <c r="K1684" s="672">
        <v>0</v>
      </c>
      <c r="L1684" s="672">
        <v>0</v>
      </c>
    </row>
    <row r="1685" spans="2:12">
      <c r="B1685" s="180" t="s">
        <v>1303</v>
      </c>
      <c r="C1685" s="180" t="s">
        <v>1176</v>
      </c>
      <c r="D1685" s="180" t="s">
        <v>993</v>
      </c>
      <c r="E1685" s="180" t="s">
        <v>980</v>
      </c>
      <c r="F1685" s="672">
        <v>233259.21</v>
      </c>
      <c r="G1685" s="672">
        <v>5716.27</v>
      </c>
      <c r="H1685" s="672">
        <v>6295.1</v>
      </c>
      <c r="I1685" s="672">
        <v>8358.14</v>
      </c>
      <c r="J1685" s="672">
        <v>5257.68</v>
      </c>
      <c r="K1685" s="672">
        <v>83078.36</v>
      </c>
      <c r="L1685" s="672">
        <v>124553.66</v>
      </c>
    </row>
    <row r="1686" spans="2:12">
      <c r="B1686" s="180" t="s">
        <v>1514</v>
      </c>
      <c r="C1686" s="180" t="s">
        <v>1515</v>
      </c>
      <c r="D1686" s="180" t="s">
        <v>974</v>
      </c>
      <c r="E1686" s="180" t="s">
        <v>980</v>
      </c>
      <c r="F1686" s="672">
        <v>-147298.18</v>
      </c>
      <c r="G1686" s="672">
        <v>-12903.7</v>
      </c>
      <c r="H1686" s="672">
        <v>-12423.12</v>
      </c>
      <c r="I1686" s="672">
        <v>-12917.04</v>
      </c>
      <c r="J1686" s="672">
        <v>-12941.51</v>
      </c>
      <c r="K1686" s="672">
        <v>7092.95</v>
      </c>
      <c r="L1686" s="672">
        <v>-103205.75999999999</v>
      </c>
    </row>
    <row r="1687" spans="2:12">
      <c r="B1687" s="180" t="s">
        <v>1438</v>
      </c>
      <c r="C1687" s="180" t="s">
        <v>1439</v>
      </c>
      <c r="D1687" s="180" t="s">
        <v>993</v>
      </c>
      <c r="E1687" s="180" t="s">
        <v>975</v>
      </c>
      <c r="F1687" s="672">
        <v>-62351.08</v>
      </c>
      <c r="G1687" s="672">
        <v>0</v>
      </c>
      <c r="H1687" s="672">
        <v>0</v>
      </c>
      <c r="I1687" s="672">
        <v>0</v>
      </c>
      <c r="J1687" s="672">
        <v>0</v>
      </c>
      <c r="K1687" s="672">
        <v>0</v>
      </c>
      <c r="L1687" s="672">
        <v>-62351.08</v>
      </c>
    </row>
    <row r="1688" spans="2:12">
      <c r="B1688" s="180" t="s">
        <v>1767</v>
      </c>
      <c r="C1688" s="180" t="s">
        <v>1768</v>
      </c>
      <c r="D1688" s="180" t="s">
        <v>974</v>
      </c>
      <c r="E1688" s="180" t="s">
        <v>990</v>
      </c>
      <c r="F1688" s="672">
        <v>4.0199999999999996</v>
      </c>
      <c r="G1688" s="672">
        <v>0</v>
      </c>
      <c r="H1688" s="672">
        <v>0</v>
      </c>
      <c r="I1688" s="672">
        <v>0</v>
      </c>
      <c r="J1688" s="672">
        <v>0</v>
      </c>
      <c r="K1688" s="672">
        <v>0</v>
      </c>
      <c r="L1688" s="672">
        <v>4.0199999999999996</v>
      </c>
    </row>
    <row r="1689" spans="2:12">
      <c r="B1689" s="180" t="s">
        <v>1782</v>
      </c>
      <c r="C1689" s="180" t="s">
        <v>1133</v>
      </c>
      <c r="D1689" s="180" t="s">
        <v>993</v>
      </c>
      <c r="E1689" s="180" t="s">
        <v>975</v>
      </c>
      <c r="F1689" s="672">
        <v>-63460</v>
      </c>
      <c r="G1689" s="672">
        <v>0</v>
      </c>
      <c r="H1689" s="672">
        <v>0</v>
      </c>
      <c r="I1689" s="672">
        <v>0</v>
      </c>
      <c r="J1689" s="672">
        <v>0</v>
      </c>
      <c r="K1689" s="672">
        <v>0</v>
      </c>
      <c r="L1689" s="672">
        <v>-63460</v>
      </c>
    </row>
    <row r="1690" spans="2:12">
      <c r="B1690" s="180" t="s">
        <v>1639</v>
      </c>
      <c r="C1690" s="180" t="s">
        <v>1032</v>
      </c>
      <c r="D1690" s="180" t="s">
        <v>974</v>
      </c>
      <c r="E1690" s="180" t="s">
        <v>980</v>
      </c>
      <c r="F1690" s="672">
        <v>349868.81</v>
      </c>
      <c r="G1690" s="672">
        <v>-422593.19</v>
      </c>
      <c r="H1690" s="672">
        <v>112985.24</v>
      </c>
      <c r="I1690" s="672">
        <v>134882.97</v>
      </c>
      <c r="J1690" s="672">
        <v>110615.41</v>
      </c>
      <c r="K1690" s="672">
        <v>241548.67</v>
      </c>
      <c r="L1690" s="672">
        <v>172429.71</v>
      </c>
    </row>
    <row r="1691" spans="2:12">
      <c r="B1691" s="180" t="s">
        <v>1966</v>
      </c>
      <c r="C1691" s="180" t="s">
        <v>1197</v>
      </c>
      <c r="D1691" s="180" t="s">
        <v>993</v>
      </c>
      <c r="E1691" s="180" t="s">
        <v>980</v>
      </c>
      <c r="F1691" s="672">
        <v>557329.32999999996</v>
      </c>
      <c r="G1691" s="672">
        <v>4326.3100000000004</v>
      </c>
      <c r="H1691" s="672">
        <v>5031.4399999999996</v>
      </c>
      <c r="I1691" s="672">
        <v>4515.68</v>
      </c>
      <c r="J1691" s="672">
        <v>4763.1499999999996</v>
      </c>
      <c r="K1691" s="672">
        <v>97616.97</v>
      </c>
      <c r="L1691" s="672">
        <v>441075.78</v>
      </c>
    </row>
    <row r="1692" spans="2:12">
      <c r="B1692" s="180" t="s">
        <v>1083</v>
      </c>
      <c r="C1692" s="180" t="s">
        <v>1084</v>
      </c>
      <c r="D1692" s="180" t="s">
        <v>993</v>
      </c>
      <c r="E1692" s="180" t="s">
        <v>980</v>
      </c>
      <c r="F1692" s="672">
        <v>177249.51</v>
      </c>
      <c r="G1692" s="672">
        <v>16239.98</v>
      </c>
      <c r="H1692" s="672">
        <v>15831.44</v>
      </c>
      <c r="I1692" s="672">
        <v>15750.63</v>
      </c>
      <c r="J1692" s="672">
        <v>16840.82</v>
      </c>
      <c r="K1692" s="672">
        <v>33330.910000000003</v>
      </c>
      <c r="L1692" s="672">
        <v>79255.73</v>
      </c>
    </row>
    <row r="1693" spans="2:12">
      <c r="B1693" s="180" t="s">
        <v>1776</v>
      </c>
      <c r="C1693" s="180" t="s">
        <v>1009</v>
      </c>
      <c r="D1693" s="180" t="s">
        <v>974</v>
      </c>
      <c r="E1693" s="180" t="s">
        <v>980</v>
      </c>
      <c r="F1693" s="672">
        <v>-65297.94</v>
      </c>
      <c r="G1693" s="672">
        <v>-140092.41</v>
      </c>
      <c r="H1693" s="672">
        <v>45721.34</v>
      </c>
      <c r="I1693" s="672">
        <v>-21234.16</v>
      </c>
      <c r="J1693" s="672">
        <v>7656.91</v>
      </c>
      <c r="K1693" s="672">
        <v>-26333.95</v>
      </c>
      <c r="L1693" s="672">
        <v>68984.33</v>
      </c>
    </row>
    <row r="1694" spans="2:12">
      <c r="B1694" s="180" t="s">
        <v>2066</v>
      </c>
      <c r="C1694" s="180" t="s">
        <v>989</v>
      </c>
      <c r="D1694" s="180" t="s">
        <v>974</v>
      </c>
      <c r="E1694" s="180" t="s">
        <v>990</v>
      </c>
      <c r="F1694" s="672">
        <v>0</v>
      </c>
      <c r="G1694" s="672">
        <v>0</v>
      </c>
      <c r="H1694" s="672">
        <v>0</v>
      </c>
      <c r="I1694" s="672">
        <v>0</v>
      </c>
      <c r="J1694" s="672">
        <v>0</v>
      </c>
      <c r="K1694" s="672">
        <v>0</v>
      </c>
      <c r="L1694" s="672">
        <v>0</v>
      </c>
    </row>
    <row r="1695" spans="2:12">
      <c r="B1695" s="180" t="s">
        <v>1213</v>
      </c>
      <c r="C1695" s="180" t="s">
        <v>1214</v>
      </c>
      <c r="D1695" s="180" t="s">
        <v>974</v>
      </c>
      <c r="E1695" s="180" t="s">
        <v>990</v>
      </c>
      <c r="F1695" s="672">
        <v>0</v>
      </c>
      <c r="G1695" s="672">
        <v>0</v>
      </c>
      <c r="H1695" s="672">
        <v>0</v>
      </c>
      <c r="I1695" s="672">
        <v>0</v>
      </c>
      <c r="J1695" s="672">
        <v>0</v>
      </c>
      <c r="K1695" s="672">
        <v>0</v>
      </c>
      <c r="L1695" s="672">
        <v>0</v>
      </c>
    </row>
    <row r="1696" spans="2:12">
      <c r="B1696" s="180" t="s">
        <v>1719</v>
      </c>
      <c r="C1696" s="180" t="s">
        <v>1199</v>
      </c>
      <c r="D1696" s="180" t="s">
        <v>993</v>
      </c>
      <c r="E1696" s="180" t="s">
        <v>975</v>
      </c>
      <c r="F1696" s="672">
        <v>-2262.23</v>
      </c>
      <c r="G1696" s="672">
        <v>0</v>
      </c>
      <c r="H1696" s="672">
        <v>0</v>
      </c>
      <c r="I1696" s="672">
        <v>0</v>
      </c>
      <c r="J1696" s="672">
        <v>0</v>
      </c>
      <c r="K1696" s="672">
        <v>0</v>
      </c>
      <c r="L1696" s="672">
        <v>-2262.23</v>
      </c>
    </row>
    <row r="1697" spans="2:12">
      <c r="B1697" s="180" t="s">
        <v>1939</v>
      </c>
      <c r="C1697" s="180" t="s">
        <v>1330</v>
      </c>
      <c r="D1697" s="180" t="s">
        <v>993</v>
      </c>
      <c r="E1697" s="180" t="s">
        <v>980</v>
      </c>
      <c r="F1697" s="672">
        <v>364307.59</v>
      </c>
      <c r="G1697" s="672">
        <v>55540.07</v>
      </c>
      <c r="H1697" s="672">
        <v>6006.71</v>
      </c>
      <c r="I1697" s="672">
        <v>6929.25</v>
      </c>
      <c r="J1697" s="672">
        <v>6378.39</v>
      </c>
      <c r="K1697" s="672">
        <v>89011.1</v>
      </c>
      <c r="L1697" s="672">
        <v>200442.07</v>
      </c>
    </row>
    <row r="1698" spans="2:12">
      <c r="B1698" s="180" t="s">
        <v>1720</v>
      </c>
      <c r="C1698" s="180" t="s">
        <v>1104</v>
      </c>
      <c r="D1698" s="180" t="s">
        <v>993</v>
      </c>
      <c r="E1698" s="180" t="s">
        <v>990</v>
      </c>
      <c r="F1698" s="672">
        <v>0</v>
      </c>
      <c r="G1698" s="672">
        <v>0</v>
      </c>
      <c r="H1698" s="672">
        <v>0</v>
      </c>
      <c r="I1698" s="672">
        <v>0</v>
      </c>
      <c r="J1698" s="672">
        <v>0</v>
      </c>
      <c r="K1698" s="672">
        <v>0</v>
      </c>
      <c r="L1698" s="672">
        <v>0</v>
      </c>
    </row>
    <row r="1699" spans="2:12">
      <c r="B1699" s="180" t="s">
        <v>1754</v>
      </c>
      <c r="C1699" s="180" t="s">
        <v>1009</v>
      </c>
      <c r="D1699" s="180" t="s">
        <v>974</v>
      </c>
      <c r="E1699" s="180" t="s">
        <v>980</v>
      </c>
      <c r="F1699" s="672">
        <v>-9355.98</v>
      </c>
      <c r="G1699" s="672">
        <v>1562.6</v>
      </c>
      <c r="H1699" s="672">
        <v>-334877.40000000002</v>
      </c>
      <c r="I1699" s="672">
        <v>445727.84</v>
      </c>
      <c r="J1699" s="672">
        <v>105990.03</v>
      </c>
      <c r="K1699" s="672">
        <v>-373039.97</v>
      </c>
      <c r="L1699" s="672">
        <v>145280.92000000001</v>
      </c>
    </row>
    <row r="1700" spans="2:12">
      <c r="B1700" s="180" t="s">
        <v>1403</v>
      </c>
      <c r="C1700" s="180" t="s">
        <v>1139</v>
      </c>
      <c r="D1700" s="180" t="s">
        <v>974</v>
      </c>
      <c r="E1700" s="180" t="s">
        <v>980</v>
      </c>
      <c r="F1700" s="672">
        <v>1096741.8400000001</v>
      </c>
      <c r="G1700" s="672">
        <v>-14848</v>
      </c>
      <c r="H1700" s="672">
        <v>157362.99</v>
      </c>
      <c r="I1700" s="672">
        <v>120190.87</v>
      </c>
      <c r="J1700" s="672">
        <v>9979.74</v>
      </c>
      <c r="K1700" s="672">
        <v>1300174.1100000001</v>
      </c>
      <c r="L1700" s="672">
        <v>-476117.87</v>
      </c>
    </row>
    <row r="1701" spans="2:12">
      <c r="B1701" s="180" t="s">
        <v>2054</v>
      </c>
      <c r="C1701" s="180" t="s">
        <v>2055</v>
      </c>
      <c r="D1701" s="180" t="s">
        <v>974</v>
      </c>
      <c r="E1701" s="180" t="s">
        <v>990</v>
      </c>
      <c r="F1701" s="672">
        <v>0</v>
      </c>
      <c r="G1701" s="672">
        <v>0</v>
      </c>
      <c r="H1701" s="672">
        <v>0</v>
      </c>
      <c r="I1701" s="672">
        <v>0</v>
      </c>
      <c r="J1701" s="672">
        <v>0</v>
      </c>
      <c r="K1701" s="672">
        <v>0</v>
      </c>
      <c r="L1701" s="672">
        <v>0</v>
      </c>
    </row>
    <row r="1702" spans="2:12">
      <c r="B1702" s="180" t="s">
        <v>1390</v>
      </c>
      <c r="C1702" s="180" t="s">
        <v>1220</v>
      </c>
      <c r="D1702" s="180" t="s">
        <v>974</v>
      </c>
      <c r="E1702" s="180" t="s">
        <v>975</v>
      </c>
      <c r="F1702" s="672">
        <v>232616.17</v>
      </c>
      <c r="G1702" s="672">
        <v>0</v>
      </c>
      <c r="H1702" s="672">
        <v>0</v>
      </c>
      <c r="I1702" s="672">
        <v>0</v>
      </c>
      <c r="J1702" s="672">
        <v>0</v>
      </c>
      <c r="K1702" s="672">
        <v>3764.19</v>
      </c>
      <c r="L1702" s="672">
        <v>228851.98</v>
      </c>
    </row>
    <row r="1703" spans="2:12">
      <c r="B1703" s="180" t="s">
        <v>1665</v>
      </c>
      <c r="C1703" s="180" t="s">
        <v>1427</v>
      </c>
      <c r="D1703" s="180" t="s">
        <v>993</v>
      </c>
      <c r="E1703" s="180" t="s">
        <v>975</v>
      </c>
      <c r="F1703" s="672">
        <v>-153962.23999999999</v>
      </c>
      <c r="G1703" s="672">
        <v>0</v>
      </c>
      <c r="H1703" s="672">
        <v>0</v>
      </c>
      <c r="I1703" s="672">
        <v>0</v>
      </c>
      <c r="J1703" s="672">
        <v>-152877.01</v>
      </c>
      <c r="K1703" s="672">
        <v>0</v>
      </c>
      <c r="L1703" s="672">
        <v>-1085.23</v>
      </c>
    </row>
    <row r="1704" spans="2:12">
      <c r="B1704" s="180" t="s">
        <v>1830</v>
      </c>
      <c r="C1704" s="180" t="s">
        <v>1831</v>
      </c>
      <c r="D1704" s="180" t="s">
        <v>974</v>
      </c>
      <c r="E1704" s="180" t="s">
        <v>980</v>
      </c>
      <c r="F1704" s="672">
        <v>6394882.8200000003</v>
      </c>
      <c r="G1704" s="672">
        <v>147949.71</v>
      </c>
      <c r="H1704" s="672">
        <v>147975.54</v>
      </c>
      <c r="I1704" s="672">
        <v>147925.71</v>
      </c>
      <c r="J1704" s="672">
        <v>148007.29999999999</v>
      </c>
      <c r="K1704" s="672">
        <v>1169557.55</v>
      </c>
      <c r="L1704" s="672">
        <v>4633467.01</v>
      </c>
    </row>
    <row r="1705" spans="2:12">
      <c r="B1705" s="180" t="s">
        <v>1976</v>
      </c>
      <c r="C1705" s="180" t="s">
        <v>1080</v>
      </c>
      <c r="D1705" s="180" t="s">
        <v>974</v>
      </c>
      <c r="E1705" s="180" t="s">
        <v>980</v>
      </c>
      <c r="F1705" s="672">
        <v>9491.76</v>
      </c>
      <c r="G1705" s="672">
        <v>-29310.54</v>
      </c>
      <c r="H1705" s="672">
        <v>10123.07</v>
      </c>
      <c r="I1705" s="672">
        <v>9730.2999999999993</v>
      </c>
      <c r="J1705" s="672">
        <v>-635.22</v>
      </c>
      <c r="K1705" s="672">
        <v>9980.7999999999993</v>
      </c>
      <c r="L1705" s="672">
        <v>9603.35</v>
      </c>
    </row>
    <row r="1706" spans="2:12">
      <c r="B1706" s="180" t="s">
        <v>1432</v>
      </c>
      <c r="C1706" s="180" t="s">
        <v>1433</v>
      </c>
      <c r="D1706" s="180" t="s">
        <v>974</v>
      </c>
      <c r="E1706" s="180" t="s">
        <v>990</v>
      </c>
      <c r="F1706" s="672">
        <v>0</v>
      </c>
      <c r="G1706" s="672">
        <v>0</v>
      </c>
      <c r="H1706" s="672">
        <v>0</v>
      </c>
      <c r="I1706" s="672">
        <v>0</v>
      </c>
      <c r="J1706" s="672">
        <v>0</v>
      </c>
      <c r="K1706" s="672">
        <v>0</v>
      </c>
      <c r="L1706" s="672">
        <v>0</v>
      </c>
    </row>
    <row r="1707" spans="2:12">
      <c r="B1707" s="180" t="s">
        <v>1827</v>
      </c>
      <c r="C1707" s="180" t="s">
        <v>1828</v>
      </c>
      <c r="D1707" s="180" t="s">
        <v>974</v>
      </c>
      <c r="E1707" s="180" t="s">
        <v>980</v>
      </c>
      <c r="F1707" s="672">
        <v>-169635.95</v>
      </c>
      <c r="G1707" s="672">
        <v>10758.07</v>
      </c>
      <c r="H1707" s="672">
        <v>66915.759999999995</v>
      </c>
      <c r="I1707" s="672">
        <v>81925.11</v>
      </c>
      <c r="J1707" s="672">
        <v>38673.56</v>
      </c>
      <c r="K1707" s="672">
        <v>-76362.67</v>
      </c>
      <c r="L1707" s="672">
        <v>-291545.78000000003</v>
      </c>
    </row>
    <row r="1708" spans="2:12">
      <c r="B1708" s="180" t="s">
        <v>1124</v>
      </c>
      <c r="C1708" s="180" t="s">
        <v>1125</v>
      </c>
      <c r="D1708" s="180" t="s">
        <v>974</v>
      </c>
      <c r="E1708" s="180" t="s">
        <v>980</v>
      </c>
      <c r="F1708" s="672">
        <v>-402268.83</v>
      </c>
      <c r="G1708" s="672">
        <v>4168.95</v>
      </c>
      <c r="H1708" s="672">
        <v>-6974.17</v>
      </c>
      <c r="I1708" s="672">
        <v>11754.06</v>
      </c>
      <c r="J1708" s="672">
        <v>6603.47</v>
      </c>
      <c r="K1708" s="672">
        <v>18787.7</v>
      </c>
      <c r="L1708" s="672">
        <v>-436608.84</v>
      </c>
    </row>
    <row r="1709" spans="2:12">
      <c r="B1709" s="180" t="s">
        <v>2058</v>
      </c>
      <c r="C1709" s="180" t="s">
        <v>1562</v>
      </c>
      <c r="D1709" s="180" t="s">
        <v>993</v>
      </c>
      <c r="E1709" s="180" t="s">
        <v>980</v>
      </c>
      <c r="F1709" s="672">
        <v>156576.32000000001</v>
      </c>
      <c r="G1709" s="672">
        <v>3285.44</v>
      </c>
      <c r="H1709" s="672">
        <v>3918.49</v>
      </c>
      <c r="I1709" s="672">
        <v>3443.22</v>
      </c>
      <c r="J1709" s="672">
        <v>3408.85</v>
      </c>
      <c r="K1709" s="672">
        <v>24630.27</v>
      </c>
      <c r="L1709" s="672">
        <v>117890.05</v>
      </c>
    </row>
    <row r="1710" spans="2:12">
      <c r="B1710" s="180" t="s">
        <v>1540</v>
      </c>
      <c r="C1710" s="180" t="s">
        <v>1541</v>
      </c>
      <c r="D1710" s="180" t="s">
        <v>974</v>
      </c>
      <c r="E1710" s="180" t="s">
        <v>990</v>
      </c>
      <c r="F1710" s="672">
        <v>0</v>
      </c>
      <c r="G1710" s="672">
        <v>0</v>
      </c>
      <c r="H1710" s="672">
        <v>0</v>
      </c>
      <c r="I1710" s="672">
        <v>0</v>
      </c>
      <c r="J1710" s="672">
        <v>0</v>
      </c>
      <c r="K1710" s="672">
        <v>0</v>
      </c>
      <c r="L1710" s="672">
        <v>0</v>
      </c>
    </row>
    <row r="1711" spans="2:12">
      <c r="B1711" s="180" t="s">
        <v>1406</v>
      </c>
      <c r="C1711" s="180" t="s">
        <v>1187</v>
      </c>
      <c r="D1711" s="180" t="s">
        <v>993</v>
      </c>
      <c r="E1711" s="180" t="s">
        <v>1075</v>
      </c>
      <c r="F1711" s="672">
        <v>0</v>
      </c>
      <c r="G1711" s="672">
        <v>0</v>
      </c>
      <c r="H1711" s="672">
        <v>0</v>
      </c>
      <c r="I1711" s="672">
        <v>0</v>
      </c>
      <c r="J1711" s="672">
        <v>0</v>
      </c>
      <c r="K1711" s="672">
        <v>0</v>
      </c>
      <c r="L1711" s="672">
        <v>0</v>
      </c>
    </row>
    <row r="1712" spans="2:12">
      <c r="B1712" s="180" t="s">
        <v>1952</v>
      </c>
      <c r="C1712" s="180" t="s">
        <v>1365</v>
      </c>
      <c r="D1712" s="180" t="s">
        <v>993</v>
      </c>
      <c r="E1712" s="180" t="s">
        <v>1478</v>
      </c>
      <c r="F1712" s="672">
        <v>3633.98</v>
      </c>
      <c r="G1712" s="672">
        <v>0</v>
      </c>
      <c r="H1712" s="672">
        <v>0</v>
      </c>
      <c r="I1712" s="672">
        <v>0</v>
      </c>
      <c r="J1712" s="672">
        <v>0</v>
      </c>
      <c r="K1712" s="672">
        <v>0</v>
      </c>
      <c r="L1712" s="672">
        <v>3633.98</v>
      </c>
    </row>
    <row r="1713" spans="2:12">
      <c r="B1713" s="180" t="s">
        <v>1897</v>
      </c>
      <c r="C1713" s="180" t="s">
        <v>1488</v>
      </c>
      <c r="D1713" s="180" t="s">
        <v>974</v>
      </c>
      <c r="E1713" s="180" t="s">
        <v>975</v>
      </c>
      <c r="F1713" s="672">
        <v>823051.12</v>
      </c>
      <c r="G1713" s="672">
        <v>43544.13</v>
      </c>
      <c r="H1713" s="672">
        <v>0</v>
      </c>
      <c r="I1713" s="672">
        <v>74010.460000000006</v>
      </c>
      <c r="J1713" s="672">
        <v>112646.88</v>
      </c>
      <c r="K1713" s="672">
        <v>168017.38</v>
      </c>
      <c r="L1713" s="672">
        <v>424832.27</v>
      </c>
    </row>
    <row r="1714" spans="2:12">
      <c r="B1714" s="180" t="s">
        <v>2021</v>
      </c>
      <c r="C1714" s="180" t="s">
        <v>2022</v>
      </c>
      <c r="D1714" s="180" t="s">
        <v>974</v>
      </c>
      <c r="E1714" s="180" t="s">
        <v>990</v>
      </c>
      <c r="F1714" s="672">
        <v>0</v>
      </c>
      <c r="G1714" s="672">
        <v>0</v>
      </c>
      <c r="H1714" s="672">
        <v>0</v>
      </c>
      <c r="I1714" s="672">
        <v>0</v>
      </c>
      <c r="J1714" s="672">
        <v>0</v>
      </c>
      <c r="K1714" s="672">
        <v>0</v>
      </c>
      <c r="L1714" s="672">
        <v>0</v>
      </c>
    </row>
    <row r="1715" spans="2:12">
      <c r="B1715" s="180" t="s">
        <v>1679</v>
      </c>
      <c r="C1715" s="180" t="s">
        <v>1680</v>
      </c>
      <c r="D1715" s="180" t="s">
        <v>974</v>
      </c>
      <c r="E1715" s="180" t="s">
        <v>980</v>
      </c>
      <c r="F1715" s="672">
        <v>2214378.42</v>
      </c>
      <c r="G1715" s="672">
        <v>49528.08</v>
      </c>
      <c r="H1715" s="672">
        <v>49956.08</v>
      </c>
      <c r="I1715" s="672">
        <v>49813.7</v>
      </c>
      <c r="J1715" s="672">
        <v>49488.97</v>
      </c>
      <c r="K1715" s="672">
        <v>394077.04</v>
      </c>
      <c r="L1715" s="672">
        <v>1621514.55</v>
      </c>
    </row>
    <row r="1716" spans="2:12">
      <c r="B1716" s="180" t="s">
        <v>1147</v>
      </c>
      <c r="C1716" s="180" t="s">
        <v>1148</v>
      </c>
      <c r="D1716" s="180" t="s">
        <v>974</v>
      </c>
      <c r="E1716" s="180" t="s">
        <v>975</v>
      </c>
      <c r="F1716" s="672">
        <v>-528.92999999999995</v>
      </c>
      <c r="G1716" s="672">
        <v>0</v>
      </c>
      <c r="H1716" s="672">
        <v>0</v>
      </c>
      <c r="I1716" s="672">
        <v>0</v>
      </c>
      <c r="J1716" s="672">
        <v>0</v>
      </c>
      <c r="K1716" s="672">
        <v>0</v>
      </c>
      <c r="L1716" s="672">
        <v>-528.92999999999995</v>
      </c>
    </row>
    <row r="1717" spans="2:12">
      <c r="B1717" s="180" t="s">
        <v>2010</v>
      </c>
      <c r="C1717" s="180" t="s">
        <v>2011</v>
      </c>
      <c r="D1717" s="180" t="s">
        <v>974</v>
      </c>
      <c r="E1717" s="180" t="s">
        <v>990</v>
      </c>
      <c r="F1717" s="672">
        <v>0</v>
      </c>
      <c r="G1717" s="672">
        <v>0</v>
      </c>
      <c r="H1717" s="672">
        <v>0</v>
      </c>
      <c r="I1717" s="672">
        <v>0</v>
      </c>
      <c r="J1717" s="672">
        <v>0</v>
      </c>
      <c r="K1717" s="672">
        <v>0</v>
      </c>
      <c r="L1717" s="672">
        <v>0</v>
      </c>
    </row>
    <row r="1718" spans="2:12">
      <c r="B1718" s="180" t="s">
        <v>1898</v>
      </c>
      <c r="C1718" s="180" t="s">
        <v>1899</v>
      </c>
      <c r="D1718" s="180" t="s">
        <v>974</v>
      </c>
      <c r="E1718" s="180" t="s">
        <v>975</v>
      </c>
      <c r="F1718" s="672">
        <v>-3480.77</v>
      </c>
      <c r="G1718" s="672">
        <v>0</v>
      </c>
      <c r="H1718" s="672">
        <v>0</v>
      </c>
      <c r="I1718" s="672">
        <v>0</v>
      </c>
      <c r="J1718" s="672">
        <v>0</v>
      </c>
      <c r="K1718" s="672">
        <v>0</v>
      </c>
      <c r="L1718" s="672">
        <v>-3480.77</v>
      </c>
    </row>
    <row r="1719" spans="2:12">
      <c r="B1719" s="180" t="s">
        <v>2038</v>
      </c>
      <c r="C1719" s="180" t="s">
        <v>2039</v>
      </c>
      <c r="D1719" s="180" t="s">
        <v>974</v>
      </c>
      <c r="E1719" s="180" t="s">
        <v>975</v>
      </c>
      <c r="F1719" s="672">
        <v>16937.54</v>
      </c>
      <c r="G1719" s="672">
        <v>0</v>
      </c>
      <c r="H1719" s="672">
        <v>0</v>
      </c>
      <c r="I1719" s="672">
        <v>0</v>
      </c>
      <c r="J1719" s="672">
        <v>0</v>
      </c>
      <c r="K1719" s="672">
        <v>0</v>
      </c>
      <c r="L1719" s="672">
        <v>16937.54</v>
      </c>
    </row>
    <row r="1720" spans="2:12">
      <c r="B1720" s="180" t="s">
        <v>988</v>
      </c>
      <c r="C1720" s="180" t="s">
        <v>989</v>
      </c>
      <c r="D1720" s="180" t="s">
        <v>974</v>
      </c>
      <c r="E1720" s="180" t="s">
        <v>975</v>
      </c>
      <c r="F1720" s="672">
        <v>92735.98</v>
      </c>
      <c r="G1720" s="672">
        <v>0</v>
      </c>
      <c r="H1720" s="672">
        <v>0</v>
      </c>
      <c r="I1720" s="672">
        <v>0</v>
      </c>
      <c r="J1720" s="672">
        <v>0</v>
      </c>
      <c r="K1720" s="672">
        <v>0</v>
      </c>
      <c r="L1720" s="672">
        <v>92735.98</v>
      </c>
    </row>
    <row r="1721" spans="2:12">
      <c r="B1721" s="180" t="s">
        <v>1939</v>
      </c>
      <c r="C1721" s="180" t="s">
        <v>1330</v>
      </c>
      <c r="D1721" s="180" t="s">
        <v>993</v>
      </c>
      <c r="E1721" s="180" t="s">
        <v>1078</v>
      </c>
      <c r="F1721" s="672">
        <v>-22000</v>
      </c>
      <c r="G1721" s="672">
        <v>-21965</v>
      </c>
      <c r="H1721" s="672">
        <v>0</v>
      </c>
      <c r="I1721" s="672">
        <v>0</v>
      </c>
      <c r="J1721" s="672">
        <v>0</v>
      </c>
      <c r="K1721" s="672">
        <v>0</v>
      </c>
      <c r="L1721" s="672">
        <v>-35</v>
      </c>
    </row>
    <row r="1722" spans="2:12">
      <c r="B1722" s="180" t="s">
        <v>1970</v>
      </c>
      <c r="C1722" s="180" t="s">
        <v>1273</v>
      </c>
      <c r="D1722" s="180" t="s">
        <v>993</v>
      </c>
      <c r="E1722" s="180" t="s">
        <v>1078</v>
      </c>
      <c r="F1722" s="672">
        <v>-8447</v>
      </c>
      <c r="G1722" s="672">
        <v>-8447</v>
      </c>
      <c r="H1722" s="672">
        <v>0</v>
      </c>
      <c r="I1722" s="672">
        <v>0</v>
      </c>
      <c r="J1722" s="672">
        <v>0</v>
      </c>
      <c r="K1722" s="672">
        <v>0</v>
      </c>
      <c r="L1722" s="672">
        <v>0</v>
      </c>
    </row>
    <row r="1723" spans="2:12">
      <c r="B1723" s="180" t="s">
        <v>2004</v>
      </c>
      <c r="C1723" s="180" t="s">
        <v>1159</v>
      </c>
      <c r="D1723" s="180" t="s">
        <v>993</v>
      </c>
      <c r="E1723" s="180" t="s">
        <v>980</v>
      </c>
      <c r="F1723" s="672">
        <v>13682.82</v>
      </c>
      <c r="G1723" s="672">
        <v>323.18</v>
      </c>
      <c r="H1723" s="672">
        <v>333.53</v>
      </c>
      <c r="I1723" s="672">
        <v>322.43</v>
      </c>
      <c r="J1723" s="672">
        <v>333.53</v>
      </c>
      <c r="K1723" s="672">
        <v>11804.38</v>
      </c>
      <c r="L1723" s="672">
        <v>565.77</v>
      </c>
    </row>
    <row r="1724" spans="2:12">
      <c r="B1724" s="180" t="s">
        <v>1336</v>
      </c>
      <c r="C1724" s="180" t="s">
        <v>1036</v>
      </c>
      <c r="D1724" s="180" t="s">
        <v>993</v>
      </c>
      <c r="E1724" s="180" t="s">
        <v>980</v>
      </c>
      <c r="F1724" s="672">
        <v>1970330.3</v>
      </c>
      <c r="G1724" s="672">
        <v>57849.17</v>
      </c>
      <c r="H1724" s="672">
        <v>68407.97</v>
      </c>
      <c r="I1724" s="672">
        <v>70576.44</v>
      </c>
      <c r="J1724" s="672">
        <v>82284.42</v>
      </c>
      <c r="K1724" s="672">
        <v>456160.58</v>
      </c>
      <c r="L1724" s="672">
        <v>1235051.72</v>
      </c>
    </row>
    <row r="1725" spans="2:12">
      <c r="B1725" s="180" t="s">
        <v>1977</v>
      </c>
      <c r="C1725" s="180" t="s">
        <v>1978</v>
      </c>
      <c r="D1725" s="180" t="s">
        <v>974</v>
      </c>
      <c r="E1725" s="180" t="s">
        <v>980</v>
      </c>
      <c r="F1725" s="672">
        <v>167840.77</v>
      </c>
      <c r="G1725" s="672">
        <v>7254.31</v>
      </c>
      <c r="H1725" s="672">
        <v>3000.71</v>
      </c>
      <c r="I1725" s="672">
        <v>9920.58</v>
      </c>
      <c r="J1725" s="672">
        <v>11161.1</v>
      </c>
      <c r="K1725" s="672">
        <v>63181.83</v>
      </c>
      <c r="L1725" s="672">
        <v>73322.240000000005</v>
      </c>
    </row>
    <row r="1726" spans="2:12">
      <c r="B1726" s="180" t="s">
        <v>1984</v>
      </c>
      <c r="C1726" s="180" t="s">
        <v>1985</v>
      </c>
      <c r="D1726" s="180" t="s">
        <v>974</v>
      </c>
      <c r="E1726" s="180" t="s">
        <v>980</v>
      </c>
      <c r="F1726" s="672">
        <v>3472802.38</v>
      </c>
      <c r="G1726" s="672">
        <v>81186.48</v>
      </c>
      <c r="H1726" s="672">
        <v>81050.649999999994</v>
      </c>
      <c r="I1726" s="672">
        <v>81080.06</v>
      </c>
      <c r="J1726" s="672">
        <v>81069.09</v>
      </c>
      <c r="K1726" s="672">
        <v>635960.09</v>
      </c>
      <c r="L1726" s="672">
        <v>2512456.0099999998</v>
      </c>
    </row>
    <row r="1727" spans="2:12">
      <c r="B1727" s="180" t="s">
        <v>1057</v>
      </c>
      <c r="C1727" s="180" t="s">
        <v>1058</v>
      </c>
      <c r="D1727" s="180" t="s">
        <v>974</v>
      </c>
      <c r="E1727" s="180" t="s">
        <v>983</v>
      </c>
      <c r="F1727" s="672">
        <v>206482.03</v>
      </c>
      <c r="G1727" s="672">
        <v>4137.63</v>
      </c>
      <c r="H1727" s="672">
        <v>4105.34</v>
      </c>
      <c r="I1727" s="672">
        <v>4687.6000000000004</v>
      </c>
      <c r="J1727" s="672">
        <v>4469.3100000000004</v>
      </c>
      <c r="K1727" s="672">
        <v>46703.42</v>
      </c>
      <c r="L1727" s="672">
        <v>142378.73000000001</v>
      </c>
    </row>
    <row r="1728" spans="2:12">
      <c r="B1728" s="180" t="s">
        <v>1444</v>
      </c>
      <c r="C1728" s="180" t="s">
        <v>1255</v>
      </c>
      <c r="D1728" s="180" t="s">
        <v>993</v>
      </c>
      <c r="E1728" s="180" t="s">
        <v>980</v>
      </c>
      <c r="F1728" s="672">
        <v>43055.1</v>
      </c>
      <c r="G1728" s="672">
        <v>846.07</v>
      </c>
      <c r="H1728" s="672">
        <v>971.92</v>
      </c>
      <c r="I1728" s="672">
        <v>930.42</v>
      </c>
      <c r="J1728" s="672">
        <v>945.67</v>
      </c>
      <c r="K1728" s="672">
        <v>7786.43</v>
      </c>
      <c r="L1728" s="672">
        <v>31574.59</v>
      </c>
    </row>
    <row r="1729" spans="2:12">
      <c r="B1729" s="180" t="s">
        <v>1878</v>
      </c>
      <c r="C1729" s="180" t="s">
        <v>1208</v>
      </c>
      <c r="D1729" s="180" t="s">
        <v>993</v>
      </c>
      <c r="E1729" s="180" t="s">
        <v>990</v>
      </c>
      <c r="F1729" s="672">
        <v>0</v>
      </c>
      <c r="G1729" s="672">
        <v>0</v>
      </c>
      <c r="H1729" s="672">
        <v>0</v>
      </c>
      <c r="I1729" s="672">
        <v>0</v>
      </c>
      <c r="J1729" s="672">
        <v>0</v>
      </c>
      <c r="K1729" s="672">
        <v>0</v>
      </c>
      <c r="L1729" s="672">
        <v>0</v>
      </c>
    </row>
    <row r="1730" spans="2:12">
      <c r="B1730" s="180" t="s">
        <v>1929</v>
      </c>
      <c r="C1730" s="180" t="s">
        <v>1309</v>
      </c>
      <c r="D1730" s="180" t="s">
        <v>993</v>
      </c>
      <c r="E1730" s="180" t="s">
        <v>980</v>
      </c>
      <c r="F1730" s="672">
        <v>838976.42</v>
      </c>
      <c r="G1730" s="672">
        <v>17306.75</v>
      </c>
      <c r="H1730" s="672">
        <v>20684.759999999998</v>
      </c>
      <c r="I1730" s="672">
        <v>21095</v>
      </c>
      <c r="J1730" s="672">
        <v>23126.57</v>
      </c>
      <c r="K1730" s="672">
        <v>265636.93</v>
      </c>
      <c r="L1730" s="672">
        <v>491126.41</v>
      </c>
    </row>
    <row r="1731" spans="2:12">
      <c r="B1731" s="180" t="s">
        <v>1827</v>
      </c>
      <c r="C1731" s="180" t="s">
        <v>1828</v>
      </c>
      <c r="D1731" s="180" t="s">
        <v>974</v>
      </c>
      <c r="E1731" s="180" t="s">
        <v>983</v>
      </c>
      <c r="F1731" s="672">
        <v>3253.19</v>
      </c>
      <c r="G1731" s="672">
        <v>1595.74</v>
      </c>
      <c r="H1731" s="672">
        <v>1479.08</v>
      </c>
      <c r="I1731" s="672">
        <v>178.37</v>
      </c>
      <c r="J1731" s="672">
        <v>0</v>
      </c>
      <c r="K1731" s="672">
        <v>0</v>
      </c>
      <c r="L1731" s="672">
        <v>0</v>
      </c>
    </row>
    <row r="1732" spans="2:12">
      <c r="B1732" s="180" t="s">
        <v>1087</v>
      </c>
      <c r="C1732" s="180" t="s">
        <v>1088</v>
      </c>
      <c r="D1732" s="180" t="s">
        <v>974</v>
      </c>
      <c r="E1732" s="180" t="s">
        <v>980</v>
      </c>
      <c r="F1732" s="672">
        <v>7338.34</v>
      </c>
      <c r="G1732" s="672">
        <v>-2557.84</v>
      </c>
      <c r="H1732" s="672">
        <v>390.26</v>
      </c>
      <c r="I1732" s="672">
        <v>6927.75</v>
      </c>
      <c r="J1732" s="672">
        <v>2578.17</v>
      </c>
      <c r="K1732" s="672">
        <v>-16579.490000000002</v>
      </c>
      <c r="L1732" s="672">
        <v>16579.490000000002</v>
      </c>
    </row>
    <row r="1733" spans="2:12">
      <c r="B1733" s="180" t="s">
        <v>1483</v>
      </c>
      <c r="C1733" s="180" t="s">
        <v>1094</v>
      </c>
      <c r="D1733" s="180" t="s">
        <v>974</v>
      </c>
      <c r="E1733" s="180" t="s">
        <v>1478</v>
      </c>
      <c r="F1733" s="672">
        <v>34356.32</v>
      </c>
      <c r="G1733" s="672">
        <v>0</v>
      </c>
      <c r="H1733" s="672">
        <v>0</v>
      </c>
      <c r="I1733" s="672">
        <v>0</v>
      </c>
      <c r="J1733" s="672">
        <v>0</v>
      </c>
      <c r="K1733" s="672">
        <v>34356.32</v>
      </c>
      <c r="L1733" s="672">
        <v>0</v>
      </c>
    </row>
    <row r="1734" spans="2:12">
      <c r="B1734" s="180" t="s">
        <v>1588</v>
      </c>
      <c r="C1734" s="180" t="s">
        <v>1589</v>
      </c>
      <c r="D1734" s="180" t="s">
        <v>974</v>
      </c>
      <c r="E1734" s="180" t="s">
        <v>975</v>
      </c>
      <c r="F1734" s="672">
        <v>110235.13</v>
      </c>
      <c r="G1734" s="672">
        <v>0</v>
      </c>
      <c r="H1734" s="672">
        <v>0</v>
      </c>
      <c r="I1734" s="672">
        <v>0</v>
      </c>
      <c r="J1734" s="672">
        <v>0</v>
      </c>
      <c r="K1734" s="672">
        <v>0</v>
      </c>
      <c r="L1734" s="672">
        <v>110235.13</v>
      </c>
    </row>
    <row r="1735" spans="2:12">
      <c r="B1735" s="180" t="s">
        <v>2032</v>
      </c>
      <c r="C1735" s="180" t="s">
        <v>2033</v>
      </c>
      <c r="D1735" s="180" t="s">
        <v>974</v>
      </c>
      <c r="E1735" s="180" t="s">
        <v>980</v>
      </c>
      <c r="F1735" s="672">
        <v>413301.3</v>
      </c>
      <c r="G1735" s="672">
        <v>-82918.67</v>
      </c>
      <c r="H1735" s="672">
        <v>-33480.26</v>
      </c>
      <c r="I1735" s="672">
        <v>-72547.16</v>
      </c>
      <c r="J1735" s="672">
        <v>12626.79</v>
      </c>
      <c r="K1735" s="672">
        <v>151167.6</v>
      </c>
      <c r="L1735" s="672">
        <v>438453</v>
      </c>
    </row>
    <row r="1736" spans="2:12">
      <c r="B1736" s="180" t="s">
        <v>1499</v>
      </c>
      <c r="C1736" s="180" t="s">
        <v>1500</v>
      </c>
      <c r="D1736" s="180" t="s">
        <v>993</v>
      </c>
      <c r="E1736" s="180" t="s">
        <v>980</v>
      </c>
      <c r="F1736" s="672">
        <v>2596353.71</v>
      </c>
      <c r="G1736" s="672">
        <v>66701.210000000006</v>
      </c>
      <c r="H1736" s="672">
        <v>61086.34</v>
      </c>
      <c r="I1736" s="672">
        <v>61730.9</v>
      </c>
      <c r="J1736" s="672">
        <v>62038.559999999998</v>
      </c>
      <c r="K1736" s="672">
        <v>468238.2</v>
      </c>
      <c r="L1736" s="672">
        <v>1876558.5</v>
      </c>
    </row>
    <row r="1737" spans="2:12">
      <c r="B1737" s="180" t="s">
        <v>1760</v>
      </c>
      <c r="C1737" s="180" t="s">
        <v>1620</v>
      </c>
      <c r="D1737" s="180" t="s">
        <v>993</v>
      </c>
      <c r="E1737" s="180" t="s">
        <v>990</v>
      </c>
      <c r="F1737" s="672">
        <v>0</v>
      </c>
      <c r="G1737" s="672">
        <v>0</v>
      </c>
      <c r="H1737" s="672">
        <v>0</v>
      </c>
      <c r="I1737" s="672">
        <v>0</v>
      </c>
      <c r="J1737" s="672">
        <v>0</v>
      </c>
      <c r="K1737" s="672">
        <v>0</v>
      </c>
      <c r="L1737" s="672">
        <v>0</v>
      </c>
    </row>
    <row r="1738" spans="2:12">
      <c r="B1738" s="180" t="s">
        <v>1594</v>
      </c>
      <c r="C1738" s="180" t="s">
        <v>1595</v>
      </c>
      <c r="D1738" s="180" t="s">
        <v>974</v>
      </c>
      <c r="E1738" s="180" t="s">
        <v>990</v>
      </c>
      <c r="F1738" s="672">
        <v>0</v>
      </c>
      <c r="G1738" s="672">
        <v>0</v>
      </c>
      <c r="H1738" s="672">
        <v>0</v>
      </c>
      <c r="I1738" s="672">
        <v>0</v>
      </c>
      <c r="J1738" s="672">
        <v>0</v>
      </c>
      <c r="K1738" s="672">
        <v>0</v>
      </c>
      <c r="L1738" s="672">
        <v>0</v>
      </c>
    </row>
    <row r="1739" spans="2:12">
      <c r="B1739" s="180" t="s">
        <v>1842</v>
      </c>
      <c r="C1739" s="180" t="s">
        <v>1389</v>
      </c>
      <c r="D1739" s="180" t="s">
        <v>993</v>
      </c>
      <c r="E1739" s="180" t="s">
        <v>975</v>
      </c>
      <c r="F1739" s="672">
        <v>-28574.28</v>
      </c>
      <c r="G1739" s="672">
        <v>0</v>
      </c>
      <c r="H1739" s="672">
        <v>0</v>
      </c>
      <c r="I1739" s="672">
        <v>0</v>
      </c>
      <c r="J1739" s="672">
        <v>0</v>
      </c>
      <c r="K1739" s="672">
        <v>0</v>
      </c>
      <c r="L1739" s="672">
        <v>-28574.28</v>
      </c>
    </row>
    <row r="1740" spans="2:12">
      <c r="B1740" s="180" t="s">
        <v>1990</v>
      </c>
      <c r="C1740" s="180" t="s">
        <v>1991</v>
      </c>
      <c r="D1740" s="180" t="s">
        <v>974</v>
      </c>
      <c r="E1740" s="180" t="s">
        <v>990</v>
      </c>
      <c r="F1740" s="672">
        <v>0</v>
      </c>
      <c r="G1740" s="672">
        <v>0</v>
      </c>
      <c r="H1740" s="672">
        <v>0</v>
      </c>
      <c r="I1740" s="672">
        <v>0</v>
      </c>
      <c r="J1740" s="672">
        <v>0</v>
      </c>
      <c r="K1740" s="672">
        <v>0</v>
      </c>
      <c r="L1740" s="672">
        <v>0</v>
      </c>
    </row>
    <row r="1741" spans="2:12">
      <c r="B1741" s="180" t="s">
        <v>1786</v>
      </c>
      <c r="C1741" s="180" t="s">
        <v>1787</v>
      </c>
      <c r="D1741" s="180" t="s">
        <v>974</v>
      </c>
      <c r="E1741" s="180" t="s">
        <v>980</v>
      </c>
      <c r="F1741" s="672">
        <v>3020208.45</v>
      </c>
      <c r="G1741" s="672">
        <v>71102.149999999994</v>
      </c>
      <c r="H1741" s="672">
        <v>71283.64</v>
      </c>
      <c r="I1741" s="672">
        <v>71263.990000000005</v>
      </c>
      <c r="J1741" s="672">
        <v>71559.37</v>
      </c>
      <c r="K1741" s="672">
        <v>560627.94999999995</v>
      </c>
      <c r="L1741" s="672">
        <v>2174371.35</v>
      </c>
    </row>
    <row r="1742" spans="2:12">
      <c r="B1742" s="180" t="s">
        <v>1922</v>
      </c>
      <c r="C1742" s="180" t="s">
        <v>1923</v>
      </c>
      <c r="D1742" s="180" t="s">
        <v>974</v>
      </c>
      <c r="E1742" s="180" t="s">
        <v>990</v>
      </c>
      <c r="F1742" s="672">
        <v>0</v>
      </c>
      <c r="G1742" s="672">
        <v>0</v>
      </c>
      <c r="H1742" s="672">
        <v>0</v>
      </c>
      <c r="I1742" s="672">
        <v>0</v>
      </c>
      <c r="J1742" s="672">
        <v>0</v>
      </c>
      <c r="K1742" s="672">
        <v>0</v>
      </c>
      <c r="L1742" s="672">
        <v>0</v>
      </c>
    </row>
    <row r="1743" spans="2:12">
      <c r="B1743" s="180" t="s">
        <v>1961</v>
      </c>
      <c r="C1743" s="180" t="s">
        <v>1701</v>
      </c>
      <c r="D1743" s="180" t="s">
        <v>974</v>
      </c>
      <c r="E1743" s="180" t="s">
        <v>990</v>
      </c>
      <c r="F1743" s="672">
        <v>0</v>
      </c>
      <c r="G1743" s="672">
        <v>0</v>
      </c>
      <c r="H1743" s="672">
        <v>0</v>
      </c>
      <c r="I1743" s="672">
        <v>0</v>
      </c>
      <c r="J1743" s="672">
        <v>0</v>
      </c>
      <c r="K1743" s="672">
        <v>0</v>
      </c>
      <c r="L1743" s="672">
        <v>0</v>
      </c>
    </row>
    <row r="1744" spans="2:12">
      <c r="B1744" s="180" t="s">
        <v>1010</v>
      </c>
      <c r="C1744" s="180" t="s">
        <v>1011</v>
      </c>
      <c r="D1744" s="180" t="s">
        <v>993</v>
      </c>
      <c r="E1744" s="180" t="s">
        <v>990</v>
      </c>
      <c r="F1744" s="672">
        <v>0</v>
      </c>
      <c r="G1744" s="672">
        <v>0</v>
      </c>
      <c r="H1744" s="672">
        <v>0</v>
      </c>
      <c r="I1744" s="672">
        <v>0</v>
      </c>
      <c r="J1744" s="672">
        <v>0</v>
      </c>
      <c r="K1744" s="672">
        <v>0</v>
      </c>
      <c r="L1744" s="672">
        <v>0</v>
      </c>
    </row>
    <row r="1745" spans="2:12">
      <c r="B1745" s="180" t="s">
        <v>1929</v>
      </c>
      <c r="C1745" s="180" t="s">
        <v>1309</v>
      </c>
      <c r="D1745" s="180" t="s">
        <v>993</v>
      </c>
      <c r="E1745" s="180" t="s">
        <v>990</v>
      </c>
      <c r="F1745" s="672">
        <v>0</v>
      </c>
      <c r="G1745" s="672">
        <v>0</v>
      </c>
      <c r="H1745" s="672">
        <v>0</v>
      </c>
      <c r="I1745" s="672">
        <v>0</v>
      </c>
      <c r="J1745" s="672">
        <v>0</v>
      </c>
      <c r="K1745" s="672">
        <v>0</v>
      </c>
      <c r="L1745" s="672">
        <v>0</v>
      </c>
    </row>
    <row r="1746" spans="2:12">
      <c r="B1746" s="180" t="s">
        <v>1964</v>
      </c>
      <c r="C1746" s="180" t="s">
        <v>979</v>
      </c>
      <c r="D1746" s="180" t="s">
        <v>974</v>
      </c>
      <c r="E1746" s="180" t="s">
        <v>975</v>
      </c>
      <c r="F1746" s="672">
        <v>64250.51</v>
      </c>
      <c r="G1746" s="672">
        <v>0</v>
      </c>
      <c r="H1746" s="672">
        <v>0</v>
      </c>
      <c r="I1746" s="672">
        <v>0</v>
      </c>
      <c r="J1746" s="672">
        <v>0</v>
      </c>
      <c r="K1746" s="672">
        <v>0</v>
      </c>
      <c r="L1746" s="672">
        <v>64250.51</v>
      </c>
    </row>
    <row r="1747" spans="2:12">
      <c r="B1747" s="180" t="s">
        <v>2048</v>
      </c>
      <c r="C1747" s="180" t="s">
        <v>2042</v>
      </c>
      <c r="D1747" s="180" t="s">
        <v>993</v>
      </c>
      <c r="E1747" s="180" t="s">
        <v>975</v>
      </c>
      <c r="F1747" s="672">
        <v>-8600.2900000000009</v>
      </c>
      <c r="G1747" s="672">
        <v>0</v>
      </c>
      <c r="H1747" s="672">
        <v>0</v>
      </c>
      <c r="I1747" s="672">
        <v>0</v>
      </c>
      <c r="J1747" s="672">
        <v>0</v>
      </c>
      <c r="K1747" s="672">
        <v>-1438.95</v>
      </c>
      <c r="L1747" s="672">
        <v>-7161.34</v>
      </c>
    </row>
    <row r="1748" spans="2:12">
      <c r="B1748" s="180" t="s">
        <v>1266</v>
      </c>
      <c r="C1748" s="180" t="s">
        <v>1267</v>
      </c>
      <c r="D1748" s="180" t="s">
        <v>993</v>
      </c>
      <c r="E1748" s="180" t="s">
        <v>990</v>
      </c>
      <c r="F1748" s="672">
        <v>19.66</v>
      </c>
      <c r="G1748" s="672">
        <v>0</v>
      </c>
      <c r="H1748" s="672">
        <v>0</v>
      </c>
      <c r="I1748" s="672">
        <v>0</v>
      </c>
      <c r="J1748" s="672">
        <v>0</v>
      </c>
      <c r="K1748" s="672">
        <v>0</v>
      </c>
      <c r="L1748" s="672">
        <v>19.66</v>
      </c>
    </row>
    <row r="1749" spans="2:12">
      <c r="B1749" s="180" t="s">
        <v>1703</v>
      </c>
      <c r="C1749" s="180" t="s">
        <v>1080</v>
      </c>
      <c r="D1749" s="180" t="s">
        <v>974</v>
      </c>
      <c r="E1749" s="180" t="s">
        <v>990</v>
      </c>
      <c r="F1749" s="672">
        <v>0</v>
      </c>
      <c r="G1749" s="672">
        <v>0</v>
      </c>
      <c r="H1749" s="672">
        <v>0</v>
      </c>
      <c r="I1749" s="672">
        <v>0</v>
      </c>
      <c r="J1749" s="672">
        <v>0</v>
      </c>
      <c r="K1749" s="672">
        <v>0</v>
      </c>
      <c r="L1749" s="672">
        <v>0</v>
      </c>
    </row>
    <row r="1750" spans="2:12">
      <c r="B1750" s="180" t="s">
        <v>1483</v>
      </c>
      <c r="C1750" s="180" t="s">
        <v>1094</v>
      </c>
      <c r="D1750" s="180" t="s">
        <v>974</v>
      </c>
      <c r="E1750" s="180" t="s">
        <v>983</v>
      </c>
      <c r="F1750" s="672">
        <v>605</v>
      </c>
      <c r="G1750" s="672">
        <v>403.33</v>
      </c>
      <c r="H1750" s="672">
        <v>201.67</v>
      </c>
      <c r="I1750" s="672">
        <v>0</v>
      </c>
      <c r="J1750" s="672">
        <v>0</v>
      </c>
      <c r="K1750" s="672">
        <v>0</v>
      </c>
      <c r="L1750" s="672">
        <v>0</v>
      </c>
    </row>
    <row r="1751" spans="2:12">
      <c r="B1751" s="180" t="s">
        <v>1430</v>
      </c>
      <c r="C1751" s="180" t="s">
        <v>1431</v>
      </c>
      <c r="D1751" s="180" t="s">
        <v>974</v>
      </c>
      <c r="E1751" s="180" t="s">
        <v>990</v>
      </c>
      <c r="F1751" s="672">
        <v>0</v>
      </c>
      <c r="G1751" s="672">
        <v>0</v>
      </c>
      <c r="H1751" s="672">
        <v>0</v>
      </c>
      <c r="I1751" s="672">
        <v>0</v>
      </c>
      <c r="J1751" s="672">
        <v>0</v>
      </c>
      <c r="K1751" s="672">
        <v>0</v>
      </c>
      <c r="L1751" s="672">
        <v>0</v>
      </c>
    </row>
    <row r="1752" spans="2:12">
      <c r="B1752" s="180" t="s">
        <v>1284</v>
      </c>
      <c r="C1752" s="180" t="s">
        <v>1285</v>
      </c>
      <c r="D1752" s="180" t="s">
        <v>974</v>
      </c>
      <c r="E1752" s="180" t="s">
        <v>975</v>
      </c>
      <c r="F1752" s="672">
        <v>32526.799999999999</v>
      </c>
      <c r="G1752" s="672">
        <v>0</v>
      </c>
      <c r="H1752" s="672">
        <v>0</v>
      </c>
      <c r="I1752" s="672">
        <v>0</v>
      </c>
      <c r="J1752" s="672">
        <v>0</v>
      </c>
      <c r="K1752" s="672">
        <v>0</v>
      </c>
      <c r="L1752" s="672">
        <v>32526.799999999999</v>
      </c>
    </row>
    <row r="1753" spans="2:12">
      <c r="B1753" s="180" t="s">
        <v>994</v>
      </c>
      <c r="C1753" s="180" t="s">
        <v>995</v>
      </c>
      <c r="D1753" s="180" t="s">
        <v>993</v>
      </c>
      <c r="E1753" s="180" t="s">
        <v>990</v>
      </c>
      <c r="F1753" s="672">
        <v>-47.6</v>
      </c>
      <c r="G1753" s="672">
        <v>0</v>
      </c>
      <c r="H1753" s="672">
        <v>0</v>
      </c>
      <c r="I1753" s="672">
        <v>0</v>
      </c>
      <c r="J1753" s="672">
        <v>0</v>
      </c>
      <c r="K1753" s="672">
        <v>0</v>
      </c>
      <c r="L1753" s="672">
        <v>-47.6</v>
      </c>
    </row>
    <row r="1754" spans="2:12">
      <c r="B1754" s="180" t="s">
        <v>1175</v>
      </c>
      <c r="C1754" s="180" t="s">
        <v>1176</v>
      </c>
      <c r="D1754" s="180" t="s">
        <v>993</v>
      </c>
      <c r="E1754" s="180" t="s">
        <v>990</v>
      </c>
      <c r="F1754" s="672">
        <v>0</v>
      </c>
      <c r="G1754" s="672">
        <v>0</v>
      </c>
      <c r="H1754" s="672">
        <v>0</v>
      </c>
      <c r="I1754" s="672">
        <v>0</v>
      </c>
      <c r="J1754" s="672">
        <v>0</v>
      </c>
      <c r="K1754" s="672">
        <v>0</v>
      </c>
      <c r="L1754" s="672">
        <v>0</v>
      </c>
    </row>
    <row r="1755" spans="2:12">
      <c r="B1755" s="180" t="s">
        <v>1815</v>
      </c>
      <c r="C1755" s="180" t="s">
        <v>1816</v>
      </c>
      <c r="D1755" s="180" t="s">
        <v>974</v>
      </c>
      <c r="E1755" s="180" t="s">
        <v>975</v>
      </c>
      <c r="F1755" s="672">
        <v>64</v>
      </c>
      <c r="G1755" s="672">
        <v>0</v>
      </c>
      <c r="H1755" s="672">
        <v>0</v>
      </c>
      <c r="I1755" s="672">
        <v>0</v>
      </c>
      <c r="J1755" s="672">
        <v>0</v>
      </c>
      <c r="K1755" s="672">
        <v>0</v>
      </c>
      <c r="L1755" s="672">
        <v>64</v>
      </c>
    </row>
    <row r="1756" spans="2:12">
      <c r="B1756" s="180" t="s">
        <v>2067</v>
      </c>
      <c r="C1756" s="180" t="s">
        <v>2068</v>
      </c>
      <c r="D1756" s="180" t="s">
        <v>974</v>
      </c>
      <c r="E1756" s="180" t="s">
        <v>980</v>
      </c>
      <c r="F1756" s="672">
        <v>-195937</v>
      </c>
      <c r="G1756" s="672">
        <v>0</v>
      </c>
      <c r="H1756" s="672">
        <v>0</v>
      </c>
      <c r="I1756" s="672">
        <v>0</v>
      </c>
      <c r="J1756" s="672">
        <v>26312.04</v>
      </c>
      <c r="K1756" s="672">
        <v>126266.66</v>
      </c>
      <c r="L1756" s="672">
        <v>-348515.7</v>
      </c>
    </row>
    <row r="1757" spans="2:12">
      <c r="B1757" s="180" t="s">
        <v>1097</v>
      </c>
      <c r="C1757" s="180" t="s">
        <v>1098</v>
      </c>
      <c r="D1757" s="180" t="s">
        <v>993</v>
      </c>
      <c r="E1757" s="180" t="s">
        <v>990</v>
      </c>
      <c r="F1757" s="672">
        <v>0</v>
      </c>
      <c r="G1757" s="672">
        <v>0</v>
      </c>
      <c r="H1757" s="672">
        <v>0</v>
      </c>
      <c r="I1757" s="672">
        <v>0</v>
      </c>
      <c r="J1757" s="672">
        <v>0</v>
      </c>
      <c r="K1757" s="672">
        <v>0</v>
      </c>
      <c r="L1757" s="672">
        <v>0</v>
      </c>
    </row>
    <row r="1758" spans="2:12">
      <c r="B1758" s="180" t="s">
        <v>1903</v>
      </c>
      <c r="C1758" s="180" t="s">
        <v>1904</v>
      </c>
      <c r="D1758" s="180" t="s">
        <v>974</v>
      </c>
      <c r="E1758" s="180" t="s">
        <v>990</v>
      </c>
      <c r="F1758" s="672">
        <v>0</v>
      </c>
      <c r="G1758" s="672">
        <v>0</v>
      </c>
      <c r="H1758" s="672">
        <v>0</v>
      </c>
      <c r="I1758" s="672">
        <v>0</v>
      </c>
      <c r="J1758" s="672">
        <v>0</v>
      </c>
      <c r="K1758" s="672">
        <v>0</v>
      </c>
      <c r="L1758" s="672">
        <v>0</v>
      </c>
    </row>
    <row r="1759" spans="2:12">
      <c r="B1759" s="180" t="s">
        <v>1934</v>
      </c>
      <c r="C1759" s="180" t="s">
        <v>1935</v>
      </c>
      <c r="D1759" s="180" t="s">
        <v>974</v>
      </c>
      <c r="E1759" s="180" t="s">
        <v>980</v>
      </c>
      <c r="F1759" s="672">
        <v>1549412.33</v>
      </c>
      <c r="G1759" s="672">
        <v>35711.019999999997</v>
      </c>
      <c r="H1759" s="672">
        <v>35920.660000000003</v>
      </c>
      <c r="I1759" s="672">
        <v>36213.26</v>
      </c>
      <c r="J1759" s="672">
        <v>36026.25</v>
      </c>
      <c r="K1759" s="672">
        <v>283515.40000000002</v>
      </c>
      <c r="L1759" s="672">
        <v>1122025.74</v>
      </c>
    </row>
    <row r="1760" spans="2:12">
      <c r="B1760" s="180" t="s">
        <v>2029</v>
      </c>
      <c r="C1760" s="180" t="s">
        <v>2030</v>
      </c>
      <c r="D1760" s="180" t="s">
        <v>974</v>
      </c>
      <c r="E1760" s="180" t="s">
        <v>990</v>
      </c>
      <c r="F1760" s="672">
        <v>0</v>
      </c>
      <c r="G1760" s="672">
        <v>0</v>
      </c>
      <c r="H1760" s="672">
        <v>0</v>
      </c>
      <c r="I1760" s="672">
        <v>0</v>
      </c>
      <c r="J1760" s="672">
        <v>0</v>
      </c>
      <c r="K1760" s="672">
        <v>0</v>
      </c>
      <c r="L1760" s="672">
        <v>0</v>
      </c>
    </row>
    <row r="1761" spans="2:12">
      <c r="B1761" s="180" t="s">
        <v>1995</v>
      </c>
      <c r="C1761" s="180" t="s">
        <v>1996</v>
      </c>
      <c r="D1761" s="180" t="s">
        <v>974</v>
      </c>
      <c r="E1761" s="180" t="s">
        <v>980</v>
      </c>
      <c r="F1761" s="672">
        <v>21889.79</v>
      </c>
      <c r="G1761" s="672">
        <v>8460.08</v>
      </c>
      <c r="H1761" s="672">
        <v>7404.1</v>
      </c>
      <c r="I1761" s="672">
        <v>-520.55999999999995</v>
      </c>
      <c r="J1761" s="672">
        <v>444.06</v>
      </c>
      <c r="K1761" s="672">
        <v>-1311.72</v>
      </c>
      <c r="L1761" s="672">
        <v>7413.83</v>
      </c>
    </row>
    <row r="1762" spans="2:12">
      <c r="B1762" s="180" t="s">
        <v>1961</v>
      </c>
      <c r="C1762" s="180" t="s">
        <v>1701</v>
      </c>
      <c r="D1762" s="180" t="s">
        <v>974</v>
      </c>
      <c r="E1762" s="180" t="s">
        <v>1702</v>
      </c>
      <c r="F1762" s="672">
        <v>0</v>
      </c>
      <c r="G1762" s="672">
        <v>0</v>
      </c>
      <c r="H1762" s="672">
        <v>0</v>
      </c>
      <c r="I1762" s="672">
        <v>0</v>
      </c>
      <c r="J1762" s="672">
        <v>0</v>
      </c>
      <c r="K1762" s="672">
        <v>0</v>
      </c>
      <c r="L1762" s="672">
        <v>0</v>
      </c>
    </row>
    <row r="1763" spans="2:12">
      <c r="B1763" s="180" t="s">
        <v>1446</v>
      </c>
      <c r="C1763" s="180" t="s">
        <v>1447</v>
      </c>
      <c r="D1763" s="180" t="s">
        <v>974</v>
      </c>
      <c r="E1763" s="180" t="s">
        <v>990</v>
      </c>
      <c r="F1763" s="672">
        <v>0</v>
      </c>
      <c r="G1763" s="672">
        <v>0</v>
      </c>
      <c r="H1763" s="672">
        <v>0</v>
      </c>
      <c r="I1763" s="672">
        <v>0</v>
      </c>
      <c r="J1763" s="672">
        <v>0</v>
      </c>
      <c r="K1763" s="672">
        <v>0</v>
      </c>
      <c r="L1763" s="672">
        <v>0</v>
      </c>
    </row>
    <row r="1764" spans="2:12">
      <c r="B1764" s="180" t="s">
        <v>1318</v>
      </c>
      <c r="C1764" s="180" t="s">
        <v>1174</v>
      </c>
      <c r="D1764" s="180" t="s">
        <v>993</v>
      </c>
      <c r="E1764" s="180" t="s">
        <v>1078</v>
      </c>
      <c r="F1764" s="672">
        <v>-37591</v>
      </c>
      <c r="G1764" s="672">
        <v>-37591</v>
      </c>
      <c r="H1764" s="672">
        <v>0</v>
      </c>
      <c r="I1764" s="672">
        <v>0</v>
      </c>
      <c r="J1764" s="672">
        <v>0</v>
      </c>
      <c r="K1764" s="672">
        <v>0</v>
      </c>
      <c r="L1764" s="672">
        <v>0</v>
      </c>
    </row>
    <row r="1765" spans="2:12">
      <c r="B1765" s="180" t="s">
        <v>1983</v>
      </c>
      <c r="C1765" s="180" t="s">
        <v>1115</v>
      </c>
      <c r="D1765" s="180" t="s">
        <v>974</v>
      </c>
      <c r="E1765" s="180" t="s">
        <v>980</v>
      </c>
      <c r="F1765" s="672">
        <v>-526487.41</v>
      </c>
      <c r="G1765" s="672">
        <v>-30481.48</v>
      </c>
      <c r="H1765" s="672">
        <v>-33385.39</v>
      </c>
      <c r="I1765" s="672">
        <v>-27622.75</v>
      </c>
      <c r="J1765" s="672">
        <v>-1495.63</v>
      </c>
      <c r="K1765" s="672">
        <v>-60053.13</v>
      </c>
      <c r="L1765" s="672">
        <v>-373449.03</v>
      </c>
    </row>
    <row r="1766" spans="2:12">
      <c r="B1766" s="180" t="s">
        <v>1296</v>
      </c>
      <c r="C1766" s="180" t="s">
        <v>1021</v>
      </c>
      <c r="D1766" s="180" t="s">
        <v>993</v>
      </c>
      <c r="E1766" s="180" t="s">
        <v>1075</v>
      </c>
      <c r="F1766" s="672">
        <v>0</v>
      </c>
      <c r="G1766" s="672">
        <v>0</v>
      </c>
      <c r="H1766" s="672">
        <v>0</v>
      </c>
      <c r="I1766" s="672">
        <v>0</v>
      </c>
      <c r="J1766" s="672">
        <v>0</v>
      </c>
      <c r="K1766" s="672">
        <v>0</v>
      </c>
      <c r="L1766" s="672">
        <v>0</v>
      </c>
    </row>
    <row r="1767" spans="2:12">
      <c r="B1767" s="180" t="s">
        <v>1779</v>
      </c>
      <c r="C1767" s="180" t="s">
        <v>1269</v>
      </c>
      <c r="D1767" s="180" t="s">
        <v>974</v>
      </c>
      <c r="E1767" s="180" t="s">
        <v>975</v>
      </c>
      <c r="F1767" s="672">
        <v>1583469.32</v>
      </c>
      <c r="G1767" s="672">
        <v>0</v>
      </c>
      <c r="H1767" s="672">
        <v>0</v>
      </c>
      <c r="I1767" s="672">
        <v>0</v>
      </c>
      <c r="J1767" s="672">
        <v>0</v>
      </c>
      <c r="K1767" s="672">
        <v>43454.97</v>
      </c>
      <c r="L1767" s="672">
        <v>1540014.35</v>
      </c>
    </row>
    <row r="1768" spans="2:12">
      <c r="B1768" s="180" t="s">
        <v>1532</v>
      </c>
      <c r="C1768" s="180" t="s">
        <v>1421</v>
      </c>
      <c r="D1768" s="180" t="s">
        <v>993</v>
      </c>
      <c r="E1768" s="180" t="s">
        <v>980</v>
      </c>
      <c r="F1768" s="672">
        <v>539345.06000000006</v>
      </c>
      <c r="G1768" s="672">
        <v>9300.2000000000007</v>
      </c>
      <c r="H1768" s="672">
        <v>11048.9</v>
      </c>
      <c r="I1768" s="672">
        <v>11635.41</v>
      </c>
      <c r="J1768" s="672">
        <v>11429.62</v>
      </c>
      <c r="K1768" s="672">
        <v>84332.49</v>
      </c>
      <c r="L1768" s="672">
        <v>411598.44</v>
      </c>
    </row>
    <row r="1769" spans="2:12">
      <c r="B1769" s="180" t="s">
        <v>2069</v>
      </c>
      <c r="C1769" s="180" t="s">
        <v>2042</v>
      </c>
      <c r="D1769" s="180" t="s">
        <v>993</v>
      </c>
      <c r="E1769" s="180" t="s">
        <v>975</v>
      </c>
      <c r="F1769" s="672">
        <v>-93156.160000000003</v>
      </c>
      <c r="G1769" s="672">
        <v>0</v>
      </c>
      <c r="H1769" s="672">
        <v>0</v>
      </c>
      <c r="I1769" s="672">
        <v>0</v>
      </c>
      <c r="J1769" s="672">
        <v>0</v>
      </c>
      <c r="K1769" s="672">
        <v>-27822.3</v>
      </c>
      <c r="L1769" s="672">
        <v>-65333.86</v>
      </c>
    </row>
    <row r="1770" spans="2:12">
      <c r="B1770" s="180" t="s">
        <v>1606</v>
      </c>
      <c r="C1770" s="180" t="s">
        <v>1607</v>
      </c>
      <c r="D1770" s="180" t="s">
        <v>974</v>
      </c>
      <c r="E1770" s="180" t="s">
        <v>975</v>
      </c>
      <c r="F1770" s="672">
        <v>516725.36</v>
      </c>
      <c r="G1770" s="672">
        <v>9637.7000000000007</v>
      </c>
      <c r="H1770" s="672">
        <v>13352.58</v>
      </c>
      <c r="I1770" s="672">
        <v>15634.77</v>
      </c>
      <c r="J1770" s="672">
        <v>22997.32</v>
      </c>
      <c r="K1770" s="672">
        <v>204962.18</v>
      </c>
      <c r="L1770" s="672">
        <v>250140.81</v>
      </c>
    </row>
    <row r="1771" spans="2:12">
      <c r="B1771" s="180" t="s">
        <v>2067</v>
      </c>
      <c r="C1771" s="180" t="s">
        <v>2068</v>
      </c>
      <c r="D1771" s="180" t="s">
        <v>974</v>
      </c>
      <c r="E1771" s="180" t="s">
        <v>975</v>
      </c>
      <c r="F1771" s="672">
        <v>0</v>
      </c>
      <c r="G1771" s="672">
        <v>0</v>
      </c>
      <c r="H1771" s="672">
        <v>0</v>
      </c>
      <c r="I1771" s="672">
        <v>0</v>
      </c>
      <c r="J1771" s="672">
        <v>0</v>
      </c>
      <c r="K1771" s="672">
        <v>0</v>
      </c>
      <c r="L1771" s="672">
        <v>0</v>
      </c>
    </row>
    <row r="1772" spans="2:12">
      <c r="B1772" s="180" t="s">
        <v>2027</v>
      </c>
      <c r="C1772" s="180" t="s">
        <v>1397</v>
      </c>
      <c r="D1772" s="180" t="s">
        <v>993</v>
      </c>
      <c r="E1772" s="180" t="s">
        <v>975</v>
      </c>
      <c r="F1772" s="672">
        <v>-14717.41</v>
      </c>
      <c r="G1772" s="672">
        <v>0</v>
      </c>
      <c r="H1772" s="672">
        <v>0</v>
      </c>
      <c r="I1772" s="672">
        <v>0</v>
      </c>
      <c r="J1772" s="672">
        <v>0</v>
      </c>
      <c r="K1772" s="672">
        <v>0</v>
      </c>
      <c r="L1772" s="672">
        <v>-14717.41</v>
      </c>
    </row>
    <row r="1773" spans="2:12">
      <c r="B1773" s="180" t="s">
        <v>1921</v>
      </c>
      <c r="C1773" s="180" t="s">
        <v>1427</v>
      </c>
      <c r="D1773" s="180" t="s">
        <v>993</v>
      </c>
      <c r="E1773" s="180" t="s">
        <v>990</v>
      </c>
      <c r="F1773" s="672">
        <v>0</v>
      </c>
      <c r="G1773" s="672">
        <v>0</v>
      </c>
      <c r="H1773" s="672">
        <v>0</v>
      </c>
      <c r="I1773" s="672">
        <v>0</v>
      </c>
      <c r="J1773" s="672">
        <v>0</v>
      </c>
      <c r="K1773" s="672">
        <v>0</v>
      </c>
      <c r="L1773" s="672">
        <v>0</v>
      </c>
    </row>
    <row r="1774" spans="2:12">
      <c r="B1774" s="180" t="s">
        <v>1679</v>
      </c>
      <c r="C1774" s="180" t="s">
        <v>1680</v>
      </c>
      <c r="D1774" s="180" t="s">
        <v>974</v>
      </c>
      <c r="E1774" s="180" t="s">
        <v>975</v>
      </c>
      <c r="F1774" s="672">
        <v>-1900</v>
      </c>
      <c r="G1774" s="672">
        <v>0</v>
      </c>
      <c r="H1774" s="672">
        <v>0</v>
      </c>
      <c r="I1774" s="672">
        <v>0</v>
      </c>
      <c r="J1774" s="672">
        <v>0</v>
      </c>
      <c r="K1774" s="672">
        <v>0</v>
      </c>
      <c r="L1774" s="672">
        <v>-1900</v>
      </c>
    </row>
    <row r="1775" spans="2:12">
      <c r="B1775" s="180" t="s">
        <v>1955</v>
      </c>
      <c r="C1775" s="180" t="s">
        <v>1302</v>
      </c>
      <c r="D1775" s="180" t="s">
        <v>993</v>
      </c>
      <c r="E1775" s="180" t="s">
        <v>990</v>
      </c>
      <c r="F1775" s="672">
        <v>-69.489999999999995</v>
      </c>
      <c r="G1775" s="672">
        <v>0</v>
      </c>
      <c r="H1775" s="672">
        <v>0</v>
      </c>
      <c r="I1775" s="672">
        <v>0</v>
      </c>
      <c r="J1775" s="672">
        <v>0</v>
      </c>
      <c r="K1775" s="672">
        <v>0</v>
      </c>
      <c r="L1775" s="672">
        <v>-69.489999999999995</v>
      </c>
    </row>
    <row r="1776" spans="2:12">
      <c r="B1776" s="180" t="s">
        <v>1961</v>
      </c>
      <c r="C1776" s="180" t="s">
        <v>1701</v>
      </c>
      <c r="D1776" s="180" t="s">
        <v>974</v>
      </c>
      <c r="E1776" s="180" t="s">
        <v>980</v>
      </c>
      <c r="F1776" s="672">
        <v>0</v>
      </c>
      <c r="G1776" s="672">
        <v>627.58000000000004</v>
      </c>
      <c r="H1776" s="672">
        <v>-598.74</v>
      </c>
      <c r="I1776" s="672">
        <v>-28.84</v>
      </c>
      <c r="J1776" s="672">
        <v>0</v>
      </c>
      <c r="K1776" s="672">
        <v>20748.21</v>
      </c>
      <c r="L1776" s="672">
        <v>-20748.21</v>
      </c>
    </row>
    <row r="1777" spans="2:12">
      <c r="B1777" s="180" t="s">
        <v>2070</v>
      </c>
      <c r="C1777" s="180" t="s">
        <v>1937</v>
      </c>
      <c r="D1777" s="180" t="s">
        <v>993</v>
      </c>
      <c r="E1777" s="180" t="s">
        <v>980</v>
      </c>
      <c r="F1777" s="672">
        <v>462181.23</v>
      </c>
      <c r="G1777" s="672">
        <v>11492.82</v>
      </c>
      <c r="H1777" s="672">
        <v>21656.98</v>
      </c>
      <c r="I1777" s="672">
        <v>7842.15</v>
      </c>
      <c r="J1777" s="672">
        <v>8291.83</v>
      </c>
      <c r="K1777" s="672">
        <v>111416.45</v>
      </c>
      <c r="L1777" s="672">
        <v>301481</v>
      </c>
    </row>
    <row r="1778" spans="2:12">
      <c r="B1778" s="180" t="s">
        <v>1522</v>
      </c>
      <c r="C1778" s="180" t="s">
        <v>1523</v>
      </c>
      <c r="D1778" s="180" t="s">
        <v>974</v>
      </c>
      <c r="E1778" s="180" t="s">
        <v>975</v>
      </c>
      <c r="F1778" s="672">
        <v>-1373</v>
      </c>
      <c r="G1778" s="672">
        <v>0</v>
      </c>
      <c r="H1778" s="672">
        <v>0</v>
      </c>
      <c r="I1778" s="672">
        <v>0</v>
      </c>
      <c r="J1778" s="672">
        <v>0</v>
      </c>
      <c r="K1778" s="672">
        <v>0</v>
      </c>
      <c r="L1778" s="672">
        <v>-1373</v>
      </c>
    </row>
    <row r="1779" spans="2:12">
      <c r="B1779" s="180" t="s">
        <v>1609</v>
      </c>
      <c r="C1779" s="180" t="s">
        <v>1610</v>
      </c>
      <c r="D1779" s="180" t="s">
        <v>974</v>
      </c>
      <c r="E1779" s="180" t="s">
        <v>1075</v>
      </c>
      <c r="F1779" s="672">
        <v>0</v>
      </c>
      <c r="G1779" s="672">
        <v>0</v>
      </c>
      <c r="H1779" s="672">
        <v>0</v>
      </c>
      <c r="I1779" s="672">
        <v>0</v>
      </c>
      <c r="J1779" s="672">
        <v>0</v>
      </c>
      <c r="K1779" s="672">
        <v>0</v>
      </c>
      <c r="L1779" s="672">
        <v>0</v>
      </c>
    </row>
    <row r="1780" spans="2:12">
      <c r="B1780" s="180" t="s">
        <v>1061</v>
      </c>
      <c r="C1780" s="180" t="s">
        <v>1062</v>
      </c>
      <c r="D1780" s="180" t="s">
        <v>993</v>
      </c>
      <c r="E1780" s="180" t="s">
        <v>980</v>
      </c>
      <c r="F1780" s="672">
        <v>-27798</v>
      </c>
      <c r="G1780" s="672">
        <v>-49234.89</v>
      </c>
      <c r="H1780" s="672">
        <v>0</v>
      </c>
      <c r="I1780" s="672">
        <v>0</v>
      </c>
      <c r="J1780" s="672">
        <v>0</v>
      </c>
      <c r="K1780" s="672">
        <v>0</v>
      </c>
      <c r="L1780" s="672">
        <v>21436.89</v>
      </c>
    </row>
    <row r="1781" spans="2:12">
      <c r="B1781" s="180" t="s">
        <v>1400</v>
      </c>
      <c r="C1781" s="180" t="s">
        <v>1401</v>
      </c>
      <c r="D1781" s="180" t="s">
        <v>974</v>
      </c>
      <c r="E1781" s="180" t="s">
        <v>980</v>
      </c>
      <c r="F1781" s="672">
        <v>32742.67</v>
      </c>
      <c r="G1781" s="672">
        <v>-9317.14</v>
      </c>
      <c r="H1781" s="672">
        <v>8341.25</v>
      </c>
      <c r="I1781" s="672">
        <v>8346.81</v>
      </c>
      <c r="J1781" s="672">
        <v>3562.78</v>
      </c>
      <c r="K1781" s="672">
        <v>12649.39</v>
      </c>
      <c r="L1781" s="672">
        <v>9159.58</v>
      </c>
    </row>
    <row r="1782" spans="2:12">
      <c r="B1782" s="180" t="s">
        <v>2005</v>
      </c>
      <c r="C1782" s="180" t="s">
        <v>2006</v>
      </c>
      <c r="D1782" s="180" t="s">
        <v>974</v>
      </c>
      <c r="E1782" s="180" t="s">
        <v>990</v>
      </c>
      <c r="F1782" s="672">
        <v>0</v>
      </c>
      <c r="G1782" s="672">
        <v>0</v>
      </c>
      <c r="H1782" s="672">
        <v>0</v>
      </c>
      <c r="I1782" s="672">
        <v>0</v>
      </c>
      <c r="J1782" s="672">
        <v>0</v>
      </c>
      <c r="K1782" s="672">
        <v>0</v>
      </c>
      <c r="L1782" s="672">
        <v>0</v>
      </c>
    </row>
    <row r="1783" spans="2:12">
      <c r="B1783" s="180" t="s">
        <v>2062</v>
      </c>
      <c r="C1783" s="180" t="s">
        <v>2063</v>
      </c>
      <c r="D1783" s="180" t="s">
        <v>974</v>
      </c>
      <c r="E1783" s="180" t="s">
        <v>980</v>
      </c>
      <c r="F1783" s="672">
        <v>10902.29</v>
      </c>
      <c r="G1783" s="672">
        <v>3904.26</v>
      </c>
      <c r="H1783" s="672">
        <v>-5072.05</v>
      </c>
      <c r="I1783" s="672">
        <v>-205.03</v>
      </c>
      <c r="J1783" s="672">
        <v>-346.28</v>
      </c>
      <c r="K1783" s="672">
        <v>-5410.48</v>
      </c>
      <c r="L1783" s="672">
        <v>18031.87</v>
      </c>
    </row>
    <row r="1784" spans="2:12">
      <c r="B1784" s="180" t="s">
        <v>1379</v>
      </c>
      <c r="C1784" s="180" t="s">
        <v>995</v>
      </c>
      <c r="D1784" s="180" t="s">
        <v>993</v>
      </c>
      <c r="E1784" s="180" t="s">
        <v>980</v>
      </c>
      <c r="F1784" s="672">
        <v>421387.29</v>
      </c>
      <c r="G1784" s="672">
        <v>9789.67</v>
      </c>
      <c r="H1784" s="672">
        <v>11756.61</v>
      </c>
      <c r="I1784" s="672">
        <v>18826.03</v>
      </c>
      <c r="J1784" s="672">
        <v>10619.35</v>
      </c>
      <c r="K1784" s="672">
        <v>79084.350000000006</v>
      </c>
      <c r="L1784" s="672">
        <v>291311.28000000003</v>
      </c>
    </row>
    <row r="1785" spans="2:12">
      <c r="B1785" s="180" t="s">
        <v>1066</v>
      </c>
      <c r="C1785" s="180" t="s">
        <v>1067</v>
      </c>
      <c r="D1785" s="180" t="s">
        <v>993</v>
      </c>
      <c r="E1785" s="180" t="s">
        <v>980</v>
      </c>
      <c r="F1785" s="672">
        <v>770664.07</v>
      </c>
      <c r="G1785" s="672">
        <v>17283.13</v>
      </c>
      <c r="H1785" s="672">
        <v>19057.669999999998</v>
      </c>
      <c r="I1785" s="672">
        <v>20520.650000000001</v>
      </c>
      <c r="J1785" s="672">
        <v>20861.189999999999</v>
      </c>
      <c r="K1785" s="672">
        <v>139867.88</v>
      </c>
      <c r="L1785" s="672">
        <v>553073.55000000005</v>
      </c>
    </row>
    <row r="1786" spans="2:12">
      <c r="B1786" s="180" t="s">
        <v>1460</v>
      </c>
      <c r="C1786" s="180" t="s">
        <v>1365</v>
      </c>
      <c r="D1786" s="180" t="s">
        <v>993</v>
      </c>
      <c r="E1786" s="180" t="s">
        <v>990</v>
      </c>
      <c r="F1786" s="672">
        <v>0</v>
      </c>
      <c r="G1786" s="672">
        <v>0</v>
      </c>
      <c r="H1786" s="672">
        <v>0</v>
      </c>
      <c r="I1786" s="672">
        <v>0</v>
      </c>
      <c r="J1786" s="672">
        <v>0</v>
      </c>
      <c r="K1786" s="672">
        <v>0</v>
      </c>
      <c r="L1786" s="672">
        <v>0</v>
      </c>
    </row>
    <row r="1787" spans="2:12">
      <c r="B1787" s="180" t="s">
        <v>1617</v>
      </c>
      <c r="C1787" s="180" t="s">
        <v>1412</v>
      </c>
      <c r="D1787" s="180" t="s">
        <v>993</v>
      </c>
      <c r="E1787" s="180" t="s">
        <v>983</v>
      </c>
      <c r="F1787" s="672">
        <v>8520.1200000000008</v>
      </c>
      <c r="G1787" s="672">
        <v>0</v>
      </c>
      <c r="H1787" s="672">
        <v>0</v>
      </c>
      <c r="I1787" s="672">
        <v>0</v>
      </c>
      <c r="J1787" s="672">
        <v>0</v>
      </c>
      <c r="K1787" s="672">
        <v>24</v>
      </c>
      <c r="L1787" s="672">
        <v>8496.1200000000008</v>
      </c>
    </row>
    <row r="1788" spans="2:12">
      <c r="B1788" s="180" t="s">
        <v>2071</v>
      </c>
      <c r="C1788" s="180" t="s">
        <v>1455</v>
      </c>
      <c r="D1788" s="180" t="s">
        <v>993</v>
      </c>
      <c r="E1788" s="180" t="s">
        <v>1078</v>
      </c>
      <c r="F1788" s="672">
        <v>-4811</v>
      </c>
      <c r="G1788" s="672">
        <v>-4811</v>
      </c>
      <c r="H1788" s="672">
        <v>0</v>
      </c>
      <c r="I1788" s="672">
        <v>0</v>
      </c>
      <c r="J1788" s="672">
        <v>0</v>
      </c>
      <c r="K1788" s="672">
        <v>0</v>
      </c>
      <c r="L1788" s="672">
        <v>0</v>
      </c>
    </row>
    <row r="1789" spans="2:12">
      <c r="B1789" s="180" t="s">
        <v>1801</v>
      </c>
      <c r="C1789" s="180" t="s">
        <v>1378</v>
      </c>
      <c r="D1789" s="180" t="s">
        <v>974</v>
      </c>
      <c r="E1789" s="180" t="s">
        <v>975</v>
      </c>
      <c r="F1789" s="672">
        <v>13804602.43</v>
      </c>
      <c r="G1789" s="672">
        <v>0</v>
      </c>
      <c r="H1789" s="672">
        <v>0</v>
      </c>
      <c r="I1789" s="672">
        <v>0</v>
      </c>
      <c r="J1789" s="672">
        <v>237565.96</v>
      </c>
      <c r="K1789" s="672">
        <v>8362526.4199999999</v>
      </c>
      <c r="L1789" s="672">
        <v>5204510.05</v>
      </c>
    </row>
    <row r="1790" spans="2:12">
      <c r="B1790" s="180" t="s">
        <v>2012</v>
      </c>
      <c r="C1790" s="180" t="s">
        <v>989</v>
      </c>
      <c r="D1790" s="180" t="s">
        <v>974</v>
      </c>
      <c r="E1790" s="180" t="s">
        <v>975</v>
      </c>
      <c r="F1790" s="672">
        <v>165348.72</v>
      </c>
      <c r="G1790" s="672">
        <v>0</v>
      </c>
      <c r="H1790" s="672">
        <v>0</v>
      </c>
      <c r="I1790" s="672">
        <v>0</v>
      </c>
      <c r="J1790" s="672">
        <v>0</v>
      </c>
      <c r="K1790" s="672">
        <v>0</v>
      </c>
      <c r="L1790" s="672">
        <v>165348.72</v>
      </c>
    </row>
    <row r="1791" spans="2:12">
      <c r="B1791" s="180" t="s">
        <v>1436</v>
      </c>
      <c r="C1791" s="180" t="s">
        <v>1437</v>
      </c>
      <c r="D1791" s="180" t="s">
        <v>974</v>
      </c>
      <c r="E1791" s="180" t="s">
        <v>990</v>
      </c>
      <c r="F1791" s="672">
        <v>0</v>
      </c>
      <c r="G1791" s="672">
        <v>0</v>
      </c>
      <c r="H1791" s="672">
        <v>0</v>
      </c>
      <c r="I1791" s="672">
        <v>0</v>
      </c>
      <c r="J1791" s="672">
        <v>0</v>
      </c>
      <c r="K1791" s="672">
        <v>0</v>
      </c>
      <c r="L1791" s="672">
        <v>0</v>
      </c>
    </row>
    <row r="1792" spans="2:12">
      <c r="B1792" s="180" t="s">
        <v>1720</v>
      </c>
      <c r="C1792" s="180" t="s">
        <v>1104</v>
      </c>
      <c r="D1792" s="180" t="s">
        <v>993</v>
      </c>
      <c r="E1792" s="180" t="s">
        <v>975</v>
      </c>
      <c r="F1792" s="672">
        <v>-15513.13</v>
      </c>
      <c r="G1792" s="672">
        <v>0</v>
      </c>
      <c r="H1792" s="672">
        <v>0</v>
      </c>
      <c r="I1792" s="672">
        <v>0</v>
      </c>
      <c r="J1792" s="672">
        <v>0</v>
      </c>
      <c r="K1792" s="672">
        <v>-12825.38</v>
      </c>
      <c r="L1792" s="672">
        <v>-2687.75</v>
      </c>
    </row>
    <row r="1793" spans="2:12">
      <c r="B1793" s="180" t="s">
        <v>1482</v>
      </c>
      <c r="C1793" s="180" t="s">
        <v>1455</v>
      </c>
      <c r="D1793" s="180" t="s">
        <v>993</v>
      </c>
      <c r="E1793" s="180" t="s">
        <v>983</v>
      </c>
      <c r="F1793" s="672">
        <v>1996.5</v>
      </c>
      <c r="G1793" s="672">
        <v>0</v>
      </c>
      <c r="H1793" s="672">
        <v>0</v>
      </c>
      <c r="I1793" s="672">
        <v>0</v>
      </c>
      <c r="J1793" s="672">
        <v>0</v>
      </c>
      <c r="K1793" s="672">
        <v>1996.5</v>
      </c>
      <c r="L1793" s="672">
        <v>0</v>
      </c>
    </row>
    <row r="1794" spans="2:12">
      <c r="B1794" s="180" t="s">
        <v>1573</v>
      </c>
      <c r="C1794" s="180" t="s">
        <v>1005</v>
      </c>
      <c r="D1794" s="180" t="s">
        <v>993</v>
      </c>
      <c r="E1794" s="180" t="s">
        <v>990</v>
      </c>
      <c r="F1794" s="672">
        <v>0</v>
      </c>
      <c r="G1794" s="672">
        <v>0</v>
      </c>
      <c r="H1794" s="672">
        <v>0</v>
      </c>
      <c r="I1794" s="672">
        <v>0</v>
      </c>
      <c r="J1794" s="672">
        <v>0</v>
      </c>
      <c r="K1794" s="672">
        <v>0</v>
      </c>
      <c r="L1794" s="672">
        <v>0</v>
      </c>
    </row>
    <row r="1795" spans="2:12">
      <c r="B1795" s="180" t="s">
        <v>1986</v>
      </c>
      <c r="C1795" s="180" t="s">
        <v>1987</v>
      </c>
      <c r="D1795" s="180" t="s">
        <v>974</v>
      </c>
      <c r="E1795" s="180" t="s">
        <v>990</v>
      </c>
      <c r="F1795" s="672">
        <v>0</v>
      </c>
      <c r="G1795" s="672">
        <v>0</v>
      </c>
      <c r="H1795" s="672">
        <v>0</v>
      </c>
      <c r="I1795" s="672">
        <v>0</v>
      </c>
      <c r="J1795" s="672">
        <v>0</v>
      </c>
      <c r="K1795" s="672">
        <v>0</v>
      </c>
      <c r="L1795" s="672">
        <v>0</v>
      </c>
    </row>
    <row r="1796" spans="2:12">
      <c r="B1796" s="180" t="s">
        <v>2072</v>
      </c>
      <c r="C1796" s="180" t="s">
        <v>1737</v>
      </c>
      <c r="D1796" s="180" t="s">
        <v>993</v>
      </c>
      <c r="E1796" s="180" t="s">
        <v>990</v>
      </c>
      <c r="F1796" s="672">
        <v>0</v>
      </c>
      <c r="G1796" s="672">
        <v>0</v>
      </c>
      <c r="H1796" s="672">
        <v>0</v>
      </c>
      <c r="I1796" s="672">
        <v>0</v>
      </c>
      <c r="J1796" s="672">
        <v>0</v>
      </c>
      <c r="K1796" s="672">
        <v>0</v>
      </c>
      <c r="L1796" s="672">
        <v>0</v>
      </c>
    </row>
    <row r="1797" spans="2:12">
      <c r="B1797" s="180" t="s">
        <v>1359</v>
      </c>
      <c r="C1797" s="180" t="s">
        <v>1021</v>
      </c>
      <c r="D1797" s="180" t="s">
        <v>993</v>
      </c>
      <c r="E1797" s="180" t="s">
        <v>980</v>
      </c>
      <c r="F1797" s="672">
        <v>235681.54</v>
      </c>
      <c r="G1797" s="672">
        <v>5877.13</v>
      </c>
      <c r="H1797" s="672">
        <v>6309.43</v>
      </c>
      <c r="I1797" s="672">
        <v>6977.36</v>
      </c>
      <c r="J1797" s="672">
        <v>7112.47</v>
      </c>
      <c r="K1797" s="672">
        <v>49258.04</v>
      </c>
      <c r="L1797" s="672">
        <v>160147.10999999999</v>
      </c>
    </row>
    <row r="1798" spans="2:12">
      <c r="B1798" s="180" t="s">
        <v>1824</v>
      </c>
      <c r="C1798" s="180" t="s">
        <v>1825</v>
      </c>
      <c r="D1798" s="180" t="s">
        <v>974</v>
      </c>
      <c r="E1798" s="180" t="s">
        <v>975</v>
      </c>
      <c r="F1798" s="672">
        <v>7936.93</v>
      </c>
      <c r="G1798" s="672">
        <v>0</v>
      </c>
      <c r="H1798" s="672">
        <v>0</v>
      </c>
      <c r="I1798" s="672">
        <v>0</v>
      </c>
      <c r="J1798" s="672">
        <v>0</v>
      </c>
      <c r="K1798" s="672">
        <v>0</v>
      </c>
      <c r="L1798" s="672">
        <v>7936.93</v>
      </c>
    </row>
    <row r="1799" spans="2:12">
      <c r="B1799" s="180" t="s">
        <v>1136</v>
      </c>
      <c r="C1799" s="180" t="s">
        <v>1137</v>
      </c>
      <c r="D1799" s="180" t="s">
        <v>974</v>
      </c>
      <c r="E1799" s="180" t="s">
        <v>990</v>
      </c>
      <c r="F1799" s="672">
        <v>0</v>
      </c>
      <c r="G1799" s="672">
        <v>0</v>
      </c>
      <c r="H1799" s="672">
        <v>0</v>
      </c>
      <c r="I1799" s="672">
        <v>0</v>
      </c>
      <c r="J1799" s="672">
        <v>0</v>
      </c>
      <c r="K1799" s="672">
        <v>0</v>
      </c>
      <c r="L1799" s="672">
        <v>0</v>
      </c>
    </row>
    <row r="1800" spans="2:12">
      <c r="B1800" s="180" t="s">
        <v>1107</v>
      </c>
      <c r="C1800" s="180" t="s">
        <v>1108</v>
      </c>
      <c r="D1800" s="180" t="s">
        <v>974</v>
      </c>
      <c r="E1800" s="180" t="s">
        <v>975</v>
      </c>
      <c r="F1800" s="672">
        <v>14113.18</v>
      </c>
      <c r="G1800" s="672">
        <v>0</v>
      </c>
      <c r="H1800" s="672">
        <v>0</v>
      </c>
      <c r="I1800" s="672">
        <v>0</v>
      </c>
      <c r="J1800" s="672">
        <v>0</v>
      </c>
      <c r="K1800" s="672">
        <v>4521.28</v>
      </c>
      <c r="L1800" s="672">
        <v>9591.9</v>
      </c>
    </row>
    <row r="1801" spans="2:12">
      <c r="B1801" s="180" t="s">
        <v>1582</v>
      </c>
      <c r="C1801" s="180" t="s">
        <v>1583</v>
      </c>
      <c r="D1801" s="180" t="s">
        <v>974</v>
      </c>
      <c r="E1801" s="180" t="s">
        <v>975</v>
      </c>
      <c r="F1801" s="672">
        <v>-1988.43</v>
      </c>
      <c r="G1801" s="672">
        <v>0</v>
      </c>
      <c r="H1801" s="672">
        <v>0</v>
      </c>
      <c r="I1801" s="672">
        <v>0</v>
      </c>
      <c r="J1801" s="672">
        <v>0</v>
      </c>
      <c r="K1801" s="672">
        <v>0</v>
      </c>
      <c r="L1801" s="672">
        <v>-1988.43</v>
      </c>
    </row>
    <row r="1802" spans="2:12">
      <c r="B1802" s="180" t="s">
        <v>1804</v>
      </c>
      <c r="C1802" s="180" t="s">
        <v>1529</v>
      </c>
      <c r="D1802" s="180" t="s">
        <v>974</v>
      </c>
      <c r="E1802" s="180" t="s">
        <v>990</v>
      </c>
      <c r="F1802" s="672">
        <v>0</v>
      </c>
      <c r="G1802" s="672">
        <v>0</v>
      </c>
      <c r="H1802" s="672">
        <v>0</v>
      </c>
      <c r="I1802" s="672">
        <v>0</v>
      </c>
      <c r="J1802" s="672">
        <v>0</v>
      </c>
      <c r="K1802" s="672">
        <v>0</v>
      </c>
      <c r="L1802" s="672">
        <v>0</v>
      </c>
    </row>
    <row r="1803" spans="2:12">
      <c r="B1803" s="180" t="s">
        <v>1322</v>
      </c>
      <c r="C1803" s="180" t="s">
        <v>1323</v>
      </c>
      <c r="D1803" s="180" t="s">
        <v>974</v>
      </c>
      <c r="E1803" s="180" t="s">
        <v>980</v>
      </c>
      <c r="F1803" s="672">
        <v>135599.97</v>
      </c>
      <c r="G1803" s="672">
        <v>-66270.39</v>
      </c>
      <c r="H1803" s="672">
        <v>117745.38</v>
      </c>
      <c r="I1803" s="672">
        <v>24661.51</v>
      </c>
      <c r="J1803" s="672">
        <v>15709.18</v>
      </c>
      <c r="K1803" s="672">
        <v>245519.85</v>
      </c>
      <c r="L1803" s="672">
        <v>-201765.56</v>
      </c>
    </row>
    <row r="1804" spans="2:12">
      <c r="B1804" s="180" t="s">
        <v>2046</v>
      </c>
      <c r="C1804" s="180" t="s">
        <v>2047</v>
      </c>
      <c r="D1804" s="180" t="s">
        <v>974</v>
      </c>
      <c r="E1804" s="180" t="s">
        <v>980</v>
      </c>
      <c r="F1804" s="672">
        <v>-3208.76</v>
      </c>
      <c r="G1804" s="672">
        <v>-291.24</v>
      </c>
      <c r="H1804" s="672">
        <v>-492.63</v>
      </c>
      <c r="I1804" s="672">
        <v>380.39</v>
      </c>
      <c r="J1804" s="672">
        <v>-305.49</v>
      </c>
      <c r="K1804" s="672">
        <v>1255.8599999999999</v>
      </c>
      <c r="L1804" s="672">
        <v>-3755.65</v>
      </c>
    </row>
    <row r="1805" spans="2:12">
      <c r="B1805" s="180" t="s">
        <v>2073</v>
      </c>
      <c r="C1805" s="180" t="s">
        <v>1875</v>
      </c>
      <c r="D1805" s="180" t="s">
        <v>974</v>
      </c>
      <c r="E1805" s="180" t="s">
        <v>980</v>
      </c>
      <c r="F1805" s="672">
        <v>-152037.44</v>
      </c>
      <c r="G1805" s="672">
        <v>-6945.79</v>
      </c>
      <c r="H1805" s="672">
        <v>-12860.07</v>
      </c>
      <c r="I1805" s="672">
        <v>34944.15</v>
      </c>
      <c r="J1805" s="672">
        <v>-6755.75</v>
      </c>
      <c r="K1805" s="672">
        <v>126064.5</v>
      </c>
      <c r="L1805" s="672">
        <v>-286484.47999999998</v>
      </c>
    </row>
    <row r="1806" spans="2:12">
      <c r="B1806" s="180" t="s">
        <v>1836</v>
      </c>
      <c r="C1806" s="180" t="s">
        <v>1837</v>
      </c>
      <c r="D1806" s="180" t="s">
        <v>974</v>
      </c>
      <c r="E1806" s="180" t="s">
        <v>980</v>
      </c>
      <c r="F1806" s="672">
        <v>-67560.83</v>
      </c>
      <c r="G1806" s="672">
        <v>-91880.36</v>
      </c>
      <c r="H1806" s="672">
        <v>-126084.39</v>
      </c>
      <c r="I1806" s="672">
        <v>28160.23</v>
      </c>
      <c r="J1806" s="672">
        <v>7422.25</v>
      </c>
      <c r="K1806" s="672">
        <v>-10173.09</v>
      </c>
      <c r="L1806" s="672">
        <v>124994.53</v>
      </c>
    </row>
    <row r="1807" spans="2:12">
      <c r="B1807" s="180" t="s">
        <v>2074</v>
      </c>
      <c r="C1807" s="180" t="s">
        <v>2075</v>
      </c>
      <c r="D1807" s="180" t="s">
        <v>974</v>
      </c>
      <c r="E1807" s="180" t="s">
        <v>980</v>
      </c>
      <c r="F1807" s="672">
        <v>-7383153.75</v>
      </c>
      <c r="G1807" s="672">
        <v>0</v>
      </c>
      <c r="H1807" s="672">
        <v>0</v>
      </c>
      <c r="I1807" s="672">
        <v>0</v>
      </c>
      <c r="J1807" s="672">
        <v>0</v>
      </c>
      <c r="K1807" s="672">
        <v>0</v>
      </c>
      <c r="L1807" s="672">
        <v>-7383153.75</v>
      </c>
    </row>
    <row r="1808" spans="2:12">
      <c r="B1808" s="180" t="s">
        <v>1207</v>
      </c>
      <c r="C1808" s="180" t="s">
        <v>1208</v>
      </c>
      <c r="D1808" s="180" t="s">
        <v>993</v>
      </c>
      <c r="E1808" s="180" t="s">
        <v>975</v>
      </c>
      <c r="F1808" s="672">
        <v>-110058.45</v>
      </c>
      <c r="G1808" s="672">
        <v>0</v>
      </c>
      <c r="H1808" s="672">
        <v>0</v>
      </c>
      <c r="I1808" s="672">
        <v>0</v>
      </c>
      <c r="J1808" s="672">
        <v>0</v>
      </c>
      <c r="K1808" s="672">
        <v>-59816.480000000003</v>
      </c>
      <c r="L1808" s="672">
        <v>-50241.97</v>
      </c>
    </row>
    <row r="1809" spans="2:12">
      <c r="B1809" s="180" t="s">
        <v>1908</v>
      </c>
      <c r="C1809" s="180" t="s">
        <v>1909</v>
      </c>
      <c r="D1809" s="180" t="s">
        <v>974</v>
      </c>
      <c r="E1809" s="180" t="s">
        <v>990</v>
      </c>
      <c r="F1809" s="672">
        <v>0</v>
      </c>
      <c r="G1809" s="672">
        <v>0</v>
      </c>
      <c r="H1809" s="672">
        <v>0</v>
      </c>
      <c r="I1809" s="672">
        <v>0</v>
      </c>
      <c r="J1809" s="672">
        <v>0</v>
      </c>
      <c r="K1809" s="672">
        <v>0</v>
      </c>
      <c r="L1809" s="672">
        <v>0</v>
      </c>
    </row>
    <row r="1810" spans="2:12">
      <c r="B1810" s="180" t="s">
        <v>1503</v>
      </c>
      <c r="C1810" s="180" t="s">
        <v>1504</v>
      </c>
      <c r="D1810" s="180" t="s">
        <v>974</v>
      </c>
      <c r="E1810" s="180" t="s">
        <v>980</v>
      </c>
      <c r="F1810" s="672">
        <v>-53454.720000000001</v>
      </c>
      <c r="G1810" s="672">
        <v>4147.63</v>
      </c>
      <c r="H1810" s="672">
        <v>711.39</v>
      </c>
      <c r="I1810" s="672">
        <v>911.65</v>
      </c>
      <c r="J1810" s="672">
        <v>152.84</v>
      </c>
      <c r="K1810" s="672">
        <v>35739.21</v>
      </c>
      <c r="L1810" s="672">
        <v>-95117.440000000002</v>
      </c>
    </row>
    <row r="1811" spans="2:12">
      <c r="B1811" s="180" t="s">
        <v>2072</v>
      </c>
      <c r="C1811" s="180" t="s">
        <v>1737</v>
      </c>
      <c r="D1811" s="180" t="s">
        <v>993</v>
      </c>
      <c r="E1811" s="180" t="s">
        <v>980</v>
      </c>
      <c r="F1811" s="672">
        <v>17541.16</v>
      </c>
      <c r="G1811" s="672">
        <v>2620.46</v>
      </c>
      <c r="H1811" s="672">
        <v>2493.63</v>
      </c>
      <c r="I1811" s="672">
        <v>2530.19</v>
      </c>
      <c r="J1811" s="672">
        <v>2632.79</v>
      </c>
      <c r="K1811" s="672">
        <v>-48928.52</v>
      </c>
      <c r="L1811" s="672">
        <v>56192.61</v>
      </c>
    </row>
    <row r="1812" spans="2:12">
      <c r="B1812" s="180" t="s">
        <v>1145</v>
      </c>
      <c r="C1812" s="180" t="s">
        <v>1146</v>
      </c>
      <c r="D1812" s="180" t="s">
        <v>974</v>
      </c>
      <c r="E1812" s="180" t="s">
        <v>1034</v>
      </c>
      <c r="F1812" s="672">
        <v>0</v>
      </c>
      <c r="G1812" s="672">
        <v>0</v>
      </c>
      <c r="H1812" s="672">
        <v>0</v>
      </c>
      <c r="I1812" s="672">
        <v>0</v>
      </c>
      <c r="J1812" s="672">
        <v>0</v>
      </c>
      <c r="K1812" s="672">
        <v>0</v>
      </c>
      <c r="L1812" s="672">
        <v>0</v>
      </c>
    </row>
    <row r="1813" spans="2:12">
      <c r="B1813" s="180" t="s">
        <v>1769</v>
      </c>
      <c r="C1813" s="180" t="s">
        <v>1770</v>
      </c>
      <c r="D1813" s="180" t="s">
        <v>974</v>
      </c>
      <c r="E1813" s="180" t="s">
        <v>990</v>
      </c>
      <c r="F1813" s="672">
        <v>0</v>
      </c>
      <c r="G1813" s="672">
        <v>0</v>
      </c>
      <c r="H1813" s="672">
        <v>0</v>
      </c>
      <c r="I1813" s="672">
        <v>0</v>
      </c>
      <c r="J1813" s="672">
        <v>0</v>
      </c>
      <c r="K1813" s="672">
        <v>0</v>
      </c>
      <c r="L1813" s="672">
        <v>0</v>
      </c>
    </row>
    <row r="1814" spans="2:12">
      <c r="B1814" s="180" t="s">
        <v>1076</v>
      </c>
      <c r="C1814" s="180" t="s">
        <v>1077</v>
      </c>
      <c r="D1814" s="180" t="s">
        <v>974</v>
      </c>
      <c r="E1814" s="180" t="s">
        <v>990</v>
      </c>
      <c r="F1814" s="672">
        <v>0</v>
      </c>
      <c r="G1814" s="672">
        <v>0</v>
      </c>
      <c r="H1814" s="672">
        <v>0</v>
      </c>
      <c r="I1814" s="672">
        <v>0</v>
      </c>
      <c r="J1814" s="672">
        <v>0</v>
      </c>
      <c r="K1814" s="672">
        <v>0</v>
      </c>
      <c r="L1814" s="672">
        <v>0</v>
      </c>
    </row>
    <row r="1815" spans="2:12">
      <c r="B1815" s="180" t="s">
        <v>1037</v>
      </c>
      <c r="C1815" s="180" t="s">
        <v>1038</v>
      </c>
      <c r="D1815" s="180" t="s">
        <v>974</v>
      </c>
      <c r="E1815" s="180" t="s">
        <v>980</v>
      </c>
      <c r="F1815" s="672">
        <v>97045.97</v>
      </c>
      <c r="G1815" s="672">
        <v>-53256.85</v>
      </c>
      <c r="H1815" s="672">
        <v>-85111.87</v>
      </c>
      <c r="I1815" s="672">
        <v>-30253.8</v>
      </c>
      <c r="J1815" s="672">
        <v>-54573.52</v>
      </c>
      <c r="K1815" s="672">
        <v>389331.06</v>
      </c>
      <c r="L1815" s="672">
        <v>-69089.05</v>
      </c>
    </row>
    <row r="1816" spans="2:12">
      <c r="B1816" s="180" t="s">
        <v>1743</v>
      </c>
      <c r="C1816" s="180" t="s">
        <v>1005</v>
      </c>
      <c r="D1816" s="180" t="s">
        <v>993</v>
      </c>
      <c r="E1816" s="180" t="s">
        <v>975</v>
      </c>
      <c r="F1816" s="672">
        <v>-26311.63</v>
      </c>
      <c r="G1816" s="672">
        <v>0</v>
      </c>
      <c r="H1816" s="672">
        <v>0</v>
      </c>
      <c r="I1816" s="672">
        <v>0</v>
      </c>
      <c r="J1816" s="672">
        <v>0</v>
      </c>
      <c r="K1816" s="672">
        <v>0</v>
      </c>
      <c r="L1816" s="672">
        <v>-26311.63</v>
      </c>
    </row>
    <row r="1817" spans="2:12">
      <c r="B1817" s="180" t="s">
        <v>1306</v>
      </c>
      <c r="C1817" s="180" t="s">
        <v>1307</v>
      </c>
      <c r="D1817" s="180" t="s">
        <v>993</v>
      </c>
      <c r="E1817" s="180" t="s">
        <v>975</v>
      </c>
      <c r="F1817" s="672">
        <v>-8669.0300000000007</v>
      </c>
      <c r="G1817" s="672">
        <v>0</v>
      </c>
      <c r="H1817" s="672">
        <v>0</v>
      </c>
      <c r="I1817" s="672">
        <v>0</v>
      </c>
      <c r="J1817" s="672">
        <v>0</v>
      </c>
      <c r="K1817" s="672">
        <v>-229.67</v>
      </c>
      <c r="L1817" s="672">
        <v>-8439.36</v>
      </c>
    </row>
    <row r="1818" spans="2:12">
      <c r="B1818" s="180" t="s">
        <v>1692</v>
      </c>
      <c r="C1818" s="180" t="s">
        <v>1693</v>
      </c>
      <c r="D1818" s="180" t="s">
        <v>974</v>
      </c>
      <c r="E1818" s="180" t="s">
        <v>990</v>
      </c>
      <c r="F1818" s="672">
        <v>-23.72</v>
      </c>
      <c r="G1818" s="672">
        <v>0</v>
      </c>
      <c r="H1818" s="672">
        <v>0</v>
      </c>
      <c r="I1818" s="672">
        <v>0</v>
      </c>
      <c r="J1818" s="672">
        <v>0</v>
      </c>
      <c r="K1818" s="672">
        <v>0</v>
      </c>
      <c r="L1818" s="672">
        <v>-23.72</v>
      </c>
    </row>
    <row r="1819" spans="2:12">
      <c r="B1819" s="180" t="s">
        <v>1639</v>
      </c>
      <c r="C1819" s="180" t="s">
        <v>1032</v>
      </c>
      <c r="D1819" s="180" t="s">
        <v>974</v>
      </c>
      <c r="E1819" s="180" t="s">
        <v>975</v>
      </c>
      <c r="F1819" s="672">
        <v>-761.21</v>
      </c>
      <c r="G1819" s="672">
        <v>0</v>
      </c>
      <c r="H1819" s="672">
        <v>0</v>
      </c>
      <c r="I1819" s="672">
        <v>0</v>
      </c>
      <c r="J1819" s="672">
        <v>0</v>
      </c>
      <c r="K1819" s="672">
        <v>-374.88</v>
      </c>
      <c r="L1819" s="672">
        <v>-386.33</v>
      </c>
    </row>
    <row r="1820" spans="2:12">
      <c r="B1820" s="180" t="s">
        <v>1294</v>
      </c>
      <c r="C1820" s="180" t="s">
        <v>1295</v>
      </c>
      <c r="D1820" s="180" t="s">
        <v>974</v>
      </c>
      <c r="E1820" s="180" t="s">
        <v>975</v>
      </c>
      <c r="F1820" s="672">
        <v>-1279.26</v>
      </c>
      <c r="G1820" s="672">
        <v>0</v>
      </c>
      <c r="H1820" s="672">
        <v>0</v>
      </c>
      <c r="I1820" s="672">
        <v>0</v>
      </c>
      <c r="J1820" s="672">
        <v>0</v>
      </c>
      <c r="K1820" s="672">
        <v>0</v>
      </c>
      <c r="L1820" s="672">
        <v>-1279.26</v>
      </c>
    </row>
    <row r="1821" spans="2:12">
      <c r="B1821" s="180" t="s">
        <v>1936</v>
      </c>
      <c r="C1821" s="180" t="s">
        <v>1937</v>
      </c>
      <c r="D1821" s="180" t="s">
        <v>993</v>
      </c>
      <c r="E1821" s="180" t="s">
        <v>980</v>
      </c>
      <c r="F1821" s="672">
        <v>852936.82</v>
      </c>
      <c r="G1821" s="672">
        <v>14405.92</v>
      </c>
      <c r="H1821" s="672">
        <v>16643.27</v>
      </c>
      <c r="I1821" s="672">
        <v>17074.84</v>
      </c>
      <c r="J1821" s="672">
        <v>16940.64</v>
      </c>
      <c r="K1821" s="672">
        <v>166203.45000000001</v>
      </c>
      <c r="L1821" s="672">
        <v>621668.69999999995</v>
      </c>
    </row>
    <row r="1822" spans="2:12">
      <c r="B1822" s="180" t="s">
        <v>1544</v>
      </c>
      <c r="C1822" s="180" t="s">
        <v>1545</v>
      </c>
      <c r="D1822" s="180" t="s">
        <v>974</v>
      </c>
      <c r="E1822" s="180" t="s">
        <v>990</v>
      </c>
      <c r="F1822" s="672">
        <v>0</v>
      </c>
      <c r="G1822" s="672">
        <v>0</v>
      </c>
      <c r="H1822" s="672">
        <v>0</v>
      </c>
      <c r="I1822" s="672">
        <v>0</v>
      </c>
      <c r="J1822" s="672">
        <v>0</v>
      </c>
      <c r="K1822" s="672">
        <v>0</v>
      </c>
      <c r="L1822" s="672">
        <v>0</v>
      </c>
    </row>
    <row r="1823" spans="2:12">
      <c r="B1823" s="180" t="s">
        <v>1118</v>
      </c>
      <c r="C1823" s="180" t="s">
        <v>1119</v>
      </c>
      <c r="D1823" s="180" t="s">
        <v>974</v>
      </c>
      <c r="E1823" s="180" t="s">
        <v>990</v>
      </c>
      <c r="F1823" s="672">
        <v>0</v>
      </c>
      <c r="G1823" s="672">
        <v>0</v>
      </c>
      <c r="H1823" s="672">
        <v>0</v>
      </c>
      <c r="I1823" s="672">
        <v>0</v>
      </c>
      <c r="J1823" s="672">
        <v>0</v>
      </c>
      <c r="K1823" s="672">
        <v>0</v>
      </c>
      <c r="L1823" s="672">
        <v>0</v>
      </c>
    </row>
    <row r="1824" spans="2:12">
      <c r="B1824" s="180" t="s">
        <v>1946</v>
      </c>
      <c r="C1824" s="180" t="s">
        <v>1947</v>
      </c>
      <c r="D1824" s="180" t="s">
        <v>974</v>
      </c>
      <c r="E1824" s="180" t="s">
        <v>990</v>
      </c>
      <c r="F1824" s="672">
        <v>0</v>
      </c>
      <c r="G1824" s="672">
        <v>0</v>
      </c>
      <c r="H1824" s="672">
        <v>0</v>
      </c>
      <c r="I1824" s="672">
        <v>0</v>
      </c>
      <c r="J1824" s="672">
        <v>0</v>
      </c>
      <c r="K1824" s="672">
        <v>0</v>
      </c>
      <c r="L1824" s="672">
        <v>0</v>
      </c>
    </row>
    <row r="1825" spans="2:12">
      <c r="B1825" s="180" t="s">
        <v>1338</v>
      </c>
      <c r="C1825" s="180" t="s">
        <v>1339</v>
      </c>
      <c r="D1825" s="180" t="s">
        <v>974</v>
      </c>
      <c r="E1825" s="180" t="s">
        <v>980</v>
      </c>
      <c r="F1825" s="672">
        <v>4893605.75</v>
      </c>
      <c r="G1825" s="672">
        <v>114078.05</v>
      </c>
      <c r="H1825" s="672">
        <v>114063.74</v>
      </c>
      <c r="I1825" s="672">
        <v>114005.21</v>
      </c>
      <c r="J1825" s="672">
        <v>113966.12</v>
      </c>
      <c r="K1825" s="672">
        <v>895271.91</v>
      </c>
      <c r="L1825" s="672">
        <v>3542220.72</v>
      </c>
    </row>
    <row r="1826" spans="2:12">
      <c r="B1826" s="180" t="s">
        <v>2043</v>
      </c>
      <c r="C1826" s="180" t="s">
        <v>982</v>
      </c>
      <c r="D1826" s="180" t="s">
        <v>974</v>
      </c>
      <c r="E1826" s="180" t="s">
        <v>990</v>
      </c>
      <c r="F1826" s="672">
        <v>0</v>
      </c>
      <c r="G1826" s="672">
        <v>0</v>
      </c>
      <c r="H1826" s="672">
        <v>0</v>
      </c>
      <c r="I1826" s="672">
        <v>0</v>
      </c>
      <c r="J1826" s="672">
        <v>0</v>
      </c>
      <c r="K1826" s="672">
        <v>0</v>
      </c>
      <c r="L1826" s="672">
        <v>0</v>
      </c>
    </row>
    <row r="1827" spans="2:12">
      <c r="B1827" s="180" t="s">
        <v>1843</v>
      </c>
      <c r="C1827" s="180" t="s">
        <v>1844</v>
      </c>
      <c r="D1827" s="180" t="s">
        <v>974</v>
      </c>
      <c r="E1827" s="180" t="s">
        <v>975</v>
      </c>
      <c r="F1827" s="672">
        <v>59056.79</v>
      </c>
      <c r="G1827" s="672">
        <v>0</v>
      </c>
      <c r="H1827" s="672">
        <v>0</v>
      </c>
      <c r="I1827" s="672">
        <v>0</v>
      </c>
      <c r="J1827" s="672">
        <v>0</v>
      </c>
      <c r="K1827" s="672">
        <v>3764.42</v>
      </c>
      <c r="L1827" s="672">
        <v>55292.37</v>
      </c>
    </row>
    <row r="1828" spans="2:12">
      <c r="B1828" s="180" t="s">
        <v>1344</v>
      </c>
      <c r="C1828" s="180" t="s">
        <v>1345</v>
      </c>
      <c r="D1828" s="180" t="s">
        <v>974</v>
      </c>
      <c r="E1828" s="180" t="s">
        <v>980</v>
      </c>
      <c r="F1828" s="672">
        <v>540.4</v>
      </c>
      <c r="G1828" s="672">
        <v>237.08</v>
      </c>
      <c r="H1828" s="672">
        <v>37.950000000000003</v>
      </c>
      <c r="I1828" s="672">
        <v>-175.35</v>
      </c>
      <c r="J1828" s="672">
        <v>-6.16</v>
      </c>
      <c r="K1828" s="672">
        <v>331.39</v>
      </c>
      <c r="L1828" s="672">
        <v>115.49</v>
      </c>
    </row>
    <row r="1829" spans="2:12">
      <c r="B1829" s="180" t="s">
        <v>1198</v>
      </c>
      <c r="C1829" s="180" t="s">
        <v>1199</v>
      </c>
      <c r="D1829" s="180" t="s">
        <v>993</v>
      </c>
      <c r="E1829" s="180" t="s">
        <v>975</v>
      </c>
      <c r="F1829" s="672">
        <v>-95716.32</v>
      </c>
      <c r="G1829" s="672">
        <v>0</v>
      </c>
      <c r="H1829" s="672">
        <v>0</v>
      </c>
      <c r="I1829" s="672">
        <v>0</v>
      </c>
      <c r="J1829" s="672">
        <v>0</v>
      </c>
      <c r="K1829" s="672">
        <v>-28343.08</v>
      </c>
      <c r="L1829" s="672">
        <v>-67373.240000000005</v>
      </c>
    </row>
    <row r="1830" spans="2:12">
      <c r="B1830" s="180" t="s">
        <v>2023</v>
      </c>
      <c r="C1830" s="180" t="s">
        <v>2024</v>
      </c>
      <c r="D1830" s="180" t="s">
        <v>974</v>
      </c>
      <c r="E1830" s="180" t="s">
        <v>980</v>
      </c>
      <c r="F1830" s="672">
        <v>1977.18</v>
      </c>
      <c r="G1830" s="672">
        <v>-206.37</v>
      </c>
      <c r="H1830" s="672">
        <v>-146.52000000000001</v>
      </c>
      <c r="I1830" s="672">
        <v>87.97</v>
      </c>
      <c r="J1830" s="672">
        <v>-2.65</v>
      </c>
      <c r="K1830" s="672">
        <v>482.32</v>
      </c>
      <c r="L1830" s="672">
        <v>1762.43</v>
      </c>
    </row>
    <row r="1831" spans="2:12">
      <c r="B1831" s="180" t="s">
        <v>1008</v>
      </c>
      <c r="C1831" s="180" t="s">
        <v>1009</v>
      </c>
      <c r="D1831" s="180" t="s">
        <v>974</v>
      </c>
      <c r="E1831" s="180" t="s">
        <v>990</v>
      </c>
      <c r="F1831" s="672">
        <v>0</v>
      </c>
      <c r="G1831" s="672">
        <v>0</v>
      </c>
      <c r="H1831" s="672">
        <v>0</v>
      </c>
      <c r="I1831" s="672">
        <v>0</v>
      </c>
      <c r="J1831" s="672">
        <v>0</v>
      </c>
      <c r="K1831" s="672">
        <v>0</v>
      </c>
      <c r="L1831" s="672">
        <v>0</v>
      </c>
    </row>
    <row r="1832" spans="2:12">
      <c r="B1832" s="180" t="s">
        <v>1721</v>
      </c>
      <c r="C1832" s="180" t="s">
        <v>1237</v>
      </c>
      <c r="D1832" s="180" t="s">
        <v>993</v>
      </c>
      <c r="E1832" s="180" t="s">
        <v>980</v>
      </c>
      <c r="F1832" s="672">
        <v>1922159.96</v>
      </c>
      <c r="G1832" s="672">
        <v>49715.040000000001</v>
      </c>
      <c r="H1832" s="672">
        <v>53317.88</v>
      </c>
      <c r="I1832" s="672">
        <v>56360.99</v>
      </c>
      <c r="J1832" s="672">
        <v>55213.03</v>
      </c>
      <c r="K1832" s="672">
        <v>389545.11</v>
      </c>
      <c r="L1832" s="672">
        <v>1318007.9099999999</v>
      </c>
    </row>
    <row r="1833" spans="2:12">
      <c r="B1833" s="180" t="s">
        <v>1312</v>
      </c>
      <c r="C1833" s="180" t="s">
        <v>1123</v>
      </c>
      <c r="D1833" s="180" t="s">
        <v>993</v>
      </c>
      <c r="E1833" s="180" t="s">
        <v>980</v>
      </c>
      <c r="F1833" s="672">
        <v>68093.17</v>
      </c>
      <c r="G1833" s="672">
        <v>1700.64</v>
      </c>
      <c r="H1833" s="672">
        <v>1718.67</v>
      </c>
      <c r="I1833" s="672">
        <v>1602.85</v>
      </c>
      <c r="J1833" s="672">
        <v>1678.71</v>
      </c>
      <c r="K1833" s="672">
        <v>13699.89</v>
      </c>
      <c r="L1833" s="672">
        <v>47692.41</v>
      </c>
    </row>
    <row r="1834" spans="2:12">
      <c r="B1834" s="180" t="s">
        <v>1233</v>
      </c>
      <c r="C1834" s="180" t="s">
        <v>1234</v>
      </c>
      <c r="D1834" s="180" t="s">
        <v>974</v>
      </c>
      <c r="E1834" s="180" t="s">
        <v>975</v>
      </c>
      <c r="F1834" s="672">
        <v>8807.56</v>
      </c>
      <c r="G1834" s="672">
        <v>0</v>
      </c>
      <c r="H1834" s="672">
        <v>0</v>
      </c>
      <c r="I1834" s="672">
        <v>0</v>
      </c>
      <c r="J1834" s="672">
        <v>0</v>
      </c>
      <c r="K1834" s="672">
        <v>0</v>
      </c>
      <c r="L1834" s="672">
        <v>8807.56</v>
      </c>
    </row>
    <row r="1835" spans="2:12">
      <c r="B1835" s="180" t="s">
        <v>1975</v>
      </c>
      <c r="C1835" s="180" t="s">
        <v>1333</v>
      </c>
      <c r="D1835" s="180" t="s">
        <v>993</v>
      </c>
      <c r="E1835" s="180" t="s">
        <v>980</v>
      </c>
      <c r="F1835" s="672">
        <v>254960.63</v>
      </c>
      <c r="G1835" s="672">
        <v>2610.4699999999998</v>
      </c>
      <c r="H1835" s="672">
        <v>4394.32</v>
      </c>
      <c r="I1835" s="672">
        <v>36643.660000000003</v>
      </c>
      <c r="J1835" s="672">
        <v>2057.6999999999998</v>
      </c>
      <c r="K1835" s="672">
        <v>32616.33</v>
      </c>
      <c r="L1835" s="672">
        <v>176638.15</v>
      </c>
    </row>
    <row r="1836" spans="2:12">
      <c r="B1836" s="180" t="s">
        <v>1184</v>
      </c>
      <c r="C1836" s="180" t="s">
        <v>1185</v>
      </c>
      <c r="D1836" s="180" t="s">
        <v>993</v>
      </c>
      <c r="E1836" s="180" t="s">
        <v>990</v>
      </c>
      <c r="F1836" s="672">
        <v>0.86</v>
      </c>
      <c r="G1836" s="672">
        <v>0</v>
      </c>
      <c r="H1836" s="672">
        <v>0</v>
      </c>
      <c r="I1836" s="672">
        <v>0</v>
      </c>
      <c r="J1836" s="672">
        <v>0</v>
      </c>
      <c r="K1836" s="672">
        <v>0</v>
      </c>
      <c r="L1836" s="672">
        <v>0.86</v>
      </c>
    </row>
    <row r="1837" spans="2:12">
      <c r="B1837" s="180" t="s">
        <v>1951</v>
      </c>
      <c r="C1837" s="180" t="s">
        <v>1267</v>
      </c>
      <c r="D1837" s="180" t="s">
        <v>993</v>
      </c>
      <c r="E1837" s="180" t="s">
        <v>975</v>
      </c>
      <c r="F1837" s="672">
        <v>-6800.2</v>
      </c>
      <c r="G1837" s="672">
        <v>0</v>
      </c>
      <c r="H1837" s="672">
        <v>0</v>
      </c>
      <c r="I1837" s="672">
        <v>0</v>
      </c>
      <c r="J1837" s="672">
        <v>0</v>
      </c>
      <c r="K1837" s="672">
        <v>-6800.2</v>
      </c>
      <c r="L1837" s="672">
        <v>0</v>
      </c>
    </row>
    <row r="1838" spans="2:12">
      <c r="B1838" s="180" t="s">
        <v>1684</v>
      </c>
      <c r="C1838" s="180" t="s">
        <v>1094</v>
      </c>
      <c r="D1838" s="180" t="s">
        <v>974</v>
      </c>
      <c r="E1838" s="180" t="s">
        <v>1478</v>
      </c>
      <c r="F1838" s="672">
        <v>0</v>
      </c>
      <c r="G1838" s="672">
        <v>0</v>
      </c>
      <c r="H1838" s="672">
        <v>0</v>
      </c>
      <c r="I1838" s="672">
        <v>0</v>
      </c>
      <c r="J1838" s="672">
        <v>0</v>
      </c>
      <c r="K1838" s="672">
        <v>0</v>
      </c>
      <c r="L1838" s="672">
        <v>0</v>
      </c>
    </row>
    <row r="1839" spans="2:12">
      <c r="B1839" s="180" t="s">
        <v>1609</v>
      </c>
      <c r="C1839" s="180" t="s">
        <v>1610</v>
      </c>
      <c r="D1839" s="180" t="s">
        <v>974</v>
      </c>
      <c r="E1839" s="180" t="s">
        <v>990</v>
      </c>
      <c r="F1839" s="672">
        <v>0</v>
      </c>
      <c r="G1839" s="672">
        <v>0</v>
      </c>
      <c r="H1839" s="672">
        <v>0</v>
      </c>
      <c r="I1839" s="672">
        <v>0</v>
      </c>
      <c r="J1839" s="672">
        <v>0</v>
      </c>
      <c r="K1839" s="672">
        <v>0</v>
      </c>
      <c r="L1839" s="672">
        <v>0</v>
      </c>
    </row>
    <row r="1840" spans="2:12">
      <c r="B1840" s="180" t="s">
        <v>1635</v>
      </c>
      <c r="C1840" s="180" t="s">
        <v>1636</v>
      </c>
      <c r="D1840" s="180" t="s">
        <v>974</v>
      </c>
      <c r="E1840" s="180" t="s">
        <v>975</v>
      </c>
      <c r="F1840" s="672">
        <v>4977</v>
      </c>
      <c r="G1840" s="672">
        <v>0</v>
      </c>
      <c r="H1840" s="672">
        <v>0</v>
      </c>
      <c r="I1840" s="672">
        <v>0</v>
      </c>
      <c r="J1840" s="672">
        <v>0</v>
      </c>
      <c r="K1840" s="672">
        <v>0</v>
      </c>
      <c r="L1840" s="672">
        <v>4977</v>
      </c>
    </row>
    <row r="1841" spans="2:12">
      <c r="B1841" s="180" t="s">
        <v>1932</v>
      </c>
      <c r="C1841" s="180" t="s">
        <v>1273</v>
      </c>
      <c r="D1841" s="180" t="s">
        <v>993</v>
      </c>
      <c r="E1841" s="180" t="s">
        <v>990</v>
      </c>
      <c r="F1841" s="672">
        <v>0</v>
      </c>
      <c r="G1841" s="672">
        <v>0</v>
      </c>
      <c r="H1841" s="672">
        <v>0</v>
      </c>
      <c r="I1841" s="672">
        <v>0</v>
      </c>
      <c r="J1841" s="672">
        <v>0</v>
      </c>
      <c r="K1841" s="672">
        <v>0</v>
      </c>
      <c r="L1841" s="672">
        <v>0</v>
      </c>
    </row>
    <row r="1842" spans="2:12">
      <c r="B1842" s="180" t="s">
        <v>1942</v>
      </c>
      <c r="C1842" s="180" t="s">
        <v>1208</v>
      </c>
      <c r="D1842" s="180" t="s">
        <v>993</v>
      </c>
      <c r="E1842" s="180" t="s">
        <v>980</v>
      </c>
      <c r="F1842" s="672">
        <v>1998850.57</v>
      </c>
      <c r="G1842" s="672">
        <v>46378.3</v>
      </c>
      <c r="H1842" s="672">
        <v>47463.72</v>
      </c>
      <c r="I1842" s="672">
        <v>48747.87</v>
      </c>
      <c r="J1842" s="672">
        <v>49263.13</v>
      </c>
      <c r="K1842" s="672">
        <v>671779.8</v>
      </c>
      <c r="L1842" s="672">
        <v>1135217.75</v>
      </c>
    </row>
    <row r="1843" spans="2:12">
      <c r="B1843" s="180" t="s">
        <v>2074</v>
      </c>
      <c r="C1843" s="180" t="s">
        <v>2075</v>
      </c>
      <c r="D1843" s="180" t="s">
        <v>974</v>
      </c>
      <c r="E1843" s="180" t="s">
        <v>990</v>
      </c>
      <c r="F1843" s="672">
        <v>263.18</v>
      </c>
      <c r="G1843" s="672">
        <v>0</v>
      </c>
      <c r="H1843" s="672">
        <v>0</v>
      </c>
      <c r="I1843" s="672">
        <v>0</v>
      </c>
      <c r="J1843" s="672">
        <v>0</v>
      </c>
      <c r="K1843" s="672">
        <v>0</v>
      </c>
      <c r="L1843" s="672">
        <v>263.18</v>
      </c>
    </row>
    <row r="1844" spans="2:12">
      <c r="B1844" s="180" t="s">
        <v>1463</v>
      </c>
      <c r="C1844" s="180" t="s">
        <v>1464</v>
      </c>
      <c r="D1844" s="180" t="s">
        <v>974</v>
      </c>
      <c r="E1844" s="180" t="s">
        <v>975</v>
      </c>
      <c r="F1844" s="672">
        <v>-924</v>
      </c>
      <c r="G1844" s="672">
        <v>0</v>
      </c>
      <c r="H1844" s="672">
        <v>0</v>
      </c>
      <c r="I1844" s="672">
        <v>0</v>
      </c>
      <c r="J1844" s="672">
        <v>0</v>
      </c>
      <c r="K1844" s="672">
        <v>0</v>
      </c>
      <c r="L1844" s="672">
        <v>-924</v>
      </c>
    </row>
    <row r="1845" spans="2:12">
      <c r="B1845" s="180" t="s">
        <v>1763</v>
      </c>
      <c r="C1845" s="180" t="s">
        <v>1764</v>
      </c>
      <c r="D1845" s="180" t="s">
        <v>974</v>
      </c>
      <c r="E1845" s="180" t="s">
        <v>975</v>
      </c>
      <c r="F1845" s="672">
        <v>183.99</v>
      </c>
      <c r="G1845" s="672">
        <v>83.99</v>
      </c>
      <c r="H1845" s="672">
        <v>0</v>
      </c>
      <c r="I1845" s="672">
        <v>0</v>
      </c>
      <c r="J1845" s="672">
        <v>0</v>
      </c>
      <c r="K1845" s="672">
        <v>0</v>
      </c>
      <c r="L1845" s="672">
        <v>100</v>
      </c>
    </row>
    <row r="1846" spans="2:12">
      <c r="B1846" s="180" t="s">
        <v>2049</v>
      </c>
      <c r="C1846" s="180" t="s">
        <v>1220</v>
      </c>
      <c r="D1846" s="180" t="s">
        <v>974</v>
      </c>
      <c r="E1846" s="180" t="s">
        <v>990</v>
      </c>
      <c r="F1846" s="672">
        <v>0</v>
      </c>
      <c r="G1846" s="672">
        <v>0</v>
      </c>
      <c r="H1846" s="672">
        <v>0</v>
      </c>
      <c r="I1846" s="672">
        <v>0</v>
      </c>
      <c r="J1846" s="672">
        <v>0</v>
      </c>
      <c r="K1846" s="672">
        <v>0</v>
      </c>
      <c r="L1846" s="672">
        <v>0</v>
      </c>
    </row>
    <row r="1847" spans="2:12">
      <c r="B1847" s="180" t="s">
        <v>1810</v>
      </c>
      <c r="C1847" s="180" t="s">
        <v>1672</v>
      </c>
      <c r="D1847" s="180" t="s">
        <v>993</v>
      </c>
      <c r="E1847" s="180" t="s">
        <v>980</v>
      </c>
      <c r="F1847" s="672">
        <v>447865.48</v>
      </c>
      <c r="G1847" s="672">
        <v>25030.87</v>
      </c>
      <c r="H1847" s="672">
        <v>26453.34</v>
      </c>
      <c r="I1847" s="672">
        <v>9566.8700000000008</v>
      </c>
      <c r="J1847" s="672">
        <v>9823.35</v>
      </c>
      <c r="K1847" s="672">
        <v>88800.42</v>
      </c>
      <c r="L1847" s="672">
        <v>288190.63</v>
      </c>
    </row>
    <row r="1848" spans="2:12">
      <c r="B1848" s="180" t="s">
        <v>1340</v>
      </c>
      <c r="C1848" s="180" t="s">
        <v>1341</v>
      </c>
      <c r="D1848" s="180" t="s">
        <v>974</v>
      </c>
      <c r="E1848" s="180" t="s">
        <v>1018</v>
      </c>
      <c r="F1848" s="672">
        <v>0</v>
      </c>
      <c r="G1848" s="672">
        <v>0</v>
      </c>
      <c r="H1848" s="672">
        <v>0</v>
      </c>
      <c r="I1848" s="672">
        <v>0</v>
      </c>
      <c r="J1848" s="672">
        <v>0</v>
      </c>
      <c r="K1848" s="672">
        <v>0</v>
      </c>
      <c r="L1848" s="672">
        <v>0</v>
      </c>
    </row>
    <row r="1849" spans="2:12">
      <c r="B1849" s="180" t="s">
        <v>1992</v>
      </c>
      <c r="C1849" s="180" t="s">
        <v>1993</v>
      </c>
      <c r="D1849" s="180" t="s">
        <v>974</v>
      </c>
      <c r="E1849" s="180" t="s">
        <v>980</v>
      </c>
      <c r="F1849" s="672">
        <v>-7439.33</v>
      </c>
      <c r="G1849" s="672">
        <v>5830.3</v>
      </c>
      <c r="H1849" s="672">
        <v>3.8</v>
      </c>
      <c r="I1849" s="672">
        <v>-3772.05</v>
      </c>
      <c r="J1849" s="672">
        <v>146.63999999999999</v>
      </c>
      <c r="K1849" s="672">
        <v>7736.89</v>
      </c>
      <c r="L1849" s="672">
        <v>-17384.91</v>
      </c>
    </row>
    <row r="1850" spans="2:12">
      <c r="B1850" s="180" t="s">
        <v>1027</v>
      </c>
      <c r="C1850" s="180" t="s">
        <v>1028</v>
      </c>
      <c r="D1850" s="180" t="s">
        <v>974</v>
      </c>
      <c r="E1850" s="180" t="s">
        <v>980</v>
      </c>
      <c r="F1850" s="672">
        <v>868817.62</v>
      </c>
      <c r="G1850" s="672">
        <v>21055.43</v>
      </c>
      <c r="H1850" s="672">
        <v>22891.15</v>
      </c>
      <c r="I1850" s="672">
        <v>18567.09</v>
      </c>
      <c r="J1850" s="672">
        <v>21645.79</v>
      </c>
      <c r="K1850" s="672">
        <v>143355.93</v>
      </c>
      <c r="L1850" s="672">
        <v>641302.23</v>
      </c>
    </row>
    <row r="1851" spans="2:12">
      <c r="B1851" s="180" t="s">
        <v>1029</v>
      </c>
      <c r="C1851" s="180" t="s">
        <v>1030</v>
      </c>
      <c r="D1851" s="180" t="s">
        <v>993</v>
      </c>
      <c r="E1851" s="180" t="s">
        <v>975</v>
      </c>
      <c r="F1851" s="672">
        <v>-23839.42</v>
      </c>
      <c r="G1851" s="672">
        <v>0</v>
      </c>
      <c r="H1851" s="672">
        <v>0</v>
      </c>
      <c r="I1851" s="672">
        <v>0</v>
      </c>
      <c r="J1851" s="672">
        <v>0</v>
      </c>
      <c r="K1851" s="672">
        <v>-17637.41</v>
      </c>
      <c r="L1851" s="672">
        <v>-6202.01</v>
      </c>
    </row>
    <row r="1852" spans="2:12">
      <c r="B1852" s="180" t="s">
        <v>2035</v>
      </c>
      <c r="C1852" s="180" t="s">
        <v>2036</v>
      </c>
      <c r="D1852" s="180" t="s">
        <v>974</v>
      </c>
      <c r="E1852" s="180" t="s">
        <v>990</v>
      </c>
      <c r="F1852" s="672">
        <v>0</v>
      </c>
      <c r="G1852" s="672">
        <v>0</v>
      </c>
      <c r="H1852" s="672">
        <v>0</v>
      </c>
      <c r="I1852" s="672">
        <v>0</v>
      </c>
      <c r="J1852" s="672">
        <v>0</v>
      </c>
      <c r="K1852" s="672">
        <v>0</v>
      </c>
      <c r="L1852" s="672">
        <v>0</v>
      </c>
    </row>
    <row r="1853" spans="2:12">
      <c r="B1853" s="180" t="s">
        <v>1724</v>
      </c>
      <c r="C1853" s="180" t="s">
        <v>1725</v>
      </c>
      <c r="D1853" s="180" t="s">
        <v>974</v>
      </c>
      <c r="E1853" s="180" t="s">
        <v>990</v>
      </c>
      <c r="F1853" s="672">
        <v>0</v>
      </c>
      <c r="G1853" s="672">
        <v>0</v>
      </c>
      <c r="H1853" s="672">
        <v>0</v>
      </c>
      <c r="I1853" s="672">
        <v>0</v>
      </c>
      <c r="J1853" s="672">
        <v>0</v>
      </c>
      <c r="K1853" s="672">
        <v>0</v>
      </c>
      <c r="L1853" s="672">
        <v>0</v>
      </c>
    </row>
    <row r="1854" spans="2:12">
      <c r="B1854" s="180" t="s">
        <v>1134</v>
      </c>
      <c r="C1854" s="180" t="s">
        <v>1135</v>
      </c>
      <c r="D1854" s="180" t="s">
        <v>974</v>
      </c>
      <c r="E1854" s="180" t="s">
        <v>990</v>
      </c>
      <c r="F1854" s="672">
        <v>0</v>
      </c>
      <c r="G1854" s="672">
        <v>0</v>
      </c>
      <c r="H1854" s="672">
        <v>0</v>
      </c>
      <c r="I1854" s="672">
        <v>0</v>
      </c>
      <c r="J1854" s="672">
        <v>0</v>
      </c>
      <c r="K1854" s="672">
        <v>0</v>
      </c>
      <c r="L1854" s="672">
        <v>0</v>
      </c>
    </row>
    <row r="1855" spans="2:12">
      <c r="B1855" s="180" t="s">
        <v>1023</v>
      </c>
      <c r="C1855" s="180" t="s">
        <v>1024</v>
      </c>
      <c r="D1855" s="180" t="s">
        <v>974</v>
      </c>
      <c r="E1855" s="180" t="s">
        <v>980</v>
      </c>
      <c r="F1855" s="672">
        <v>-61682.18</v>
      </c>
      <c r="G1855" s="672">
        <v>7987.4</v>
      </c>
      <c r="H1855" s="672">
        <v>22056.39</v>
      </c>
      <c r="I1855" s="672">
        <v>17863.7</v>
      </c>
      <c r="J1855" s="672">
        <v>12743.68</v>
      </c>
      <c r="K1855" s="672">
        <v>28224.45</v>
      </c>
      <c r="L1855" s="672">
        <v>-150557.79999999999</v>
      </c>
    </row>
    <row r="1856" spans="2:12">
      <c r="B1856" s="180" t="s">
        <v>1571</v>
      </c>
      <c r="C1856" s="180" t="s">
        <v>1572</v>
      </c>
      <c r="D1856" s="180" t="s">
        <v>974</v>
      </c>
      <c r="E1856" s="180" t="s">
        <v>975</v>
      </c>
      <c r="F1856" s="672">
        <v>-5604656.46</v>
      </c>
      <c r="G1856" s="672">
        <v>0</v>
      </c>
      <c r="H1856" s="672">
        <v>0</v>
      </c>
      <c r="I1856" s="672">
        <v>0</v>
      </c>
      <c r="J1856" s="672">
        <v>0</v>
      </c>
      <c r="K1856" s="672">
        <v>-1400</v>
      </c>
      <c r="L1856" s="672">
        <v>-5603256.46</v>
      </c>
    </row>
    <row r="1857" spans="2:12">
      <c r="B1857" s="180" t="s">
        <v>1112</v>
      </c>
      <c r="C1857" s="180" t="s">
        <v>1113</v>
      </c>
      <c r="D1857" s="180" t="s">
        <v>974</v>
      </c>
      <c r="E1857" s="180" t="s">
        <v>990</v>
      </c>
      <c r="F1857" s="672">
        <v>0</v>
      </c>
      <c r="G1857" s="672">
        <v>0</v>
      </c>
      <c r="H1857" s="672">
        <v>0</v>
      </c>
      <c r="I1857" s="672">
        <v>0</v>
      </c>
      <c r="J1857" s="672">
        <v>0</v>
      </c>
      <c r="K1857" s="672">
        <v>0</v>
      </c>
      <c r="L1857" s="672">
        <v>0</v>
      </c>
    </row>
    <row r="1858" spans="2:12">
      <c r="B1858" s="180" t="s">
        <v>2067</v>
      </c>
      <c r="C1858" s="180" t="s">
        <v>2068</v>
      </c>
      <c r="D1858" s="180" t="s">
        <v>974</v>
      </c>
      <c r="E1858" s="180" t="s">
        <v>990</v>
      </c>
      <c r="F1858" s="672">
        <v>0</v>
      </c>
      <c r="G1858" s="672">
        <v>0</v>
      </c>
      <c r="H1858" s="672">
        <v>0</v>
      </c>
      <c r="I1858" s="672">
        <v>0</v>
      </c>
      <c r="J1858" s="672">
        <v>0</v>
      </c>
      <c r="K1858" s="672">
        <v>0</v>
      </c>
      <c r="L1858" s="672">
        <v>0</v>
      </c>
    </row>
    <row r="1859" spans="2:12">
      <c r="B1859" s="180" t="s">
        <v>1073</v>
      </c>
      <c r="C1859" s="180" t="s">
        <v>1074</v>
      </c>
      <c r="D1859" s="180" t="s">
        <v>974</v>
      </c>
      <c r="E1859" s="180" t="s">
        <v>980</v>
      </c>
      <c r="F1859" s="672">
        <v>4003206.79</v>
      </c>
      <c r="G1859" s="672">
        <v>92388.03</v>
      </c>
      <c r="H1859" s="672">
        <v>92965.13</v>
      </c>
      <c r="I1859" s="672">
        <v>92871.82</v>
      </c>
      <c r="J1859" s="672">
        <v>91944.86</v>
      </c>
      <c r="K1859" s="672">
        <v>723881.51</v>
      </c>
      <c r="L1859" s="672">
        <v>2909155.44</v>
      </c>
    </row>
    <row r="1860" spans="2:12">
      <c r="B1860" s="180" t="s">
        <v>1868</v>
      </c>
      <c r="C1860" s="180" t="s">
        <v>1869</v>
      </c>
      <c r="D1860" s="180" t="s">
        <v>974</v>
      </c>
      <c r="E1860" s="180" t="s">
        <v>980</v>
      </c>
      <c r="F1860" s="672">
        <v>7890607.9299999997</v>
      </c>
      <c r="G1860" s="672">
        <v>183418.95</v>
      </c>
      <c r="H1860" s="672">
        <v>183354.95</v>
      </c>
      <c r="I1860" s="672">
        <v>183249.74</v>
      </c>
      <c r="J1860" s="672">
        <v>182915.63</v>
      </c>
      <c r="K1860" s="672">
        <v>1439432.82</v>
      </c>
      <c r="L1860" s="672">
        <v>5718235.8399999999</v>
      </c>
    </row>
    <row r="1861" spans="2:12">
      <c r="B1861" s="180" t="s">
        <v>2070</v>
      </c>
      <c r="C1861" s="180" t="s">
        <v>1937</v>
      </c>
      <c r="D1861" s="180" t="s">
        <v>993</v>
      </c>
      <c r="E1861" s="180" t="s">
        <v>990</v>
      </c>
      <c r="F1861" s="672">
        <v>0</v>
      </c>
      <c r="G1861" s="672">
        <v>0</v>
      </c>
      <c r="H1861" s="672">
        <v>0</v>
      </c>
      <c r="I1861" s="672">
        <v>0</v>
      </c>
      <c r="J1861" s="672">
        <v>0</v>
      </c>
      <c r="K1861" s="672">
        <v>0</v>
      </c>
      <c r="L1861" s="672">
        <v>0</v>
      </c>
    </row>
    <row r="1862" spans="2:12">
      <c r="B1862" s="180" t="s">
        <v>1368</v>
      </c>
      <c r="C1862" s="180" t="s">
        <v>1369</v>
      </c>
      <c r="D1862" s="180" t="s">
        <v>993</v>
      </c>
      <c r="E1862" s="180" t="s">
        <v>980</v>
      </c>
      <c r="F1862" s="672">
        <v>543813.62</v>
      </c>
      <c r="G1862" s="672">
        <v>11168.84</v>
      </c>
      <c r="H1862" s="672">
        <v>23225.26</v>
      </c>
      <c r="I1862" s="672">
        <v>12890.99</v>
      </c>
      <c r="J1862" s="672">
        <v>13302.75</v>
      </c>
      <c r="K1862" s="672">
        <v>95702.13</v>
      </c>
      <c r="L1862" s="672">
        <v>387523.65</v>
      </c>
    </row>
    <row r="1863" spans="2:12">
      <c r="B1863" s="180" t="s">
        <v>1827</v>
      </c>
      <c r="C1863" s="180" t="s">
        <v>1828</v>
      </c>
      <c r="D1863" s="180" t="s">
        <v>974</v>
      </c>
      <c r="E1863" s="180" t="s">
        <v>990</v>
      </c>
      <c r="F1863" s="672">
        <v>0</v>
      </c>
      <c r="G1863" s="672">
        <v>0</v>
      </c>
      <c r="H1863" s="672">
        <v>0</v>
      </c>
      <c r="I1863" s="672">
        <v>0</v>
      </c>
      <c r="J1863" s="672">
        <v>0</v>
      </c>
      <c r="K1863" s="672">
        <v>0</v>
      </c>
      <c r="L1863" s="672">
        <v>0</v>
      </c>
    </row>
    <row r="1864" spans="2:12">
      <c r="B1864" s="180" t="s">
        <v>2012</v>
      </c>
      <c r="C1864" s="180" t="s">
        <v>989</v>
      </c>
      <c r="D1864" s="180" t="s">
        <v>974</v>
      </c>
      <c r="E1864" s="180" t="s">
        <v>990</v>
      </c>
      <c r="F1864" s="672">
        <v>0</v>
      </c>
      <c r="G1864" s="672">
        <v>0</v>
      </c>
      <c r="H1864" s="672">
        <v>0</v>
      </c>
      <c r="I1864" s="672">
        <v>0</v>
      </c>
      <c r="J1864" s="672">
        <v>0</v>
      </c>
      <c r="K1864" s="672">
        <v>0</v>
      </c>
      <c r="L1864" s="672">
        <v>0</v>
      </c>
    </row>
    <row r="1865" spans="2:12">
      <c r="B1865" s="180" t="s">
        <v>1862</v>
      </c>
      <c r="C1865" s="180" t="s">
        <v>1102</v>
      </c>
      <c r="D1865" s="180" t="s">
        <v>993</v>
      </c>
      <c r="E1865" s="180" t="s">
        <v>990</v>
      </c>
      <c r="F1865" s="672">
        <v>0</v>
      </c>
      <c r="G1865" s="672">
        <v>0</v>
      </c>
      <c r="H1865" s="672">
        <v>0</v>
      </c>
      <c r="I1865" s="672">
        <v>0</v>
      </c>
      <c r="J1865" s="672">
        <v>0</v>
      </c>
      <c r="K1865" s="672">
        <v>0</v>
      </c>
      <c r="L1865" s="672">
        <v>0</v>
      </c>
    </row>
    <row r="1866" spans="2:12">
      <c r="B1866" s="180" t="s">
        <v>1168</v>
      </c>
      <c r="C1866" s="180" t="s">
        <v>1169</v>
      </c>
      <c r="D1866" s="180" t="s">
        <v>974</v>
      </c>
      <c r="E1866" s="180" t="s">
        <v>2076</v>
      </c>
      <c r="F1866" s="672">
        <v>0</v>
      </c>
      <c r="G1866" s="672">
        <v>0</v>
      </c>
      <c r="H1866" s="672">
        <v>0</v>
      </c>
      <c r="I1866" s="672">
        <v>0</v>
      </c>
      <c r="J1866" s="672">
        <v>0</v>
      </c>
      <c r="K1866" s="672">
        <v>0</v>
      </c>
      <c r="L1866" s="672">
        <v>0</v>
      </c>
    </row>
    <row r="1867" spans="2:12">
      <c r="B1867" s="180" t="s">
        <v>1749</v>
      </c>
      <c r="C1867" s="180" t="s">
        <v>1750</v>
      </c>
      <c r="D1867" s="180" t="s">
        <v>974</v>
      </c>
      <c r="E1867" s="180" t="s">
        <v>990</v>
      </c>
      <c r="F1867" s="672">
        <v>-30.05</v>
      </c>
      <c r="G1867" s="672">
        <v>0</v>
      </c>
      <c r="H1867" s="672">
        <v>0</v>
      </c>
      <c r="I1867" s="672">
        <v>0</v>
      </c>
      <c r="J1867" s="672">
        <v>0</v>
      </c>
      <c r="K1867" s="672">
        <v>0</v>
      </c>
      <c r="L1867" s="672">
        <v>-30.05</v>
      </c>
    </row>
    <row r="1868" spans="2:12">
      <c r="B1868" s="180" t="s">
        <v>1990</v>
      </c>
      <c r="C1868" s="180" t="s">
        <v>1991</v>
      </c>
      <c r="D1868" s="180" t="s">
        <v>974</v>
      </c>
      <c r="E1868" s="180" t="s">
        <v>1075</v>
      </c>
      <c r="F1868" s="672">
        <v>0</v>
      </c>
      <c r="G1868" s="672">
        <v>0</v>
      </c>
      <c r="H1868" s="672">
        <v>0</v>
      </c>
      <c r="I1868" s="672">
        <v>0</v>
      </c>
      <c r="J1868" s="672">
        <v>0</v>
      </c>
      <c r="K1868" s="672">
        <v>0</v>
      </c>
      <c r="L1868" s="672">
        <v>0</v>
      </c>
    </row>
    <row r="1869" spans="2:12">
      <c r="B1869" s="180" t="s">
        <v>1057</v>
      </c>
      <c r="C1869" s="180" t="s">
        <v>1058</v>
      </c>
      <c r="D1869" s="180" t="s">
        <v>974</v>
      </c>
      <c r="E1869" s="180" t="s">
        <v>975</v>
      </c>
      <c r="F1869" s="672">
        <v>0</v>
      </c>
      <c r="G1869" s="672">
        <v>0</v>
      </c>
      <c r="H1869" s="672">
        <v>0</v>
      </c>
      <c r="I1869" s="672">
        <v>0</v>
      </c>
      <c r="J1869" s="672">
        <v>0</v>
      </c>
      <c r="K1869" s="672">
        <v>0</v>
      </c>
      <c r="L1869" s="672">
        <v>0</v>
      </c>
    </row>
    <row r="1870" spans="2:12">
      <c r="B1870" s="180" t="s">
        <v>1965</v>
      </c>
      <c r="C1870" s="180" t="s">
        <v>1094</v>
      </c>
      <c r="D1870" s="180" t="s">
        <v>974</v>
      </c>
      <c r="E1870" s="180" t="s">
        <v>980</v>
      </c>
      <c r="F1870" s="672">
        <v>473619.96</v>
      </c>
      <c r="G1870" s="672">
        <v>136374.54</v>
      </c>
      <c r="H1870" s="672">
        <v>93460.72</v>
      </c>
      <c r="I1870" s="672">
        <v>-156360.44</v>
      </c>
      <c r="J1870" s="672">
        <v>-141515.37</v>
      </c>
      <c r="K1870" s="672">
        <v>-166977.41</v>
      </c>
      <c r="L1870" s="672">
        <v>708637.92</v>
      </c>
    </row>
    <row r="1871" spans="2:12">
      <c r="B1871" s="180" t="s">
        <v>1640</v>
      </c>
      <c r="C1871" s="180" t="s">
        <v>1641</v>
      </c>
      <c r="D1871" s="180" t="s">
        <v>974</v>
      </c>
      <c r="E1871" s="180" t="s">
        <v>990</v>
      </c>
      <c r="F1871" s="672">
        <v>0</v>
      </c>
      <c r="G1871" s="672">
        <v>0</v>
      </c>
      <c r="H1871" s="672">
        <v>0</v>
      </c>
      <c r="I1871" s="672">
        <v>0</v>
      </c>
      <c r="J1871" s="672">
        <v>0</v>
      </c>
      <c r="K1871" s="672">
        <v>0</v>
      </c>
      <c r="L1871" s="672">
        <v>0</v>
      </c>
    </row>
    <row r="1872" spans="2:12">
      <c r="B1872" s="180" t="s">
        <v>2077</v>
      </c>
      <c r="C1872" s="180" t="s">
        <v>2078</v>
      </c>
      <c r="D1872" s="180" t="s">
        <v>974</v>
      </c>
      <c r="E1872" s="180" t="s">
        <v>1111</v>
      </c>
      <c r="F1872" s="672">
        <v>0</v>
      </c>
      <c r="G1872" s="672">
        <v>0</v>
      </c>
      <c r="H1872" s="672">
        <v>0</v>
      </c>
      <c r="I1872" s="672">
        <v>0</v>
      </c>
      <c r="J1872" s="672">
        <v>0</v>
      </c>
      <c r="K1872" s="672">
        <v>0</v>
      </c>
      <c r="L1872" s="672">
        <v>0</v>
      </c>
    </row>
    <row r="1873" spans="2:12">
      <c r="B1873" s="180" t="s">
        <v>2013</v>
      </c>
      <c r="C1873" s="180" t="s">
        <v>2014</v>
      </c>
      <c r="D1873" s="180" t="s">
        <v>974</v>
      </c>
      <c r="E1873" s="180" t="s">
        <v>975</v>
      </c>
      <c r="F1873" s="672">
        <v>-40924.31</v>
      </c>
      <c r="G1873" s="672">
        <v>0</v>
      </c>
      <c r="H1873" s="672">
        <v>0</v>
      </c>
      <c r="I1873" s="672">
        <v>0</v>
      </c>
      <c r="J1873" s="672">
        <v>0</v>
      </c>
      <c r="K1873" s="672">
        <v>0</v>
      </c>
      <c r="L1873" s="672">
        <v>-40924.31</v>
      </c>
    </row>
    <row r="1874" spans="2:12">
      <c r="B1874" s="180" t="s">
        <v>1789</v>
      </c>
      <c r="C1874" s="180" t="s">
        <v>1781</v>
      </c>
      <c r="D1874" s="180" t="s">
        <v>993</v>
      </c>
      <c r="E1874" s="180" t="s">
        <v>990</v>
      </c>
      <c r="F1874" s="672">
        <v>0</v>
      </c>
      <c r="G1874" s="672">
        <v>0</v>
      </c>
      <c r="H1874" s="672">
        <v>0</v>
      </c>
      <c r="I1874" s="672">
        <v>0</v>
      </c>
      <c r="J1874" s="672">
        <v>0</v>
      </c>
      <c r="K1874" s="672">
        <v>0</v>
      </c>
      <c r="L1874" s="672">
        <v>0</v>
      </c>
    </row>
    <row r="1875" spans="2:12">
      <c r="B1875" s="180" t="s">
        <v>1324</v>
      </c>
      <c r="C1875" s="180" t="s">
        <v>1325</v>
      </c>
      <c r="D1875" s="180" t="s">
        <v>993</v>
      </c>
      <c r="E1875" s="180" t="s">
        <v>1034</v>
      </c>
      <c r="F1875" s="672">
        <v>0</v>
      </c>
      <c r="G1875" s="672">
        <v>0</v>
      </c>
      <c r="H1875" s="672">
        <v>0</v>
      </c>
      <c r="I1875" s="672">
        <v>0</v>
      </c>
      <c r="J1875" s="672">
        <v>0</v>
      </c>
      <c r="K1875" s="672">
        <v>0</v>
      </c>
      <c r="L1875" s="672">
        <v>0</v>
      </c>
    </row>
    <row r="1876" spans="2:12">
      <c r="B1876" s="180" t="s">
        <v>996</v>
      </c>
      <c r="C1876" s="180" t="s">
        <v>997</v>
      </c>
      <c r="D1876" s="180" t="s">
        <v>974</v>
      </c>
      <c r="E1876" s="180" t="s">
        <v>990</v>
      </c>
      <c r="F1876" s="672">
        <v>0</v>
      </c>
      <c r="G1876" s="672">
        <v>0</v>
      </c>
      <c r="H1876" s="672">
        <v>0</v>
      </c>
      <c r="I1876" s="672">
        <v>0</v>
      </c>
      <c r="J1876" s="672">
        <v>0</v>
      </c>
      <c r="K1876" s="672">
        <v>0</v>
      </c>
      <c r="L1876" s="672">
        <v>0</v>
      </c>
    </row>
    <row r="1877" spans="2:12">
      <c r="B1877" s="180" t="s">
        <v>1081</v>
      </c>
      <c r="C1877" s="180" t="s">
        <v>1082</v>
      </c>
      <c r="D1877" s="180" t="s">
        <v>993</v>
      </c>
      <c r="E1877" s="180" t="s">
        <v>975</v>
      </c>
      <c r="F1877" s="672">
        <v>-39431.46</v>
      </c>
      <c r="G1877" s="672">
        <v>0</v>
      </c>
      <c r="H1877" s="672">
        <v>0</v>
      </c>
      <c r="I1877" s="672">
        <v>0</v>
      </c>
      <c r="J1877" s="672">
        <v>0</v>
      </c>
      <c r="K1877" s="672">
        <v>-226.04</v>
      </c>
      <c r="L1877" s="672">
        <v>-39205.42</v>
      </c>
    </row>
    <row r="1878" spans="2:12">
      <c r="B1878" s="180" t="s">
        <v>1838</v>
      </c>
      <c r="C1878" s="180" t="s">
        <v>1629</v>
      </c>
      <c r="D1878" s="180" t="s">
        <v>974</v>
      </c>
      <c r="E1878" s="180" t="s">
        <v>990</v>
      </c>
      <c r="F1878" s="672">
        <v>0</v>
      </c>
      <c r="G1878" s="672">
        <v>0</v>
      </c>
      <c r="H1878" s="672">
        <v>0</v>
      </c>
      <c r="I1878" s="672">
        <v>0</v>
      </c>
      <c r="J1878" s="672">
        <v>0</v>
      </c>
      <c r="K1878" s="672">
        <v>0</v>
      </c>
      <c r="L1878" s="672">
        <v>0</v>
      </c>
    </row>
    <row r="1879" spans="2:12">
      <c r="B1879" s="180" t="s">
        <v>2032</v>
      </c>
      <c r="C1879" s="180" t="s">
        <v>2033</v>
      </c>
      <c r="D1879" s="180" t="s">
        <v>974</v>
      </c>
      <c r="E1879" s="180" t="s">
        <v>975</v>
      </c>
      <c r="F1879" s="672">
        <v>-8806.26</v>
      </c>
      <c r="G1879" s="672">
        <v>0</v>
      </c>
      <c r="H1879" s="672">
        <v>0</v>
      </c>
      <c r="I1879" s="672">
        <v>0</v>
      </c>
      <c r="J1879" s="672">
        <v>0</v>
      </c>
      <c r="K1879" s="672">
        <v>-9220.48</v>
      </c>
      <c r="L1879" s="672">
        <v>414.22</v>
      </c>
    </row>
    <row r="1880" spans="2:12">
      <c r="B1880" s="180" t="s">
        <v>1390</v>
      </c>
      <c r="C1880" s="180" t="s">
        <v>1220</v>
      </c>
      <c r="D1880" s="180" t="s">
        <v>974</v>
      </c>
      <c r="E1880" s="180" t="s">
        <v>990</v>
      </c>
      <c r="F1880" s="672">
        <v>0</v>
      </c>
      <c r="G1880" s="672">
        <v>0</v>
      </c>
      <c r="H1880" s="672">
        <v>0</v>
      </c>
      <c r="I1880" s="672">
        <v>0</v>
      </c>
      <c r="J1880" s="672">
        <v>0</v>
      </c>
      <c r="K1880" s="672">
        <v>0</v>
      </c>
      <c r="L1880" s="672">
        <v>0</v>
      </c>
    </row>
    <row r="1881" spans="2:12">
      <c r="B1881" s="180" t="s">
        <v>1926</v>
      </c>
      <c r="C1881" s="180" t="s">
        <v>1287</v>
      </c>
      <c r="D1881" s="180" t="s">
        <v>974</v>
      </c>
      <c r="E1881" s="180" t="s">
        <v>980</v>
      </c>
      <c r="F1881" s="672">
        <v>246154.81</v>
      </c>
      <c r="G1881" s="672">
        <v>-21787.39</v>
      </c>
      <c r="H1881" s="672">
        <v>-25450.400000000001</v>
      </c>
      <c r="I1881" s="672">
        <v>13345.58</v>
      </c>
      <c r="J1881" s="672">
        <v>-49132.11</v>
      </c>
      <c r="K1881" s="672">
        <v>71946.45</v>
      </c>
      <c r="L1881" s="672">
        <v>257232.68</v>
      </c>
    </row>
    <row r="1882" spans="2:12">
      <c r="B1882" s="180" t="s">
        <v>2061</v>
      </c>
      <c r="C1882" s="180" t="s">
        <v>1094</v>
      </c>
      <c r="D1882" s="180" t="s">
        <v>974</v>
      </c>
      <c r="E1882" s="180" t="s">
        <v>990</v>
      </c>
      <c r="F1882" s="672">
        <v>0</v>
      </c>
      <c r="G1882" s="672">
        <v>0</v>
      </c>
      <c r="H1882" s="672">
        <v>0</v>
      </c>
      <c r="I1882" s="672">
        <v>0</v>
      </c>
      <c r="J1882" s="672">
        <v>0</v>
      </c>
      <c r="K1882" s="672">
        <v>0</v>
      </c>
      <c r="L1882" s="672">
        <v>0</v>
      </c>
    </row>
    <row r="1883" spans="2:12">
      <c r="B1883" s="180" t="s">
        <v>1924</v>
      </c>
      <c r="C1883" s="180" t="s">
        <v>1500</v>
      </c>
      <c r="D1883" s="180" t="s">
        <v>993</v>
      </c>
      <c r="E1883" s="180" t="s">
        <v>980</v>
      </c>
      <c r="F1883" s="672">
        <v>10832.49</v>
      </c>
      <c r="G1883" s="672">
        <v>375.11</v>
      </c>
      <c r="H1883" s="672">
        <v>491.15</v>
      </c>
      <c r="I1883" s="672">
        <v>487.12</v>
      </c>
      <c r="J1883" s="672">
        <v>665.74</v>
      </c>
      <c r="K1883" s="672">
        <v>2116.08</v>
      </c>
      <c r="L1883" s="672">
        <v>6697.29</v>
      </c>
    </row>
    <row r="1884" spans="2:12">
      <c r="B1884" s="180" t="s">
        <v>1666</v>
      </c>
      <c r="C1884" s="180" t="s">
        <v>1667</v>
      </c>
      <c r="D1884" s="180" t="s">
        <v>974</v>
      </c>
      <c r="E1884" s="180" t="s">
        <v>980</v>
      </c>
      <c r="F1884" s="672">
        <v>4372529.74</v>
      </c>
      <c r="G1884" s="672">
        <v>105346.39</v>
      </c>
      <c r="H1884" s="672">
        <v>106145.11</v>
      </c>
      <c r="I1884" s="672">
        <v>101081.19</v>
      </c>
      <c r="J1884" s="672">
        <v>100989.49</v>
      </c>
      <c r="K1884" s="672">
        <v>806431.49</v>
      </c>
      <c r="L1884" s="672">
        <v>3152536.07</v>
      </c>
    </row>
    <row r="1885" spans="2:12">
      <c r="B1885" s="180" t="s">
        <v>2023</v>
      </c>
      <c r="C1885" s="180" t="s">
        <v>2024</v>
      </c>
      <c r="D1885" s="180" t="s">
        <v>974</v>
      </c>
      <c r="E1885" s="180" t="s">
        <v>990</v>
      </c>
      <c r="F1885" s="672">
        <v>0</v>
      </c>
      <c r="G1885" s="672">
        <v>0</v>
      </c>
      <c r="H1885" s="672">
        <v>0</v>
      </c>
      <c r="I1885" s="672">
        <v>0</v>
      </c>
      <c r="J1885" s="672">
        <v>0</v>
      </c>
      <c r="K1885" s="672">
        <v>0</v>
      </c>
      <c r="L1885" s="672">
        <v>0</v>
      </c>
    </row>
    <row r="1886" spans="2:12">
      <c r="B1886" s="180" t="s">
        <v>1373</v>
      </c>
      <c r="C1886" s="180" t="s">
        <v>1374</v>
      </c>
      <c r="D1886" s="180" t="s">
        <v>974</v>
      </c>
      <c r="E1886" s="180" t="s">
        <v>990</v>
      </c>
      <c r="F1886" s="672">
        <v>0</v>
      </c>
      <c r="G1886" s="672">
        <v>0</v>
      </c>
      <c r="H1886" s="672">
        <v>0</v>
      </c>
      <c r="I1886" s="672">
        <v>0</v>
      </c>
      <c r="J1886" s="672">
        <v>0</v>
      </c>
      <c r="K1886" s="672">
        <v>0</v>
      </c>
      <c r="L1886" s="672">
        <v>0</v>
      </c>
    </row>
    <row r="1887" spans="2:12">
      <c r="B1887" s="180" t="s">
        <v>1051</v>
      </c>
      <c r="C1887" s="180" t="s">
        <v>1052</v>
      </c>
      <c r="D1887" s="180" t="s">
        <v>974</v>
      </c>
      <c r="E1887" s="180" t="s">
        <v>990</v>
      </c>
      <c r="F1887" s="672">
        <v>0</v>
      </c>
      <c r="G1887" s="672">
        <v>0</v>
      </c>
      <c r="H1887" s="672">
        <v>0</v>
      </c>
      <c r="I1887" s="672">
        <v>0</v>
      </c>
      <c r="J1887" s="672">
        <v>0</v>
      </c>
      <c r="K1887" s="672">
        <v>0</v>
      </c>
      <c r="L1887" s="672">
        <v>0</v>
      </c>
    </row>
    <row r="1888" spans="2:12">
      <c r="B1888" s="180" t="s">
        <v>1391</v>
      </c>
      <c r="C1888" s="180" t="s">
        <v>1106</v>
      </c>
      <c r="D1888" s="180" t="s">
        <v>993</v>
      </c>
      <c r="E1888" s="180" t="s">
        <v>980</v>
      </c>
      <c r="F1888" s="672">
        <v>464027.42</v>
      </c>
      <c r="G1888" s="672">
        <v>5014.04</v>
      </c>
      <c r="H1888" s="672">
        <v>5058.5200000000004</v>
      </c>
      <c r="I1888" s="672">
        <v>4859.84</v>
      </c>
      <c r="J1888" s="672">
        <v>5005.17</v>
      </c>
      <c r="K1888" s="672">
        <v>92560.57</v>
      </c>
      <c r="L1888" s="672">
        <v>351529.28</v>
      </c>
    </row>
    <row r="1889" spans="2:12">
      <c r="B1889" s="180" t="s">
        <v>1574</v>
      </c>
      <c r="C1889" s="180" t="s">
        <v>1397</v>
      </c>
      <c r="D1889" s="180" t="s">
        <v>993</v>
      </c>
      <c r="E1889" s="180" t="s">
        <v>990</v>
      </c>
      <c r="F1889" s="672">
        <v>0</v>
      </c>
      <c r="G1889" s="672">
        <v>0</v>
      </c>
      <c r="H1889" s="672">
        <v>0</v>
      </c>
      <c r="I1889" s="672">
        <v>0</v>
      </c>
      <c r="J1889" s="672">
        <v>0</v>
      </c>
      <c r="K1889" s="672">
        <v>0</v>
      </c>
      <c r="L1889" s="672">
        <v>0</v>
      </c>
    </row>
    <row r="1890" spans="2:12">
      <c r="B1890" s="180" t="s">
        <v>1499</v>
      </c>
      <c r="C1890" s="180" t="s">
        <v>1500</v>
      </c>
      <c r="D1890" s="180" t="s">
        <v>993</v>
      </c>
      <c r="E1890" s="180" t="s">
        <v>975</v>
      </c>
      <c r="F1890" s="672">
        <v>-74556.63</v>
      </c>
      <c r="G1890" s="672">
        <v>0</v>
      </c>
      <c r="H1890" s="672">
        <v>0</v>
      </c>
      <c r="I1890" s="672">
        <v>0</v>
      </c>
      <c r="J1890" s="672">
        <v>0</v>
      </c>
      <c r="K1890" s="672">
        <v>0</v>
      </c>
      <c r="L1890" s="672">
        <v>-74556.63</v>
      </c>
    </row>
    <row r="1891" spans="2:12">
      <c r="B1891" s="180" t="s">
        <v>1917</v>
      </c>
      <c r="C1891" s="180" t="s">
        <v>1735</v>
      </c>
      <c r="D1891" s="180" t="s">
        <v>993</v>
      </c>
      <c r="E1891" s="180" t="s">
        <v>990</v>
      </c>
      <c r="F1891" s="672">
        <v>0</v>
      </c>
      <c r="G1891" s="672">
        <v>0</v>
      </c>
      <c r="H1891" s="672">
        <v>0</v>
      </c>
      <c r="I1891" s="672">
        <v>0</v>
      </c>
      <c r="J1891" s="672">
        <v>0</v>
      </c>
      <c r="K1891" s="672">
        <v>0</v>
      </c>
      <c r="L1891" s="672">
        <v>0</v>
      </c>
    </row>
    <row r="1892" spans="2:12">
      <c r="B1892" s="180" t="s">
        <v>2027</v>
      </c>
      <c r="C1892" s="180" t="s">
        <v>1397</v>
      </c>
      <c r="D1892" s="180" t="s">
        <v>993</v>
      </c>
      <c r="E1892" s="180" t="s">
        <v>980</v>
      </c>
      <c r="F1892" s="672">
        <v>49818.1</v>
      </c>
      <c r="G1892" s="672">
        <v>813.52</v>
      </c>
      <c r="H1892" s="672">
        <v>1041.6199999999999</v>
      </c>
      <c r="I1892" s="672">
        <v>1162.46</v>
      </c>
      <c r="J1892" s="672">
        <v>990.46</v>
      </c>
      <c r="K1892" s="672">
        <v>5413.13</v>
      </c>
      <c r="L1892" s="672">
        <v>40396.910000000003</v>
      </c>
    </row>
    <row r="1893" spans="2:12">
      <c r="B1893" s="180" t="s">
        <v>1415</v>
      </c>
      <c r="C1893" s="180" t="s">
        <v>1416</v>
      </c>
      <c r="D1893" s="180" t="s">
        <v>974</v>
      </c>
      <c r="E1893" s="180" t="s">
        <v>990</v>
      </c>
      <c r="F1893" s="672">
        <v>0</v>
      </c>
      <c r="G1893" s="672">
        <v>0</v>
      </c>
      <c r="H1893" s="672">
        <v>0</v>
      </c>
      <c r="I1893" s="672">
        <v>0</v>
      </c>
      <c r="J1893" s="672">
        <v>0</v>
      </c>
      <c r="K1893" s="672">
        <v>0</v>
      </c>
      <c r="L1893" s="672">
        <v>0</v>
      </c>
    </row>
    <row r="1894" spans="2:12">
      <c r="B1894" s="180" t="s">
        <v>1995</v>
      </c>
      <c r="C1894" s="180" t="s">
        <v>1996</v>
      </c>
      <c r="D1894" s="180" t="s">
        <v>974</v>
      </c>
      <c r="E1894" s="180" t="s">
        <v>990</v>
      </c>
      <c r="F1894" s="672">
        <v>0</v>
      </c>
      <c r="G1894" s="672">
        <v>0</v>
      </c>
      <c r="H1894" s="672">
        <v>0</v>
      </c>
      <c r="I1894" s="672">
        <v>0</v>
      </c>
      <c r="J1894" s="672">
        <v>0</v>
      </c>
      <c r="K1894" s="672">
        <v>0</v>
      </c>
      <c r="L1894" s="672">
        <v>0</v>
      </c>
    </row>
    <row r="1895" spans="2:12">
      <c r="B1895" s="180" t="s">
        <v>2079</v>
      </c>
      <c r="C1895" s="180" t="s">
        <v>1082</v>
      </c>
      <c r="D1895" s="180" t="s">
        <v>993</v>
      </c>
      <c r="E1895" s="180" t="s">
        <v>990</v>
      </c>
      <c r="F1895" s="672">
        <v>0</v>
      </c>
      <c r="G1895" s="672">
        <v>0</v>
      </c>
      <c r="H1895" s="672">
        <v>0</v>
      </c>
      <c r="I1895" s="672">
        <v>0</v>
      </c>
      <c r="J1895" s="672">
        <v>0</v>
      </c>
      <c r="K1895" s="672">
        <v>0</v>
      </c>
      <c r="L1895" s="672">
        <v>0</v>
      </c>
    </row>
    <row r="1896" spans="2:12">
      <c r="B1896" s="180" t="s">
        <v>1136</v>
      </c>
      <c r="C1896" s="180" t="s">
        <v>1137</v>
      </c>
      <c r="D1896" s="180" t="s">
        <v>974</v>
      </c>
      <c r="E1896" s="180" t="s">
        <v>975</v>
      </c>
      <c r="F1896" s="672">
        <v>5928116.4800000004</v>
      </c>
      <c r="G1896" s="672">
        <v>0</v>
      </c>
      <c r="H1896" s="672">
        <v>0</v>
      </c>
      <c r="I1896" s="672">
        <v>0</v>
      </c>
      <c r="J1896" s="672">
        <v>0</v>
      </c>
      <c r="K1896" s="672">
        <v>0</v>
      </c>
      <c r="L1896" s="672">
        <v>5928116.4800000004</v>
      </c>
    </row>
    <row r="1897" spans="2:12">
      <c r="B1897" s="180" t="s">
        <v>1324</v>
      </c>
      <c r="C1897" s="180" t="s">
        <v>1325</v>
      </c>
      <c r="D1897" s="180" t="s">
        <v>993</v>
      </c>
      <c r="E1897" s="180" t="s">
        <v>990</v>
      </c>
      <c r="F1897" s="672">
        <v>0</v>
      </c>
      <c r="G1897" s="672">
        <v>0</v>
      </c>
      <c r="H1897" s="672">
        <v>0</v>
      </c>
      <c r="I1897" s="672">
        <v>0</v>
      </c>
      <c r="J1897" s="672">
        <v>0</v>
      </c>
      <c r="K1897" s="672">
        <v>0</v>
      </c>
      <c r="L1897" s="672">
        <v>0</v>
      </c>
    </row>
    <row r="1898" spans="2:12">
      <c r="B1898" s="180" t="s">
        <v>2046</v>
      </c>
      <c r="C1898" s="180" t="s">
        <v>2047</v>
      </c>
      <c r="D1898" s="180" t="s">
        <v>974</v>
      </c>
      <c r="E1898" s="180" t="s">
        <v>975</v>
      </c>
      <c r="F1898" s="672">
        <v>459.88</v>
      </c>
      <c r="G1898" s="672">
        <v>0</v>
      </c>
      <c r="H1898" s="672">
        <v>0.82</v>
      </c>
      <c r="I1898" s="672">
        <v>0</v>
      </c>
      <c r="J1898" s="672">
        <v>0</v>
      </c>
      <c r="K1898" s="672">
        <v>0</v>
      </c>
      <c r="L1898" s="672">
        <v>459.06</v>
      </c>
    </row>
    <row r="1899" spans="2:12">
      <c r="B1899" s="180" t="s">
        <v>2048</v>
      </c>
      <c r="C1899" s="180" t="s">
        <v>2042</v>
      </c>
      <c r="D1899" s="180" t="s">
        <v>993</v>
      </c>
      <c r="E1899" s="180" t="s">
        <v>980</v>
      </c>
      <c r="F1899" s="672">
        <v>2226760.19</v>
      </c>
      <c r="G1899" s="672">
        <v>66379.14</v>
      </c>
      <c r="H1899" s="672">
        <v>40895.97</v>
      </c>
      <c r="I1899" s="672">
        <v>44399.62</v>
      </c>
      <c r="J1899" s="672">
        <v>37930.79</v>
      </c>
      <c r="K1899" s="672">
        <v>526919.78</v>
      </c>
      <c r="L1899" s="672">
        <v>1510234.89</v>
      </c>
    </row>
    <row r="1900" spans="2:12">
      <c r="B1900" s="180" t="s">
        <v>2074</v>
      </c>
      <c r="C1900" s="180" t="s">
        <v>2075</v>
      </c>
      <c r="D1900" s="180" t="s">
        <v>974</v>
      </c>
      <c r="E1900" s="180" t="s">
        <v>975</v>
      </c>
      <c r="F1900" s="672">
        <v>6811191.3600000003</v>
      </c>
      <c r="G1900" s="672">
        <v>0</v>
      </c>
      <c r="H1900" s="672">
        <v>0</v>
      </c>
      <c r="I1900" s="672">
        <v>0</v>
      </c>
      <c r="J1900" s="672">
        <v>0</v>
      </c>
      <c r="K1900" s="672">
        <v>0</v>
      </c>
      <c r="L1900" s="672">
        <v>6811191.3600000003</v>
      </c>
    </row>
    <row r="1901" spans="2:12">
      <c r="B1901" s="180" t="s">
        <v>1810</v>
      </c>
      <c r="C1901" s="180" t="s">
        <v>1672</v>
      </c>
      <c r="D1901" s="180" t="s">
        <v>993</v>
      </c>
      <c r="E1901" s="180" t="s">
        <v>975</v>
      </c>
      <c r="F1901" s="672">
        <v>-181.17</v>
      </c>
      <c r="G1901" s="672">
        <v>0</v>
      </c>
      <c r="H1901" s="672">
        <v>0</v>
      </c>
      <c r="I1901" s="672">
        <v>0</v>
      </c>
      <c r="J1901" s="672">
        <v>0</v>
      </c>
      <c r="K1901" s="672">
        <v>0</v>
      </c>
      <c r="L1901" s="672">
        <v>-181.17</v>
      </c>
    </row>
    <row r="1902" spans="2:12">
      <c r="B1902" s="180" t="s">
        <v>1303</v>
      </c>
      <c r="C1902" s="180" t="s">
        <v>1176</v>
      </c>
      <c r="D1902" s="180" t="s">
        <v>993</v>
      </c>
      <c r="E1902" s="180" t="s">
        <v>983</v>
      </c>
      <c r="F1902" s="672">
        <v>4568.25</v>
      </c>
      <c r="G1902" s="672">
        <v>215.36</v>
      </c>
      <c r="H1902" s="672">
        <v>254.04</v>
      </c>
      <c r="I1902" s="672">
        <v>232.59</v>
      </c>
      <c r="J1902" s="672">
        <v>254.56</v>
      </c>
      <c r="K1902" s="672">
        <v>1729.47</v>
      </c>
      <c r="L1902" s="672">
        <v>1882.23</v>
      </c>
    </row>
    <row r="1903" spans="2:12">
      <c r="B1903" s="180" t="s">
        <v>1336</v>
      </c>
      <c r="C1903" s="180" t="s">
        <v>1036</v>
      </c>
      <c r="D1903" s="180" t="s">
        <v>993</v>
      </c>
      <c r="E1903" s="180" t="s">
        <v>975</v>
      </c>
      <c r="F1903" s="672">
        <v>-82782.23</v>
      </c>
      <c r="G1903" s="672">
        <v>0</v>
      </c>
      <c r="H1903" s="672">
        <v>0</v>
      </c>
      <c r="I1903" s="672">
        <v>0</v>
      </c>
      <c r="J1903" s="672">
        <v>0</v>
      </c>
      <c r="K1903" s="672">
        <v>0</v>
      </c>
      <c r="L1903" s="672">
        <v>-82782.23</v>
      </c>
    </row>
    <row r="1904" spans="2:12">
      <c r="B1904" s="180" t="s">
        <v>1438</v>
      </c>
      <c r="C1904" s="180" t="s">
        <v>1439</v>
      </c>
      <c r="D1904" s="180" t="s">
        <v>993</v>
      </c>
      <c r="E1904" s="180" t="s">
        <v>980</v>
      </c>
      <c r="F1904" s="672">
        <v>117466.53</v>
      </c>
      <c r="G1904" s="672">
        <v>1554.9</v>
      </c>
      <c r="H1904" s="672">
        <v>2548.64</v>
      </c>
      <c r="I1904" s="672">
        <v>1311.14</v>
      </c>
      <c r="J1904" s="672">
        <v>1700.63</v>
      </c>
      <c r="K1904" s="672">
        <v>10502.3</v>
      </c>
      <c r="L1904" s="672">
        <v>99848.92</v>
      </c>
    </row>
    <row r="1905" spans="2:12">
      <c r="B1905" s="180" t="s">
        <v>1118</v>
      </c>
      <c r="C1905" s="180" t="s">
        <v>1119</v>
      </c>
      <c r="D1905" s="180" t="s">
        <v>974</v>
      </c>
      <c r="E1905" s="180" t="s">
        <v>980</v>
      </c>
      <c r="F1905" s="672">
        <v>-1578.11</v>
      </c>
      <c r="G1905" s="672">
        <v>-783.46</v>
      </c>
      <c r="H1905" s="672">
        <v>11014.83</v>
      </c>
      <c r="I1905" s="672">
        <v>-1176.52</v>
      </c>
      <c r="J1905" s="672">
        <v>-774.57</v>
      </c>
      <c r="K1905" s="672">
        <v>-6661.88</v>
      </c>
      <c r="L1905" s="672">
        <v>-3196.51</v>
      </c>
    </row>
    <row r="1906" spans="2:12">
      <c r="B1906" s="180" t="s">
        <v>1795</v>
      </c>
      <c r="C1906" s="180" t="s">
        <v>1796</v>
      </c>
      <c r="D1906" s="180" t="s">
        <v>974</v>
      </c>
      <c r="E1906" s="180" t="s">
        <v>990</v>
      </c>
      <c r="F1906" s="672">
        <v>0</v>
      </c>
      <c r="G1906" s="672">
        <v>0</v>
      </c>
      <c r="H1906" s="672">
        <v>0</v>
      </c>
      <c r="I1906" s="672">
        <v>0</v>
      </c>
      <c r="J1906" s="672">
        <v>0</v>
      </c>
      <c r="K1906" s="672">
        <v>0</v>
      </c>
      <c r="L1906" s="672">
        <v>0</v>
      </c>
    </row>
    <row r="1907" spans="2:12">
      <c r="B1907" s="180" t="s">
        <v>1649</v>
      </c>
      <c r="C1907" s="180" t="s">
        <v>1650</v>
      </c>
      <c r="D1907" s="180" t="s">
        <v>974</v>
      </c>
      <c r="E1907" s="180" t="s">
        <v>983</v>
      </c>
      <c r="F1907" s="672">
        <v>4971563.2300000004</v>
      </c>
      <c r="G1907" s="672">
        <v>115649.84</v>
      </c>
      <c r="H1907" s="672">
        <v>115647.26</v>
      </c>
      <c r="I1907" s="672">
        <v>115678.24</v>
      </c>
      <c r="J1907" s="672">
        <v>115644.67</v>
      </c>
      <c r="K1907" s="672">
        <v>907378.29</v>
      </c>
      <c r="L1907" s="672">
        <v>3601564.93</v>
      </c>
    </row>
    <row r="1908" spans="2:12">
      <c r="B1908" s="180" t="s">
        <v>1964</v>
      </c>
      <c r="C1908" s="180" t="s">
        <v>979</v>
      </c>
      <c r="D1908" s="180" t="s">
        <v>974</v>
      </c>
      <c r="E1908" s="180" t="s">
        <v>980</v>
      </c>
      <c r="F1908" s="672">
        <v>124832.13</v>
      </c>
      <c r="G1908" s="672">
        <v>-3745.1</v>
      </c>
      <c r="H1908" s="672">
        <v>65519.4</v>
      </c>
      <c r="I1908" s="672">
        <v>-68254.13</v>
      </c>
      <c r="J1908" s="672">
        <v>8811.32</v>
      </c>
      <c r="K1908" s="672">
        <v>33768.410000000003</v>
      </c>
      <c r="L1908" s="672">
        <v>88732.23</v>
      </c>
    </row>
    <row r="1909" spans="2:12">
      <c r="B1909" s="180" t="s">
        <v>1821</v>
      </c>
      <c r="C1909" s="180" t="s">
        <v>1822</v>
      </c>
      <c r="D1909" s="180" t="s">
        <v>974</v>
      </c>
      <c r="E1909" s="180" t="s">
        <v>990</v>
      </c>
      <c r="F1909" s="672">
        <v>0</v>
      </c>
      <c r="G1909" s="672">
        <v>0</v>
      </c>
      <c r="H1909" s="672">
        <v>0</v>
      </c>
      <c r="I1909" s="672">
        <v>0</v>
      </c>
      <c r="J1909" s="672">
        <v>0</v>
      </c>
      <c r="K1909" s="672">
        <v>0</v>
      </c>
      <c r="L1909" s="672">
        <v>0</v>
      </c>
    </row>
    <row r="1910" spans="2:12">
      <c r="B1910" s="180" t="s">
        <v>1621</v>
      </c>
      <c r="C1910" s="180" t="s">
        <v>1156</v>
      </c>
      <c r="D1910" s="180" t="s">
        <v>974</v>
      </c>
      <c r="E1910" s="180" t="s">
        <v>980</v>
      </c>
      <c r="F1910" s="672">
        <v>212669.17</v>
      </c>
      <c r="G1910" s="672">
        <v>71140.009999999995</v>
      </c>
      <c r="H1910" s="672">
        <v>76714.67</v>
      </c>
      <c r="I1910" s="672">
        <v>14873.83</v>
      </c>
      <c r="J1910" s="672">
        <v>16807.16</v>
      </c>
      <c r="K1910" s="672">
        <v>-14552.98</v>
      </c>
      <c r="L1910" s="672">
        <v>47686.48</v>
      </c>
    </row>
    <row r="1911" spans="2:12">
      <c r="B1911" s="180" t="s">
        <v>2041</v>
      </c>
      <c r="C1911" s="180" t="s">
        <v>2042</v>
      </c>
      <c r="D1911" s="180" t="s">
        <v>993</v>
      </c>
      <c r="E1911" s="180" t="s">
        <v>990</v>
      </c>
      <c r="F1911" s="672">
        <v>0</v>
      </c>
      <c r="G1911" s="672">
        <v>0</v>
      </c>
      <c r="H1911" s="672">
        <v>0</v>
      </c>
      <c r="I1911" s="672">
        <v>0</v>
      </c>
      <c r="J1911" s="672">
        <v>0</v>
      </c>
      <c r="K1911" s="672">
        <v>0</v>
      </c>
      <c r="L1911" s="672">
        <v>0</v>
      </c>
    </row>
    <row r="1912" spans="2:12">
      <c r="B1912" s="180" t="s">
        <v>1688</v>
      </c>
      <c r="C1912" s="180" t="s">
        <v>1115</v>
      </c>
      <c r="D1912" s="180" t="s">
        <v>974</v>
      </c>
      <c r="E1912" s="180" t="s">
        <v>980</v>
      </c>
      <c r="F1912" s="672">
        <v>-392505.31</v>
      </c>
      <c r="G1912" s="672">
        <v>-305894.88</v>
      </c>
      <c r="H1912" s="672">
        <v>18161.669999999998</v>
      </c>
      <c r="I1912" s="672">
        <v>18894.560000000001</v>
      </c>
      <c r="J1912" s="672">
        <v>19131.16</v>
      </c>
      <c r="K1912" s="672">
        <v>-7235.06</v>
      </c>
      <c r="L1912" s="672">
        <v>-135562.76</v>
      </c>
    </row>
    <row r="1913" spans="2:12">
      <c r="B1913" s="180" t="s">
        <v>2000</v>
      </c>
      <c r="C1913" s="180" t="s">
        <v>2001</v>
      </c>
      <c r="D1913" s="180" t="s">
        <v>974</v>
      </c>
      <c r="E1913" s="180" t="s">
        <v>980</v>
      </c>
      <c r="F1913" s="672">
        <v>3156953.97</v>
      </c>
      <c r="G1913" s="672">
        <v>73479.710000000006</v>
      </c>
      <c r="H1913" s="672">
        <v>73483.77</v>
      </c>
      <c r="I1913" s="672">
        <v>73541.78</v>
      </c>
      <c r="J1913" s="672">
        <v>73529.789999999994</v>
      </c>
      <c r="K1913" s="672">
        <v>578141.56000000006</v>
      </c>
      <c r="L1913" s="672">
        <v>2284777.36</v>
      </c>
    </row>
    <row r="1914" spans="2:12">
      <c r="B1914" s="180" t="s">
        <v>2059</v>
      </c>
      <c r="C1914" s="180" t="s">
        <v>2060</v>
      </c>
      <c r="D1914" s="180" t="s">
        <v>974</v>
      </c>
      <c r="E1914" s="180" t="s">
        <v>990</v>
      </c>
      <c r="F1914" s="672">
        <v>0</v>
      </c>
      <c r="G1914" s="672">
        <v>0</v>
      </c>
      <c r="H1914" s="672">
        <v>0</v>
      </c>
      <c r="I1914" s="672">
        <v>0</v>
      </c>
      <c r="J1914" s="672">
        <v>0</v>
      </c>
      <c r="K1914" s="672">
        <v>0</v>
      </c>
      <c r="L1914" s="672">
        <v>0</v>
      </c>
    </row>
    <row r="1915" spans="2:12">
      <c r="B1915" s="180" t="s">
        <v>1994</v>
      </c>
      <c r="C1915" s="180" t="s">
        <v>1566</v>
      </c>
      <c r="D1915" s="180" t="s">
        <v>993</v>
      </c>
      <c r="E1915" s="180" t="s">
        <v>975</v>
      </c>
      <c r="F1915" s="672">
        <v>-18612.62</v>
      </c>
      <c r="G1915" s="672">
        <v>0</v>
      </c>
      <c r="H1915" s="672">
        <v>0</v>
      </c>
      <c r="I1915" s="672">
        <v>0</v>
      </c>
      <c r="J1915" s="672">
        <v>0</v>
      </c>
      <c r="K1915" s="672">
        <v>74.58</v>
      </c>
      <c r="L1915" s="672">
        <v>-18687.2</v>
      </c>
    </row>
    <row r="1916" spans="2:12">
      <c r="B1916" s="180" t="s">
        <v>1788</v>
      </c>
      <c r="C1916" s="180" t="s">
        <v>1167</v>
      </c>
      <c r="D1916" s="180" t="s">
        <v>993</v>
      </c>
      <c r="E1916" s="180" t="s">
        <v>975</v>
      </c>
      <c r="F1916" s="672">
        <v>-2041243.37</v>
      </c>
      <c r="G1916" s="672">
        <v>0</v>
      </c>
      <c r="H1916" s="672">
        <v>0</v>
      </c>
      <c r="I1916" s="672">
        <v>0</v>
      </c>
      <c r="J1916" s="672">
        <v>0</v>
      </c>
      <c r="K1916" s="672">
        <v>-1975516.71</v>
      </c>
      <c r="L1916" s="672">
        <v>-65726.66</v>
      </c>
    </row>
    <row r="1917" spans="2:12">
      <c r="B1917" s="180" t="s">
        <v>1151</v>
      </c>
      <c r="C1917" s="180" t="s">
        <v>1152</v>
      </c>
      <c r="D1917" s="180" t="s">
        <v>993</v>
      </c>
      <c r="E1917" s="180" t="s">
        <v>980</v>
      </c>
      <c r="F1917" s="672">
        <v>33258.06</v>
      </c>
      <c r="G1917" s="672">
        <v>1016.49</v>
      </c>
      <c r="H1917" s="672">
        <v>1188.8900000000001</v>
      </c>
      <c r="I1917" s="672">
        <v>1536.63</v>
      </c>
      <c r="J1917" s="672">
        <v>1319.53</v>
      </c>
      <c r="K1917" s="672">
        <v>9470.76</v>
      </c>
      <c r="L1917" s="672">
        <v>18725.759999999998</v>
      </c>
    </row>
    <row r="1918" spans="2:12">
      <c r="B1918" s="180" t="s">
        <v>2028</v>
      </c>
      <c r="C1918" s="180" t="s">
        <v>1620</v>
      </c>
      <c r="D1918" s="180" t="s">
        <v>993</v>
      </c>
      <c r="E1918" s="180" t="s">
        <v>980</v>
      </c>
      <c r="F1918" s="672">
        <v>87225.75</v>
      </c>
      <c r="G1918" s="672">
        <v>2776.37</v>
      </c>
      <c r="H1918" s="672">
        <v>2875.97</v>
      </c>
      <c r="I1918" s="672">
        <v>2821.9</v>
      </c>
      <c r="J1918" s="672">
        <v>2774.71</v>
      </c>
      <c r="K1918" s="672">
        <v>18370.240000000002</v>
      </c>
      <c r="L1918" s="672">
        <v>57606.559999999998</v>
      </c>
    </row>
    <row r="1919" spans="2:12">
      <c r="B1919" s="180" t="s">
        <v>1670</v>
      </c>
      <c r="C1919" s="180" t="s">
        <v>1302</v>
      </c>
      <c r="D1919" s="180" t="s">
        <v>993</v>
      </c>
      <c r="E1919" s="180" t="s">
        <v>1478</v>
      </c>
      <c r="F1919" s="672">
        <v>35093.97</v>
      </c>
      <c r="G1919" s="672">
        <v>35093.97</v>
      </c>
      <c r="H1919" s="672">
        <v>0</v>
      </c>
      <c r="I1919" s="672">
        <v>0</v>
      </c>
      <c r="J1919" s="672">
        <v>0</v>
      </c>
      <c r="K1919" s="672">
        <v>0</v>
      </c>
      <c r="L1919" s="672">
        <v>0</v>
      </c>
    </row>
    <row r="1920" spans="2:12">
      <c r="B1920" s="180" t="s">
        <v>2038</v>
      </c>
      <c r="C1920" s="180" t="s">
        <v>2039</v>
      </c>
      <c r="D1920" s="180" t="s">
        <v>974</v>
      </c>
      <c r="E1920" s="180" t="s">
        <v>990</v>
      </c>
      <c r="F1920" s="672">
        <v>0</v>
      </c>
      <c r="G1920" s="672">
        <v>0</v>
      </c>
      <c r="H1920" s="672">
        <v>0</v>
      </c>
      <c r="I1920" s="672">
        <v>0</v>
      </c>
      <c r="J1920" s="672">
        <v>0</v>
      </c>
      <c r="K1920" s="672">
        <v>0</v>
      </c>
      <c r="L1920" s="672">
        <v>0</v>
      </c>
    </row>
    <row r="1921" spans="2:12">
      <c r="B1921" s="180" t="s">
        <v>1968</v>
      </c>
      <c r="C1921" s="180" t="s">
        <v>1969</v>
      </c>
      <c r="D1921" s="180" t="s">
        <v>974</v>
      </c>
      <c r="E1921" s="180" t="s">
        <v>980</v>
      </c>
      <c r="F1921" s="672">
        <v>-438.84</v>
      </c>
      <c r="G1921" s="672">
        <v>-914.59</v>
      </c>
      <c r="H1921" s="672">
        <v>-197.35</v>
      </c>
      <c r="I1921" s="672">
        <v>260.68</v>
      </c>
      <c r="J1921" s="672">
        <v>153.68</v>
      </c>
      <c r="K1921" s="672">
        <v>-423.99</v>
      </c>
      <c r="L1921" s="672">
        <v>682.73</v>
      </c>
    </row>
    <row r="1922" spans="2:12">
      <c r="B1922" s="180" t="s">
        <v>1408</v>
      </c>
      <c r="C1922" s="180" t="s">
        <v>1056</v>
      </c>
      <c r="D1922" s="180" t="s">
        <v>993</v>
      </c>
      <c r="E1922" s="180" t="s">
        <v>980</v>
      </c>
      <c r="F1922" s="672">
        <v>79191</v>
      </c>
      <c r="G1922" s="672">
        <v>5299.13</v>
      </c>
      <c r="H1922" s="672">
        <v>1776.96</v>
      </c>
      <c r="I1922" s="672">
        <v>5133.1499999999996</v>
      </c>
      <c r="J1922" s="672">
        <v>2642.9</v>
      </c>
      <c r="K1922" s="672">
        <v>33832.67</v>
      </c>
      <c r="L1922" s="672">
        <v>30506.19</v>
      </c>
    </row>
    <row r="1923" spans="2:12">
      <c r="B1923" s="180" t="s">
        <v>1134</v>
      </c>
      <c r="C1923" s="180" t="s">
        <v>1135</v>
      </c>
      <c r="D1923" s="180" t="s">
        <v>974</v>
      </c>
      <c r="E1923" s="180" t="s">
        <v>980</v>
      </c>
      <c r="F1923" s="672">
        <v>2688.47</v>
      </c>
      <c r="G1923" s="672">
        <v>-453.42</v>
      </c>
      <c r="H1923" s="672">
        <v>-433.64</v>
      </c>
      <c r="I1923" s="672">
        <v>-140.5</v>
      </c>
      <c r="J1923" s="672">
        <v>-1620.07</v>
      </c>
      <c r="K1923" s="672">
        <v>2265.94</v>
      </c>
      <c r="L1923" s="672">
        <v>3070.16</v>
      </c>
    </row>
    <row r="1924" spans="2:12">
      <c r="B1924" s="180" t="s">
        <v>1460</v>
      </c>
      <c r="C1924" s="180" t="s">
        <v>1365</v>
      </c>
      <c r="D1924" s="180" t="s">
        <v>993</v>
      </c>
      <c r="E1924" s="180" t="s">
        <v>980</v>
      </c>
      <c r="F1924" s="672">
        <v>1141429.49</v>
      </c>
      <c r="G1924" s="672">
        <v>21198.37</v>
      </c>
      <c r="H1924" s="672">
        <v>23743.67</v>
      </c>
      <c r="I1924" s="672">
        <v>24018.799999999999</v>
      </c>
      <c r="J1924" s="672">
        <v>26206.36</v>
      </c>
      <c r="K1924" s="672">
        <v>200457.43</v>
      </c>
      <c r="L1924" s="672">
        <v>845804.86</v>
      </c>
    </row>
    <row r="1925" spans="2:12">
      <c r="B1925" s="180" t="s">
        <v>1614</v>
      </c>
      <c r="C1925" s="180" t="s">
        <v>1615</v>
      </c>
      <c r="D1925" s="180" t="s">
        <v>974</v>
      </c>
      <c r="E1925" s="180" t="s">
        <v>975</v>
      </c>
      <c r="F1925" s="672">
        <v>-301.23</v>
      </c>
      <c r="G1925" s="672">
        <v>0</v>
      </c>
      <c r="H1925" s="672">
        <v>0</v>
      </c>
      <c r="I1925" s="672">
        <v>0</v>
      </c>
      <c r="J1925" s="672">
        <v>0</v>
      </c>
      <c r="K1925" s="672">
        <v>0</v>
      </c>
      <c r="L1925" s="672">
        <v>-301.23</v>
      </c>
    </row>
    <row r="1926" spans="2:12">
      <c r="B1926" s="180" t="s">
        <v>1749</v>
      </c>
      <c r="C1926" s="180" t="s">
        <v>1750</v>
      </c>
      <c r="D1926" s="180" t="s">
        <v>974</v>
      </c>
      <c r="E1926" s="180" t="s">
        <v>1075</v>
      </c>
      <c r="F1926" s="672">
        <v>0</v>
      </c>
      <c r="G1926" s="672">
        <v>0</v>
      </c>
      <c r="H1926" s="672">
        <v>0</v>
      </c>
      <c r="I1926" s="672">
        <v>0</v>
      </c>
      <c r="J1926" s="672">
        <v>0</v>
      </c>
      <c r="K1926" s="672">
        <v>0</v>
      </c>
      <c r="L1926" s="672">
        <v>0</v>
      </c>
    </row>
    <row r="1927" spans="2:12">
      <c r="B1927" s="180" t="s">
        <v>1790</v>
      </c>
      <c r="C1927" s="180" t="s">
        <v>1791</v>
      </c>
      <c r="D1927" s="180" t="s">
        <v>974</v>
      </c>
      <c r="E1927" s="180" t="s">
        <v>990</v>
      </c>
      <c r="F1927" s="672">
        <v>0</v>
      </c>
      <c r="G1927" s="672">
        <v>0</v>
      </c>
      <c r="H1927" s="672">
        <v>0</v>
      </c>
      <c r="I1927" s="672">
        <v>0</v>
      </c>
      <c r="J1927" s="672">
        <v>0</v>
      </c>
      <c r="K1927" s="672">
        <v>0</v>
      </c>
      <c r="L1927" s="672">
        <v>0</v>
      </c>
    </row>
    <row r="1928" spans="2:12">
      <c r="B1928" s="180" t="s">
        <v>1101</v>
      </c>
      <c r="C1928" s="180" t="s">
        <v>1102</v>
      </c>
      <c r="D1928" s="180" t="s">
        <v>993</v>
      </c>
      <c r="E1928" s="180" t="s">
        <v>980</v>
      </c>
      <c r="F1928" s="672">
        <v>754589.69</v>
      </c>
      <c r="G1928" s="672">
        <v>19263.939999999999</v>
      </c>
      <c r="H1928" s="672">
        <v>20453.38</v>
      </c>
      <c r="I1928" s="672">
        <v>19870.689999999999</v>
      </c>
      <c r="J1928" s="672">
        <v>19746.45</v>
      </c>
      <c r="K1928" s="672">
        <v>204720.62</v>
      </c>
      <c r="L1928" s="672">
        <v>470534.61</v>
      </c>
    </row>
    <row r="1929" spans="2:12">
      <c r="B1929" s="180" t="s">
        <v>1788</v>
      </c>
      <c r="C1929" s="180" t="s">
        <v>1167</v>
      </c>
      <c r="D1929" s="180" t="s">
        <v>993</v>
      </c>
      <c r="E1929" s="180" t="s">
        <v>980</v>
      </c>
      <c r="F1929" s="672">
        <v>6574088.4699999997</v>
      </c>
      <c r="G1929" s="672">
        <v>110706.83</v>
      </c>
      <c r="H1929" s="672">
        <v>129747.04</v>
      </c>
      <c r="I1929" s="672">
        <v>116798.85</v>
      </c>
      <c r="J1929" s="672">
        <v>111898.98</v>
      </c>
      <c r="K1929" s="672">
        <v>3001526.35</v>
      </c>
      <c r="L1929" s="672">
        <v>3103410.42</v>
      </c>
    </row>
    <row r="1930" spans="2:12">
      <c r="B1930" s="180" t="s">
        <v>1976</v>
      </c>
      <c r="C1930" s="180" t="s">
        <v>1080</v>
      </c>
      <c r="D1930" s="180" t="s">
        <v>974</v>
      </c>
      <c r="E1930" s="180" t="s">
        <v>975</v>
      </c>
      <c r="F1930" s="672">
        <v>100</v>
      </c>
      <c r="G1930" s="672">
        <v>6.67</v>
      </c>
      <c r="H1930" s="672">
        <v>0</v>
      </c>
      <c r="I1930" s="672">
        <v>0</v>
      </c>
      <c r="J1930" s="672">
        <v>0</v>
      </c>
      <c r="K1930" s="672">
        <v>0</v>
      </c>
      <c r="L1930" s="672">
        <v>93.33</v>
      </c>
    </row>
    <row r="1931" spans="2:12">
      <c r="B1931" s="180" t="s">
        <v>1820</v>
      </c>
      <c r="C1931" s="180" t="s">
        <v>1302</v>
      </c>
      <c r="D1931" s="180" t="s">
        <v>993</v>
      </c>
      <c r="E1931" s="180" t="s">
        <v>975</v>
      </c>
      <c r="F1931" s="672">
        <v>-1712.15</v>
      </c>
      <c r="G1931" s="672">
        <v>0</v>
      </c>
      <c r="H1931" s="672">
        <v>0</v>
      </c>
      <c r="I1931" s="672">
        <v>0</v>
      </c>
      <c r="J1931" s="672">
        <v>0</v>
      </c>
      <c r="K1931" s="672">
        <v>0</v>
      </c>
      <c r="L1931" s="672">
        <v>-1712.15</v>
      </c>
    </row>
    <row r="1932" spans="2:12">
      <c r="B1932" s="180" t="s">
        <v>1037</v>
      </c>
      <c r="C1932" s="180" t="s">
        <v>1038</v>
      </c>
      <c r="D1932" s="180" t="s">
        <v>974</v>
      </c>
      <c r="E1932" s="180" t="s">
        <v>1075</v>
      </c>
      <c r="F1932" s="672">
        <v>0</v>
      </c>
      <c r="G1932" s="672">
        <v>0</v>
      </c>
      <c r="H1932" s="672">
        <v>0</v>
      </c>
      <c r="I1932" s="672">
        <v>0</v>
      </c>
      <c r="J1932" s="672">
        <v>0</v>
      </c>
      <c r="K1932" s="672">
        <v>0</v>
      </c>
      <c r="L1932" s="672">
        <v>0</v>
      </c>
    </row>
    <row r="1933" spans="2:12">
      <c r="B1933" s="180" t="s">
        <v>2058</v>
      </c>
      <c r="C1933" s="180" t="s">
        <v>1562</v>
      </c>
      <c r="D1933" s="180" t="s">
        <v>993</v>
      </c>
      <c r="E1933" s="180" t="s">
        <v>975</v>
      </c>
      <c r="F1933" s="672">
        <v>-10578.02</v>
      </c>
      <c r="G1933" s="672">
        <v>0</v>
      </c>
      <c r="H1933" s="672">
        <v>0</v>
      </c>
      <c r="I1933" s="672">
        <v>0</v>
      </c>
      <c r="J1933" s="672">
        <v>0</v>
      </c>
      <c r="K1933" s="672">
        <v>61.28</v>
      </c>
      <c r="L1933" s="672">
        <v>-10639.3</v>
      </c>
    </row>
    <row r="1934" spans="2:12">
      <c r="B1934" s="180" t="s">
        <v>1836</v>
      </c>
      <c r="C1934" s="180" t="s">
        <v>1837</v>
      </c>
      <c r="D1934" s="180" t="s">
        <v>974</v>
      </c>
      <c r="E1934" s="180" t="s">
        <v>975</v>
      </c>
      <c r="F1934" s="672">
        <v>699199.94</v>
      </c>
      <c r="G1934" s="672">
        <v>0</v>
      </c>
      <c r="H1934" s="672">
        <v>0</v>
      </c>
      <c r="I1934" s="672">
        <v>0</v>
      </c>
      <c r="J1934" s="672">
        <v>0</v>
      </c>
      <c r="K1934" s="672">
        <v>0</v>
      </c>
      <c r="L1934" s="672">
        <v>699199.94</v>
      </c>
    </row>
    <row r="1935" spans="2:12">
      <c r="B1935" s="180" t="s">
        <v>1933</v>
      </c>
      <c r="C1935" s="180" t="s">
        <v>1048</v>
      </c>
      <c r="D1935" s="180" t="s">
        <v>993</v>
      </c>
      <c r="E1935" s="180" t="s">
        <v>990</v>
      </c>
      <c r="F1935" s="672">
        <v>0</v>
      </c>
      <c r="G1935" s="672">
        <v>0</v>
      </c>
      <c r="H1935" s="672">
        <v>0</v>
      </c>
      <c r="I1935" s="672">
        <v>0</v>
      </c>
      <c r="J1935" s="672">
        <v>0</v>
      </c>
      <c r="K1935" s="672">
        <v>0</v>
      </c>
      <c r="L1935" s="672">
        <v>0</v>
      </c>
    </row>
    <row r="1936" spans="2:12">
      <c r="B1936" s="180" t="s">
        <v>2050</v>
      </c>
      <c r="C1936" s="180" t="s">
        <v>2051</v>
      </c>
      <c r="D1936" s="180" t="s">
        <v>974</v>
      </c>
      <c r="E1936" s="180" t="s">
        <v>990</v>
      </c>
      <c r="F1936" s="672">
        <v>0</v>
      </c>
      <c r="G1936" s="672">
        <v>0</v>
      </c>
      <c r="H1936" s="672">
        <v>0</v>
      </c>
      <c r="I1936" s="672">
        <v>0</v>
      </c>
      <c r="J1936" s="672">
        <v>0</v>
      </c>
      <c r="K1936" s="672">
        <v>0</v>
      </c>
      <c r="L1936" s="672">
        <v>0</v>
      </c>
    </row>
    <row r="1937" spans="2:12">
      <c r="B1937" s="180" t="s">
        <v>1852</v>
      </c>
      <c r="C1937" s="180" t="s">
        <v>1853</v>
      </c>
      <c r="D1937" s="180" t="s">
        <v>974</v>
      </c>
      <c r="E1937" s="180" t="s">
        <v>990</v>
      </c>
      <c r="F1937" s="672">
        <v>0</v>
      </c>
      <c r="G1937" s="672">
        <v>0</v>
      </c>
      <c r="H1937" s="672">
        <v>0</v>
      </c>
      <c r="I1937" s="672">
        <v>0</v>
      </c>
      <c r="J1937" s="672">
        <v>0</v>
      </c>
      <c r="K1937" s="672">
        <v>0</v>
      </c>
      <c r="L1937" s="672">
        <v>0</v>
      </c>
    </row>
    <row r="1938" spans="2:12">
      <c r="B1938" s="180" t="s">
        <v>1999</v>
      </c>
      <c r="C1938" s="180" t="s">
        <v>1287</v>
      </c>
      <c r="D1938" s="180" t="s">
        <v>974</v>
      </c>
      <c r="E1938" s="180" t="s">
        <v>975</v>
      </c>
      <c r="F1938" s="672">
        <v>217160.44</v>
      </c>
      <c r="G1938" s="672">
        <v>0</v>
      </c>
      <c r="H1938" s="672">
        <v>0</v>
      </c>
      <c r="I1938" s="672">
        <v>0</v>
      </c>
      <c r="J1938" s="672">
        <v>0</v>
      </c>
      <c r="K1938" s="672">
        <v>0</v>
      </c>
      <c r="L1938" s="672">
        <v>217160.44</v>
      </c>
    </row>
    <row r="1939" spans="2:12">
      <c r="B1939" s="180" t="s">
        <v>1817</v>
      </c>
      <c r="C1939" s="180" t="s">
        <v>1631</v>
      </c>
      <c r="D1939" s="180" t="s">
        <v>993</v>
      </c>
      <c r="E1939" s="180" t="s">
        <v>980</v>
      </c>
      <c r="F1939" s="672">
        <v>2648302.13</v>
      </c>
      <c r="G1939" s="672">
        <v>54612.5</v>
      </c>
      <c r="H1939" s="672">
        <v>67618.98</v>
      </c>
      <c r="I1939" s="672">
        <v>80625.600000000006</v>
      </c>
      <c r="J1939" s="672">
        <v>86321.22</v>
      </c>
      <c r="K1939" s="672">
        <v>516583.81</v>
      </c>
      <c r="L1939" s="672">
        <v>1842540.02</v>
      </c>
    </row>
    <row r="1940" spans="2:12">
      <c r="B1940" s="180" t="s">
        <v>1179</v>
      </c>
      <c r="C1940" s="180" t="s">
        <v>1180</v>
      </c>
      <c r="D1940" s="180" t="s">
        <v>974</v>
      </c>
      <c r="E1940" s="180" t="s">
        <v>990</v>
      </c>
      <c r="F1940" s="672">
        <v>0</v>
      </c>
      <c r="G1940" s="672">
        <v>0</v>
      </c>
      <c r="H1940" s="672">
        <v>0</v>
      </c>
      <c r="I1940" s="672">
        <v>0</v>
      </c>
      <c r="J1940" s="672">
        <v>0</v>
      </c>
      <c r="K1940" s="672">
        <v>0</v>
      </c>
      <c r="L1940" s="672">
        <v>0</v>
      </c>
    </row>
    <row r="1941" spans="2:12">
      <c r="B1941" s="180" t="s">
        <v>1484</v>
      </c>
      <c r="C1941" s="180" t="s">
        <v>1421</v>
      </c>
      <c r="D1941" s="180" t="s">
        <v>993</v>
      </c>
      <c r="E1941" s="180" t="s">
        <v>990</v>
      </c>
      <c r="F1941" s="672">
        <v>0</v>
      </c>
      <c r="G1941" s="672">
        <v>0</v>
      </c>
      <c r="H1941" s="672">
        <v>0</v>
      </c>
      <c r="I1941" s="672">
        <v>0</v>
      </c>
      <c r="J1941" s="672">
        <v>0</v>
      </c>
      <c r="K1941" s="672">
        <v>0</v>
      </c>
      <c r="L1941" s="672">
        <v>0</v>
      </c>
    </row>
    <row r="1942" spans="2:12">
      <c r="B1942" s="180" t="s">
        <v>1826</v>
      </c>
      <c r="C1942" s="180" t="s">
        <v>1525</v>
      </c>
      <c r="D1942" s="180" t="s">
        <v>993</v>
      </c>
      <c r="E1942" s="180" t="s">
        <v>980</v>
      </c>
      <c r="F1942" s="672">
        <v>57913.22</v>
      </c>
      <c r="G1942" s="672">
        <v>1204.44</v>
      </c>
      <c r="H1942" s="672">
        <v>1464.32</v>
      </c>
      <c r="I1942" s="672">
        <v>1653.65</v>
      </c>
      <c r="J1942" s="672">
        <v>1294.23</v>
      </c>
      <c r="K1942" s="672">
        <v>8100.36</v>
      </c>
      <c r="L1942" s="672">
        <v>44196.22</v>
      </c>
    </row>
    <row r="1943" spans="2:12">
      <c r="B1943" s="180" t="s">
        <v>1897</v>
      </c>
      <c r="C1943" s="180" t="s">
        <v>1488</v>
      </c>
      <c r="D1943" s="180" t="s">
        <v>974</v>
      </c>
      <c r="E1943" s="180" t="s">
        <v>983</v>
      </c>
      <c r="F1943" s="672">
        <v>0</v>
      </c>
      <c r="G1943" s="672">
        <v>-57.01</v>
      </c>
      <c r="H1943" s="672">
        <v>57.01</v>
      </c>
      <c r="I1943" s="672">
        <v>0</v>
      </c>
      <c r="J1943" s="672">
        <v>0</v>
      </c>
      <c r="K1943" s="672">
        <v>52.01</v>
      </c>
      <c r="L1943" s="672">
        <v>-52.01</v>
      </c>
    </row>
    <row r="1944" spans="2:12">
      <c r="B1944" s="180" t="s">
        <v>1676</v>
      </c>
      <c r="C1944" s="180" t="s">
        <v>1677</v>
      </c>
      <c r="D1944" s="180" t="s">
        <v>974</v>
      </c>
      <c r="E1944" s="180" t="s">
        <v>983</v>
      </c>
      <c r="F1944" s="672">
        <v>207.67</v>
      </c>
      <c r="G1944" s="672">
        <v>5</v>
      </c>
      <c r="H1944" s="672">
        <v>5</v>
      </c>
      <c r="I1944" s="672">
        <v>5</v>
      </c>
      <c r="J1944" s="672">
        <v>5</v>
      </c>
      <c r="K1944" s="672">
        <v>40</v>
      </c>
      <c r="L1944" s="672">
        <v>147.66999999999999</v>
      </c>
    </row>
    <row r="1945" spans="2:12">
      <c r="B1945" s="180" t="s">
        <v>1196</v>
      </c>
      <c r="C1945" s="180" t="s">
        <v>1197</v>
      </c>
      <c r="D1945" s="180" t="s">
        <v>993</v>
      </c>
      <c r="E1945" s="180" t="s">
        <v>975</v>
      </c>
      <c r="F1945" s="672">
        <v>-375</v>
      </c>
      <c r="G1945" s="672">
        <v>0</v>
      </c>
      <c r="H1945" s="672">
        <v>0</v>
      </c>
      <c r="I1945" s="672">
        <v>0</v>
      </c>
      <c r="J1945" s="672">
        <v>0</v>
      </c>
      <c r="K1945" s="672">
        <v>0</v>
      </c>
      <c r="L1945" s="672">
        <v>-375</v>
      </c>
    </row>
    <row r="1946" spans="2:12">
      <c r="B1946" s="180" t="s">
        <v>1670</v>
      </c>
      <c r="C1946" s="180" t="s">
        <v>1302</v>
      </c>
      <c r="D1946" s="180" t="s">
        <v>993</v>
      </c>
      <c r="E1946" s="180" t="s">
        <v>980</v>
      </c>
      <c r="F1946" s="672">
        <v>3480478.84</v>
      </c>
      <c r="G1946" s="672">
        <v>103436.27</v>
      </c>
      <c r="H1946" s="672">
        <v>266176.15000000002</v>
      </c>
      <c r="I1946" s="672">
        <v>49124.34</v>
      </c>
      <c r="J1946" s="672">
        <v>48512.83</v>
      </c>
      <c r="K1946" s="672">
        <v>1010351.12</v>
      </c>
      <c r="L1946" s="672">
        <v>2002878.13</v>
      </c>
    </row>
    <row r="1947" spans="2:12">
      <c r="B1947" s="180" t="s">
        <v>1479</v>
      </c>
      <c r="C1947" s="180" t="s">
        <v>1480</v>
      </c>
      <c r="D1947" s="180" t="s">
        <v>974</v>
      </c>
      <c r="E1947" s="180" t="s">
        <v>990</v>
      </c>
      <c r="F1947" s="672">
        <v>0</v>
      </c>
      <c r="G1947" s="672">
        <v>0</v>
      </c>
      <c r="H1947" s="672">
        <v>0</v>
      </c>
      <c r="I1947" s="672">
        <v>0</v>
      </c>
      <c r="J1947" s="672">
        <v>0</v>
      </c>
      <c r="K1947" s="672">
        <v>0</v>
      </c>
      <c r="L1947" s="672">
        <v>0</v>
      </c>
    </row>
    <row r="1948" spans="2:12">
      <c r="B1948" s="180" t="s">
        <v>1802</v>
      </c>
      <c r="C1948" s="180" t="s">
        <v>1803</v>
      </c>
      <c r="D1948" s="180" t="s">
        <v>974</v>
      </c>
      <c r="E1948" s="180" t="s">
        <v>980</v>
      </c>
      <c r="F1948" s="672">
        <v>4154.8999999999996</v>
      </c>
      <c r="G1948" s="672">
        <v>-142.01</v>
      </c>
      <c r="H1948" s="672">
        <v>-461.77</v>
      </c>
      <c r="I1948" s="672">
        <v>241.88</v>
      </c>
      <c r="J1948" s="672">
        <v>-93.53</v>
      </c>
      <c r="K1948" s="672">
        <v>1315.84</v>
      </c>
      <c r="L1948" s="672">
        <v>3294.49</v>
      </c>
    </row>
    <row r="1949" spans="2:12">
      <c r="B1949" s="180" t="s">
        <v>1284</v>
      </c>
      <c r="C1949" s="180" t="s">
        <v>1285</v>
      </c>
      <c r="D1949" s="180" t="s">
        <v>974</v>
      </c>
      <c r="E1949" s="180" t="s">
        <v>980</v>
      </c>
      <c r="F1949" s="672">
        <v>2014.4</v>
      </c>
      <c r="G1949" s="672">
        <v>52.04</v>
      </c>
      <c r="H1949" s="672">
        <v>-202.5</v>
      </c>
      <c r="I1949" s="672">
        <v>-53.78</v>
      </c>
      <c r="J1949" s="672">
        <v>125.84</v>
      </c>
      <c r="K1949" s="672">
        <v>-10622.04</v>
      </c>
      <c r="L1949" s="672">
        <v>12714.84</v>
      </c>
    </row>
    <row r="1950" spans="2:12">
      <c r="B1950" s="180" t="s">
        <v>1386</v>
      </c>
      <c r="C1950" s="180" t="s">
        <v>1387</v>
      </c>
      <c r="D1950" s="180" t="s">
        <v>974</v>
      </c>
      <c r="E1950" s="180" t="s">
        <v>990</v>
      </c>
      <c r="F1950" s="672">
        <v>0</v>
      </c>
      <c r="G1950" s="672">
        <v>0</v>
      </c>
      <c r="H1950" s="672">
        <v>0</v>
      </c>
      <c r="I1950" s="672">
        <v>0</v>
      </c>
      <c r="J1950" s="672">
        <v>0</v>
      </c>
      <c r="K1950" s="672">
        <v>0</v>
      </c>
      <c r="L1950" s="672">
        <v>0</v>
      </c>
    </row>
    <row r="1951" spans="2:12">
      <c r="B1951" s="180" t="s">
        <v>2064</v>
      </c>
      <c r="C1951" s="180" t="s">
        <v>2065</v>
      </c>
      <c r="D1951" s="180" t="s">
        <v>974</v>
      </c>
      <c r="E1951" s="180" t="s">
        <v>980</v>
      </c>
      <c r="F1951" s="672">
        <v>-23884.37</v>
      </c>
      <c r="G1951" s="672">
        <v>4548.2</v>
      </c>
      <c r="H1951" s="672">
        <v>46293.95</v>
      </c>
      <c r="I1951" s="672">
        <v>7.04</v>
      </c>
      <c r="J1951" s="672">
        <v>-1066.76</v>
      </c>
      <c r="K1951" s="672">
        <v>-8447.4500000000007</v>
      </c>
      <c r="L1951" s="672">
        <v>-65219.35</v>
      </c>
    </row>
    <row r="1952" spans="2:12">
      <c r="B1952" s="180" t="s">
        <v>1660</v>
      </c>
      <c r="C1952" s="180" t="s">
        <v>1661</v>
      </c>
      <c r="D1952" s="180" t="s">
        <v>974</v>
      </c>
      <c r="E1952" s="180" t="s">
        <v>990</v>
      </c>
      <c r="F1952" s="672">
        <v>0</v>
      </c>
      <c r="G1952" s="672">
        <v>0</v>
      </c>
      <c r="H1952" s="672">
        <v>0</v>
      </c>
      <c r="I1952" s="672">
        <v>0</v>
      </c>
      <c r="J1952" s="672">
        <v>0</v>
      </c>
      <c r="K1952" s="672">
        <v>0</v>
      </c>
      <c r="L1952" s="672">
        <v>0</v>
      </c>
    </row>
    <row r="1953" spans="2:12">
      <c r="B1953" s="180" t="s">
        <v>1722</v>
      </c>
      <c r="C1953" s="180" t="s">
        <v>1723</v>
      </c>
      <c r="D1953" s="180" t="s">
        <v>974</v>
      </c>
      <c r="E1953" s="180" t="s">
        <v>1075</v>
      </c>
      <c r="F1953" s="672">
        <v>0</v>
      </c>
      <c r="G1953" s="672">
        <v>0</v>
      </c>
      <c r="H1953" s="672">
        <v>0</v>
      </c>
      <c r="I1953" s="672">
        <v>0</v>
      </c>
      <c r="J1953" s="672">
        <v>0</v>
      </c>
      <c r="K1953" s="672">
        <v>0</v>
      </c>
      <c r="L1953" s="672">
        <v>0</v>
      </c>
    </row>
    <row r="1954" spans="2:12">
      <c r="B1954" s="180" t="s">
        <v>1196</v>
      </c>
      <c r="C1954" s="180" t="s">
        <v>1197</v>
      </c>
      <c r="D1954" s="180" t="s">
        <v>993</v>
      </c>
      <c r="E1954" s="180" t="s">
        <v>990</v>
      </c>
      <c r="F1954" s="672">
        <v>0</v>
      </c>
      <c r="G1954" s="672">
        <v>0</v>
      </c>
      <c r="H1954" s="672">
        <v>0</v>
      </c>
      <c r="I1954" s="672">
        <v>0</v>
      </c>
      <c r="J1954" s="672">
        <v>0</v>
      </c>
      <c r="K1954" s="672">
        <v>0</v>
      </c>
      <c r="L1954" s="672">
        <v>0</v>
      </c>
    </row>
    <row r="1955" spans="2:12">
      <c r="B1955" s="180" t="s">
        <v>1634</v>
      </c>
      <c r="C1955" s="180" t="s">
        <v>1529</v>
      </c>
      <c r="D1955" s="180" t="s">
        <v>974</v>
      </c>
      <c r="E1955" s="180" t="s">
        <v>975</v>
      </c>
      <c r="F1955" s="672">
        <v>74091.97</v>
      </c>
      <c r="G1955" s="672">
        <v>0</v>
      </c>
      <c r="H1955" s="672">
        <v>0</v>
      </c>
      <c r="I1955" s="672">
        <v>0</v>
      </c>
      <c r="J1955" s="672">
        <v>0</v>
      </c>
      <c r="K1955" s="672">
        <v>0</v>
      </c>
      <c r="L1955" s="672">
        <v>74091.97</v>
      </c>
    </row>
    <row r="1956" spans="2:12">
      <c r="B1956" s="180" t="s">
        <v>1016</v>
      </c>
      <c r="C1956" s="180" t="s">
        <v>1017</v>
      </c>
      <c r="D1956" s="180" t="s">
        <v>974</v>
      </c>
      <c r="E1956" s="180" t="s">
        <v>990</v>
      </c>
      <c r="F1956" s="672">
        <v>1727.94</v>
      </c>
      <c r="G1956" s="672">
        <v>0</v>
      </c>
      <c r="H1956" s="672">
        <v>0</v>
      </c>
      <c r="I1956" s="672">
        <v>0</v>
      </c>
      <c r="J1956" s="672">
        <v>0</v>
      </c>
      <c r="K1956" s="672">
        <v>0</v>
      </c>
      <c r="L1956" s="672">
        <v>1727.94</v>
      </c>
    </row>
    <row r="1957" spans="2:12">
      <c r="B1957" s="180" t="s">
        <v>1943</v>
      </c>
      <c r="C1957" s="180" t="s">
        <v>1572</v>
      </c>
      <c r="D1957" s="180" t="s">
        <v>974</v>
      </c>
      <c r="E1957" s="180" t="s">
        <v>990</v>
      </c>
      <c r="F1957" s="672">
        <v>0</v>
      </c>
      <c r="G1957" s="672">
        <v>0</v>
      </c>
      <c r="H1957" s="672">
        <v>0</v>
      </c>
      <c r="I1957" s="672">
        <v>0</v>
      </c>
      <c r="J1957" s="672">
        <v>0</v>
      </c>
      <c r="K1957" s="672">
        <v>0</v>
      </c>
      <c r="L1957" s="672">
        <v>0</v>
      </c>
    </row>
    <row r="1958" spans="2:12">
      <c r="B1958" s="180" t="s">
        <v>2040</v>
      </c>
      <c r="C1958" s="180" t="s">
        <v>1060</v>
      </c>
      <c r="D1958" s="180" t="s">
        <v>993</v>
      </c>
      <c r="E1958" s="180" t="s">
        <v>990</v>
      </c>
      <c r="F1958" s="672">
        <v>0</v>
      </c>
      <c r="G1958" s="672">
        <v>0</v>
      </c>
      <c r="H1958" s="672">
        <v>0</v>
      </c>
      <c r="I1958" s="672">
        <v>0</v>
      </c>
      <c r="J1958" s="672">
        <v>0</v>
      </c>
      <c r="K1958" s="672">
        <v>0</v>
      </c>
      <c r="L1958" s="672">
        <v>0</v>
      </c>
    </row>
    <row r="1959" spans="2:12">
      <c r="B1959" s="180" t="s">
        <v>1766</v>
      </c>
      <c r="C1959" s="180" t="s">
        <v>1115</v>
      </c>
      <c r="D1959" s="180" t="s">
        <v>974</v>
      </c>
      <c r="E1959" s="180" t="s">
        <v>980</v>
      </c>
      <c r="F1959" s="672">
        <v>-4039039.83</v>
      </c>
      <c r="G1959" s="672">
        <v>4085.84</v>
      </c>
      <c r="H1959" s="672">
        <v>5976.64</v>
      </c>
      <c r="I1959" s="672">
        <v>5538.65</v>
      </c>
      <c r="J1959" s="672">
        <v>5424.61</v>
      </c>
      <c r="K1959" s="672">
        <v>121424.28</v>
      </c>
      <c r="L1959" s="672">
        <v>-4181489.85</v>
      </c>
    </row>
    <row r="1960" spans="2:12">
      <c r="B1960" s="180" t="s">
        <v>1766</v>
      </c>
      <c r="C1960" s="180" t="s">
        <v>1115</v>
      </c>
      <c r="D1960" s="180" t="s">
        <v>974</v>
      </c>
      <c r="E1960" s="180" t="s">
        <v>990</v>
      </c>
      <c r="F1960" s="672">
        <v>0</v>
      </c>
      <c r="G1960" s="672">
        <v>0</v>
      </c>
      <c r="H1960" s="672">
        <v>0</v>
      </c>
      <c r="I1960" s="672">
        <v>0</v>
      </c>
      <c r="J1960" s="672">
        <v>0</v>
      </c>
      <c r="K1960" s="672">
        <v>0</v>
      </c>
      <c r="L1960" s="672">
        <v>0</v>
      </c>
    </row>
    <row r="1961" spans="2:12">
      <c r="B1961" s="180" t="s">
        <v>1310</v>
      </c>
      <c r="C1961" s="180" t="s">
        <v>1311</v>
      </c>
      <c r="D1961" s="180" t="s">
        <v>974</v>
      </c>
      <c r="E1961" s="180" t="s">
        <v>980</v>
      </c>
      <c r="F1961" s="672">
        <v>1991970.44</v>
      </c>
      <c r="G1961" s="672">
        <v>46224.65</v>
      </c>
      <c r="H1961" s="672">
        <v>46462.34</v>
      </c>
      <c r="I1961" s="672">
        <v>46218.71</v>
      </c>
      <c r="J1961" s="672">
        <v>46252.13</v>
      </c>
      <c r="K1961" s="672">
        <v>368929.36</v>
      </c>
      <c r="L1961" s="672">
        <v>1437883.25</v>
      </c>
    </row>
    <row r="1962" spans="2:12">
      <c r="B1962" s="180" t="s">
        <v>1997</v>
      </c>
      <c r="C1962" s="180" t="s">
        <v>1998</v>
      </c>
      <c r="D1962" s="180" t="s">
        <v>974</v>
      </c>
      <c r="E1962" s="180" t="s">
        <v>980</v>
      </c>
      <c r="F1962" s="672">
        <v>0</v>
      </c>
      <c r="G1962" s="672">
        <v>0</v>
      </c>
      <c r="H1962" s="672">
        <v>0.17</v>
      </c>
      <c r="I1962" s="672">
        <v>-0.17</v>
      </c>
      <c r="J1962" s="672">
        <v>0</v>
      </c>
      <c r="K1962" s="672">
        <v>0</v>
      </c>
      <c r="L1962" s="672">
        <v>0</v>
      </c>
    </row>
    <row r="1963" spans="2:12">
      <c r="B1963" s="180" t="s">
        <v>1820</v>
      </c>
      <c r="C1963" s="180" t="s">
        <v>1302</v>
      </c>
      <c r="D1963" s="180" t="s">
        <v>993</v>
      </c>
      <c r="E1963" s="180" t="s">
        <v>983</v>
      </c>
      <c r="F1963" s="672">
        <v>17754.11</v>
      </c>
      <c r="G1963" s="672">
        <v>0</v>
      </c>
      <c r="H1963" s="672">
        <v>0</v>
      </c>
      <c r="I1963" s="672">
        <v>0</v>
      </c>
      <c r="J1963" s="672">
        <v>0</v>
      </c>
      <c r="K1963" s="672">
        <v>2931.63</v>
      </c>
      <c r="L1963" s="672">
        <v>14822.48</v>
      </c>
    </row>
    <row r="1964" spans="2:12">
      <c r="B1964" s="180" t="s">
        <v>1400</v>
      </c>
      <c r="C1964" s="180" t="s">
        <v>1401</v>
      </c>
      <c r="D1964" s="180" t="s">
        <v>974</v>
      </c>
      <c r="E1964" s="180" t="s">
        <v>975</v>
      </c>
      <c r="F1964" s="672">
        <v>-11853.81</v>
      </c>
      <c r="G1964" s="672">
        <v>0</v>
      </c>
      <c r="H1964" s="672">
        <v>0</v>
      </c>
      <c r="I1964" s="672">
        <v>0</v>
      </c>
      <c r="J1964" s="672">
        <v>0</v>
      </c>
      <c r="K1964" s="672">
        <v>0</v>
      </c>
      <c r="L1964" s="672">
        <v>-11853.81</v>
      </c>
    </row>
    <row r="1965" spans="2:12">
      <c r="B1965" s="180" t="s">
        <v>1319</v>
      </c>
      <c r="C1965" s="180" t="s">
        <v>1320</v>
      </c>
      <c r="D1965" s="180" t="s">
        <v>974</v>
      </c>
      <c r="E1965" s="180" t="s">
        <v>980</v>
      </c>
      <c r="F1965" s="672">
        <v>-42067.78</v>
      </c>
      <c r="G1965" s="672">
        <v>-2449.0100000000002</v>
      </c>
      <c r="H1965" s="672">
        <v>56.64</v>
      </c>
      <c r="I1965" s="672">
        <v>-172.28</v>
      </c>
      <c r="J1965" s="672">
        <v>2835.27</v>
      </c>
      <c r="K1965" s="672">
        <v>-447.03</v>
      </c>
      <c r="L1965" s="672">
        <v>-41891.370000000003</v>
      </c>
    </row>
    <row r="1966" spans="2:12">
      <c r="B1966" s="180" t="s">
        <v>1561</v>
      </c>
      <c r="C1966" s="180" t="s">
        <v>1562</v>
      </c>
      <c r="D1966" s="180" t="s">
        <v>993</v>
      </c>
      <c r="E1966" s="180" t="s">
        <v>975</v>
      </c>
      <c r="F1966" s="672">
        <v>-138.16999999999999</v>
      </c>
      <c r="G1966" s="672">
        <v>0</v>
      </c>
      <c r="H1966" s="672">
        <v>0</v>
      </c>
      <c r="I1966" s="672">
        <v>0</v>
      </c>
      <c r="J1966" s="672">
        <v>0</v>
      </c>
      <c r="K1966" s="672">
        <v>0</v>
      </c>
      <c r="L1966" s="672">
        <v>-138.16999999999999</v>
      </c>
    </row>
    <row r="1967" spans="2:12">
      <c r="B1967" s="180" t="s">
        <v>1019</v>
      </c>
      <c r="C1967" s="180" t="s">
        <v>999</v>
      </c>
      <c r="D1967" s="180" t="s">
        <v>974</v>
      </c>
      <c r="E1967" s="180" t="s">
        <v>1075</v>
      </c>
      <c r="F1967" s="672">
        <v>0</v>
      </c>
      <c r="G1967" s="672">
        <v>0</v>
      </c>
      <c r="H1967" s="672">
        <v>0</v>
      </c>
      <c r="I1967" s="672">
        <v>0</v>
      </c>
      <c r="J1967" s="672">
        <v>0</v>
      </c>
      <c r="K1967" s="672">
        <v>0</v>
      </c>
      <c r="L1967" s="672">
        <v>0</v>
      </c>
    </row>
    <row r="1968" spans="2:12">
      <c r="B1968" s="180" t="s">
        <v>2044</v>
      </c>
      <c r="C1968" s="180" t="s">
        <v>2045</v>
      </c>
      <c r="D1968" s="180" t="s">
        <v>974</v>
      </c>
      <c r="E1968" s="180" t="s">
        <v>975</v>
      </c>
      <c r="F1968" s="672">
        <v>344.96</v>
      </c>
      <c r="G1968" s="672">
        <v>0</v>
      </c>
      <c r="H1968" s="672">
        <v>0</v>
      </c>
      <c r="I1968" s="672">
        <v>0</v>
      </c>
      <c r="J1968" s="672">
        <v>0</v>
      </c>
      <c r="K1968" s="672">
        <v>0</v>
      </c>
      <c r="L1968" s="672">
        <v>344.96</v>
      </c>
    </row>
    <row r="1969" spans="2:12">
      <c r="B1969" s="180" t="s">
        <v>2066</v>
      </c>
      <c r="C1969" s="180" t="s">
        <v>989</v>
      </c>
      <c r="D1969" s="180" t="s">
        <v>974</v>
      </c>
      <c r="E1969" s="180" t="s">
        <v>975</v>
      </c>
      <c r="F1969" s="672">
        <v>199178.5</v>
      </c>
      <c r="G1969" s="672">
        <v>0</v>
      </c>
      <c r="H1969" s="672">
        <v>0</v>
      </c>
      <c r="I1969" s="672">
        <v>0</v>
      </c>
      <c r="J1969" s="672">
        <v>0</v>
      </c>
      <c r="K1969" s="672">
        <v>0</v>
      </c>
      <c r="L1969" s="672">
        <v>199178.5</v>
      </c>
    </row>
    <row r="1970" spans="2:12">
      <c r="B1970" s="180" t="s">
        <v>994</v>
      </c>
      <c r="C1970" s="180" t="s">
        <v>995</v>
      </c>
      <c r="D1970" s="180" t="s">
        <v>993</v>
      </c>
      <c r="E1970" s="180" t="s">
        <v>980</v>
      </c>
      <c r="F1970" s="672">
        <v>2983594.34</v>
      </c>
      <c r="G1970" s="672">
        <v>68298.320000000007</v>
      </c>
      <c r="H1970" s="672">
        <v>80993.22</v>
      </c>
      <c r="I1970" s="672">
        <v>89080.03</v>
      </c>
      <c r="J1970" s="672">
        <v>80205.77</v>
      </c>
      <c r="K1970" s="672">
        <v>608224.53</v>
      </c>
      <c r="L1970" s="672">
        <v>2056792.47</v>
      </c>
    </row>
    <row r="1971" spans="2:12">
      <c r="B1971" s="180" t="s">
        <v>1063</v>
      </c>
      <c r="C1971" s="180" t="s">
        <v>1050</v>
      </c>
      <c r="D1971" s="180" t="s">
        <v>974</v>
      </c>
      <c r="E1971" s="180" t="s">
        <v>975</v>
      </c>
      <c r="F1971" s="672">
        <v>691106.99</v>
      </c>
      <c r="G1971" s="672">
        <v>0</v>
      </c>
      <c r="H1971" s="672">
        <v>0</v>
      </c>
      <c r="I1971" s="672">
        <v>0</v>
      </c>
      <c r="J1971" s="672">
        <v>0</v>
      </c>
      <c r="K1971" s="672">
        <v>0</v>
      </c>
      <c r="L1971" s="672">
        <v>691106.99</v>
      </c>
    </row>
    <row r="1972" spans="2:12">
      <c r="B1972" s="180" t="s">
        <v>1020</v>
      </c>
      <c r="C1972" s="180" t="s">
        <v>1021</v>
      </c>
      <c r="D1972" s="180" t="s">
        <v>993</v>
      </c>
      <c r="E1972" s="180" t="s">
        <v>975</v>
      </c>
      <c r="F1972" s="672">
        <v>-475.29</v>
      </c>
      <c r="G1972" s="672">
        <v>0</v>
      </c>
      <c r="H1972" s="672">
        <v>0</v>
      </c>
      <c r="I1972" s="672">
        <v>0</v>
      </c>
      <c r="J1972" s="672">
        <v>0</v>
      </c>
      <c r="K1972" s="672">
        <v>0</v>
      </c>
      <c r="L1972" s="672">
        <v>-475.29</v>
      </c>
    </row>
    <row r="1973" spans="2:12">
      <c r="B1973" s="180" t="s">
        <v>1276</v>
      </c>
      <c r="C1973" s="180" t="s">
        <v>1277</v>
      </c>
      <c r="D1973" s="180" t="s">
        <v>993</v>
      </c>
      <c r="E1973" s="180" t="s">
        <v>990</v>
      </c>
      <c r="F1973" s="672">
        <v>0</v>
      </c>
      <c r="G1973" s="672">
        <v>0</v>
      </c>
      <c r="H1973" s="672">
        <v>0</v>
      </c>
      <c r="I1973" s="672">
        <v>0</v>
      </c>
      <c r="J1973" s="672">
        <v>0</v>
      </c>
      <c r="K1973" s="672">
        <v>0</v>
      </c>
      <c r="L1973" s="672">
        <v>0</v>
      </c>
    </row>
    <row r="1974" spans="2:12">
      <c r="B1974" s="180" t="s">
        <v>1449</v>
      </c>
      <c r="C1974" s="180" t="s">
        <v>1399</v>
      </c>
      <c r="D1974" s="180" t="s">
        <v>993</v>
      </c>
      <c r="E1974" s="180" t="s">
        <v>990</v>
      </c>
      <c r="F1974" s="672">
        <v>0</v>
      </c>
      <c r="G1974" s="672">
        <v>0</v>
      </c>
      <c r="H1974" s="672">
        <v>0</v>
      </c>
      <c r="I1974" s="672">
        <v>0</v>
      </c>
      <c r="J1974" s="672">
        <v>0</v>
      </c>
      <c r="K1974" s="672">
        <v>0</v>
      </c>
      <c r="L1974" s="672">
        <v>0</v>
      </c>
    </row>
    <row r="1975" spans="2:12">
      <c r="B1975" s="180" t="s">
        <v>1596</v>
      </c>
      <c r="C1975" s="180" t="s">
        <v>1597</v>
      </c>
      <c r="D1975" s="180" t="s">
        <v>974</v>
      </c>
      <c r="E1975" s="180" t="s">
        <v>1363</v>
      </c>
      <c r="F1975" s="672">
        <v>91377.99</v>
      </c>
      <c r="G1975" s="672">
        <v>-5039.2299999999996</v>
      </c>
      <c r="H1975" s="672">
        <v>-5039.2299999999996</v>
      </c>
      <c r="I1975" s="672">
        <v>-0.06</v>
      </c>
      <c r="J1975" s="672">
        <v>0</v>
      </c>
      <c r="K1975" s="672">
        <v>-34602.75</v>
      </c>
      <c r="L1975" s="672">
        <v>136059.26</v>
      </c>
    </row>
    <row r="1976" spans="2:12">
      <c r="B1976" s="180" t="s">
        <v>1535</v>
      </c>
      <c r="C1976" s="180" t="s">
        <v>1536</v>
      </c>
      <c r="D1976" s="180" t="s">
        <v>974</v>
      </c>
      <c r="E1976" s="180" t="s">
        <v>983</v>
      </c>
      <c r="F1976" s="672">
        <v>1440.35</v>
      </c>
      <c r="G1976" s="672">
        <v>0</v>
      </c>
      <c r="H1976" s="672">
        <v>0</v>
      </c>
      <c r="I1976" s="672">
        <v>0</v>
      </c>
      <c r="J1976" s="672">
        <v>0</v>
      </c>
      <c r="K1976" s="672">
        <v>380.86</v>
      </c>
      <c r="L1976" s="672">
        <v>1059.49</v>
      </c>
    </row>
    <row r="1977" spans="2:12">
      <c r="B1977" s="180" t="s">
        <v>1795</v>
      </c>
      <c r="C1977" s="180" t="s">
        <v>1796</v>
      </c>
      <c r="D1977" s="180" t="s">
        <v>974</v>
      </c>
      <c r="E1977" s="180" t="s">
        <v>1075</v>
      </c>
      <c r="F1977" s="672">
        <v>0</v>
      </c>
      <c r="G1977" s="672">
        <v>0</v>
      </c>
      <c r="H1977" s="672">
        <v>0</v>
      </c>
      <c r="I1977" s="672">
        <v>0</v>
      </c>
      <c r="J1977" s="672">
        <v>0</v>
      </c>
      <c r="K1977" s="672">
        <v>0</v>
      </c>
      <c r="L1977" s="672">
        <v>0</v>
      </c>
    </row>
    <row r="1978" spans="2:12">
      <c r="B1978" s="180" t="s">
        <v>1994</v>
      </c>
      <c r="C1978" s="180" t="s">
        <v>1566</v>
      </c>
      <c r="D1978" s="180" t="s">
        <v>993</v>
      </c>
      <c r="E1978" s="180" t="s">
        <v>990</v>
      </c>
      <c r="F1978" s="672">
        <v>0</v>
      </c>
      <c r="G1978" s="672">
        <v>0</v>
      </c>
      <c r="H1978" s="672">
        <v>0</v>
      </c>
      <c r="I1978" s="672">
        <v>0</v>
      </c>
      <c r="J1978" s="672">
        <v>0</v>
      </c>
      <c r="K1978" s="672">
        <v>0</v>
      </c>
      <c r="L1978" s="672">
        <v>0</v>
      </c>
    </row>
    <row r="1979" spans="2:12">
      <c r="B1979" s="180" t="s">
        <v>1942</v>
      </c>
      <c r="C1979" s="180" t="s">
        <v>1208</v>
      </c>
      <c r="D1979" s="180" t="s">
        <v>993</v>
      </c>
      <c r="E1979" s="180" t="s">
        <v>975</v>
      </c>
      <c r="F1979" s="672">
        <v>-11.83</v>
      </c>
      <c r="G1979" s="672">
        <v>0</v>
      </c>
      <c r="H1979" s="672">
        <v>0</v>
      </c>
      <c r="I1979" s="672">
        <v>0</v>
      </c>
      <c r="J1979" s="672">
        <v>0</v>
      </c>
      <c r="K1979" s="672">
        <v>0</v>
      </c>
      <c r="L1979" s="672">
        <v>-11.83</v>
      </c>
    </row>
    <row r="1980" spans="2:12">
      <c r="B1980" s="180" t="s">
        <v>2066</v>
      </c>
      <c r="C1980" s="180" t="s">
        <v>989</v>
      </c>
      <c r="D1980" s="180" t="s">
        <v>974</v>
      </c>
      <c r="E1980" s="180" t="s">
        <v>980</v>
      </c>
      <c r="F1980" s="672">
        <v>-136066.45000000001</v>
      </c>
      <c r="G1980" s="672">
        <v>1263.44</v>
      </c>
      <c r="H1980" s="672">
        <v>1374.71</v>
      </c>
      <c r="I1980" s="672">
        <v>1536.14</v>
      </c>
      <c r="J1980" s="672">
        <v>1475.38</v>
      </c>
      <c r="K1980" s="672">
        <v>9883.0300000000007</v>
      </c>
      <c r="L1980" s="672">
        <v>-151599.15</v>
      </c>
    </row>
    <row r="1981" spans="2:12">
      <c r="B1981" s="180" t="s">
        <v>1584</v>
      </c>
      <c r="C1981" s="180" t="s">
        <v>1585</v>
      </c>
      <c r="D1981" s="180" t="s">
        <v>974</v>
      </c>
      <c r="E1981" s="180" t="s">
        <v>975</v>
      </c>
      <c r="F1981" s="672">
        <v>67725.100000000006</v>
      </c>
      <c r="G1981" s="672">
        <v>0</v>
      </c>
      <c r="H1981" s="672">
        <v>0</v>
      </c>
      <c r="I1981" s="672">
        <v>0</v>
      </c>
      <c r="J1981" s="672">
        <v>0</v>
      </c>
      <c r="K1981" s="672">
        <v>0</v>
      </c>
      <c r="L1981" s="672">
        <v>67725.100000000006</v>
      </c>
    </row>
    <row r="1982" spans="2:12">
      <c r="B1982" s="180" t="s">
        <v>1751</v>
      </c>
      <c r="C1982" s="180" t="s">
        <v>1631</v>
      </c>
      <c r="D1982" s="180" t="s">
        <v>993</v>
      </c>
      <c r="E1982" s="180" t="s">
        <v>983</v>
      </c>
      <c r="F1982" s="672">
        <v>320.45999999999998</v>
      </c>
      <c r="G1982" s="672">
        <v>63.7</v>
      </c>
      <c r="H1982" s="672">
        <v>56.92</v>
      </c>
      <c r="I1982" s="672">
        <v>59.17</v>
      </c>
      <c r="J1982" s="672">
        <v>56.92</v>
      </c>
      <c r="K1982" s="672">
        <v>83.75</v>
      </c>
      <c r="L1982" s="672">
        <v>0</v>
      </c>
    </row>
    <row r="1983" spans="2:12">
      <c r="B1983" s="180" t="s">
        <v>1352</v>
      </c>
      <c r="C1983" s="180" t="s">
        <v>1220</v>
      </c>
      <c r="D1983" s="180" t="s">
        <v>974</v>
      </c>
      <c r="E1983" s="180" t="s">
        <v>975</v>
      </c>
      <c r="F1983" s="672">
        <v>741860.09</v>
      </c>
      <c r="G1983" s="672">
        <v>0</v>
      </c>
      <c r="H1983" s="672">
        <v>0</v>
      </c>
      <c r="I1983" s="672">
        <v>0</v>
      </c>
      <c r="J1983" s="672">
        <v>0</v>
      </c>
      <c r="K1983" s="672">
        <v>694203.89</v>
      </c>
      <c r="L1983" s="672">
        <v>47656.2</v>
      </c>
    </row>
    <row r="1984" spans="2:12">
      <c r="B1984" s="180" t="s">
        <v>1172</v>
      </c>
      <c r="C1984" s="180" t="s">
        <v>1115</v>
      </c>
      <c r="D1984" s="180" t="s">
        <v>974</v>
      </c>
      <c r="E1984" s="180" t="s">
        <v>980</v>
      </c>
      <c r="F1984" s="672">
        <v>-2696.65</v>
      </c>
      <c r="G1984" s="672">
        <v>-185.08</v>
      </c>
      <c r="H1984" s="672">
        <v>17209.560000000001</v>
      </c>
      <c r="I1984" s="672">
        <v>-17009.810000000001</v>
      </c>
      <c r="J1984" s="672">
        <v>1368.42</v>
      </c>
      <c r="K1984" s="672">
        <v>20167.52</v>
      </c>
      <c r="L1984" s="672">
        <v>-24247.26</v>
      </c>
    </row>
    <row r="1985" spans="2:12">
      <c r="B1985" s="180" t="s">
        <v>2061</v>
      </c>
      <c r="C1985" s="180" t="s">
        <v>1094</v>
      </c>
      <c r="D1985" s="180" t="s">
        <v>974</v>
      </c>
      <c r="E1985" s="180" t="s">
        <v>975</v>
      </c>
      <c r="F1985" s="672">
        <v>17136.52</v>
      </c>
      <c r="G1985" s="672">
        <v>17136.52</v>
      </c>
      <c r="H1985" s="672">
        <v>0</v>
      </c>
      <c r="I1985" s="672">
        <v>0</v>
      </c>
      <c r="J1985" s="672">
        <v>0</v>
      </c>
      <c r="K1985" s="672">
        <v>0</v>
      </c>
      <c r="L1985" s="672">
        <v>0</v>
      </c>
    </row>
    <row r="1986" spans="2:12">
      <c r="B1986" s="180" t="s">
        <v>1811</v>
      </c>
      <c r="C1986" s="180" t="s">
        <v>1525</v>
      </c>
      <c r="D1986" s="180" t="s">
        <v>993</v>
      </c>
      <c r="E1986" s="180" t="s">
        <v>1034</v>
      </c>
      <c r="F1986" s="672">
        <v>0</v>
      </c>
      <c r="G1986" s="672">
        <v>0</v>
      </c>
      <c r="H1986" s="672">
        <v>0</v>
      </c>
      <c r="I1986" s="672">
        <v>0</v>
      </c>
      <c r="J1986" s="672">
        <v>0</v>
      </c>
      <c r="K1986" s="672">
        <v>0</v>
      </c>
      <c r="L1986" s="672">
        <v>0</v>
      </c>
    </row>
    <row r="1987" spans="2:12">
      <c r="B1987" s="180" t="s">
        <v>1888</v>
      </c>
      <c r="C1987" s="180" t="s">
        <v>1889</v>
      </c>
      <c r="D1987" s="180" t="s">
        <v>974</v>
      </c>
      <c r="E1987" s="180" t="s">
        <v>980</v>
      </c>
      <c r="F1987" s="672">
        <v>-176411.22</v>
      </c>
      <c r="G1987" s="672">
        <v>-1678.82</v>
      </c>
      <c r="H1987" s="672">
        <v>-4493.12</v>
      </c>
      <c r="I1987" s="672">
        <v>-12674.13</v>
      </c>
      <c r="J1987" s="672">
        <v>7030.76</v>
      </c>
      <c r="K1987" s="672">
        <v>11789.61</v>
      </c>
      <c r="L1987" s="672">
        <v>-176385.52</v>
      </c>
    </row>
    <row r="1988" spans="2:12">
      <c r="B1988" s="180" t="s">
        <v>1147</v>
      </c>
      <c r="C1988" s="180" t="s">
        <v>1148</v>
      </c>
      <c r="D1988" s="180" t="s">
        <v>974</v>
      </c>
      <c r="E1988" s="180" t="s">
        <v>980</v>
      </c>
      <c r="F1988" s="672">
        <v>3636587.77</v>
      </c>
      <c r="G1988" s="672">
        <v>58561.03</v>
      </c>
      <c r="H1988" s="672">
        <v>84829.04</v>
      </c>
      <c r="I1988" s="672">
        <v>84997.88</v>
      </c>
      <c r="J1988" s="672">
        <v>85028.58</v>
      </c>
      <c r="K1988" s="672">
        <v>670321.59</v>
      </c>
      <c r="L1988" s="672">
        <v>2652849.65</v>
      </c>
    </row>
    <row r="1989" spans="2:12">
      <c r="B1989" s="180" t="s">
        <v>1712</v>
      </c>
      <c r="C1989" s="180" t="s">
        <v>1713</v>
      </c>
      <c r="D1989" s="180" t="s">
        <v>974</v>
      </c>
      <c r="E1989" s="180" t="s">
        <v>990</v>
      </c>
      <c r="F1989" s="672">
        <v>0</v>
      </c>
      <c r="G1989" s="672">
        <v>0</v>
      </c>
      <c r="H1989" s="672">
        <v>0</v>
      </c>
      <c r="I1989" s="672">
        <v>0</v>
      </c>
      <c r="J1989" s="672">
        <v>0</v>
      </c>
      <c r="K1989" s="672">
        <v>0</v>
      </c>
      <c r="L1989" s="672">
        <v>0</v>
      </c>
    </row>
    <row r="1990" spans="2:12">
      <c r="B1990" s="180" t="s">
        <v>1955</v>
      </c>
      <c r="C1990" s="180" t="s">
        <v>1302</v>
      </c>
      <c r="D1990" s="180" t="s">
        <v>993</v>
      </c>
      <c r="E1990" s="180" t="s">
        <v>980</v>
      </c>
      <c r="F1990" s="672">
        <v>34606592.950000003</v>
      </c>
      <c r="G1990" s="672">
        <v>1148507.2</v>
      </c>
      <c r="H1990" s="672">
        <v>724143.01</v>
      </c>
      <c r="I1990" s="672">
        <v>871862.31</v>
      </c>
      <c r="J1990" s="672">
        <v>806572.98</v>
      </c>
      <c r="K1990" s="672">
        <v>6893439.1699999999</v>
      </c>
      <c r="L1990" s="672">
        <v>24162068.280000001</v>
      </c>
    </row>
    <row r="1991" spans="2:12">
      <c r="B1991" s="180" t="s">
        <v>2079</v>
      </c>
      <c r="C1991" s="180" t="s">
        <v>1082</v>
      </c>
      <c r="D1991" s="180" t="s">
        <v>993</v>
      </c>
      <c r="E1991" s="180" t="s">
        <v>980</v>
      </c>
      <c r="F1991" s="672">
        <v>204175.67</v>
      </c>
      <c r="G1991" s="672">
        <v>1086.5</v>
      </c>
      <c r="H1991" s="672">
        <v>859.48</v>
      </c>
      <c r="I1991" s="672">
        <v>743.59</v>
      </c>
      <c r="J1991" s="672">
        <v>520.82000000000005</v>
      </c>
      <c r="K1991" s="672">
        <v>35977.449999999997</v>
      </c>
      <c r="L1991" s="672">
        <v>164987.82999999999</v>
      </c>
    </row>
    <row r="1992" spans="2:12">
      <c r="B1992" s="180" t="s">
        <v>1724</v>
      </c>
      <c r="C1992" s="180" t="s">
        <v>1725</v>
      </c>
      <c r="D1992" s="180" t="s">
        <v>974</v>
      </c>
      <c r="E1992" s="180" t="s">
        <v>980</v>
      </c>
      <c r="F1992" s="672">
        <v>370829.35</v>
      </c>
      <c r="G1992" s="672">
        <v>-289115.34999999998</v>
      </c>
      <c r="H1992" s="672">
        <v>28381.93</v>
      </c>
      <c r="I1992" s="672">
        <v>-9138.01</v>
      </c>
      <c r="J1992" s="672">
        <v>23853.94</v>
      </c>
      <c r="K1992" s="672">
        <v>140795.82</v>
      </c>
      <c r="L1992" s="672">
        <v>476051.02</v>
      </c>
    </row>
    <row r="1993" spans="2:12">
      <c r="B1993" s="180" t="s">
        <v>2025</v>
      </c>
      <c r="C1993" s="180" t="s">
        <v>2026</v>
      </c>
      <c r="D1993" s="180" t="s">
        <v>974</v>
      </c>
      <c r="E1993" s="180" t="s">
        <v>980</v>
      </c>
      <c r="F1993" s="672">
        <v>44908.65</v>
      </c>
      <c r="G1993" s="672">
        <v>1736.33</v>
      </c>
      <c r="H1993" s="672">
        <v>1650.21</v>
      </c>
      <c r="I1993" s="672">
        <v>11482.34</v>
      </c>
      <c r="J1993" s="672">
        <v>6122.47</v>
      </c>
      <c r="K1993" s="672">
        <v>7625.36</v>
      </c>
      <c r="L1993" s="672">
        <v>16291.94</v>
      </c>
    </row>
    <row r="1994" spans="2:12">
      <c r="B1994" s="180" t="s">
        <v>1625</v>
      </c>
      <c r="C1994" s="180" t="s">
        <v>1626</v>
      </c>
      <c r="D1994" s="180" t="s">
        <v>974</v>
      </c>
      <c r="E1994" s="180" t="s">
        <v>990</v>
      </c>
      <c r="F1994" s="672">
        <v>0</v>
      </c>
      <c r="G1994" s="672">
        <v>0</v>
      </c>
      <c r="H1994" s="672">
        <v>0</v>
      </c>
      <c r="I1994" s="672">
        <v>0</v>
      </c>
      <c r="J1994" s="672">
        <v>0</v>
      </c>
      <c r="K1994" s="672">
        <v>0</v>
      </c>
      <c r="L1994" s="672">
        <v>0</v>
      </c>
    </row>
    <row r="1995" spans="2:12">
      <c r="B1995" s="180" t="s">
        <v>1881</v>
      </c>
      <c r="C1995" s="180" t="s">
        <v>1094</v>
      </c>
      <c r="D1995" s="180" t="s">
        <v>974</v>
      </c>
      <c r="E1995" s="180" t="s">
        <v>980</v>
      </c>
      <c r="F1995" s="672">
        <v>5037569.74</v>
      </c>
      <c r="G1995" s="672">
        <v>216159.28</v>
      </c>
      <c r="H1995" s="672">
        <v>547030.93000000005</v>
      </c>
      <c r="I1995" s="672">
        <v>867033.33</v>
      </c>
      <c r="J1995" s="672">
        <v>320447.44</v>
      </c>
      <c r="K1995" s="672">
        <v>-18376.79</v>
      </c>
      <c r="L1995" s="672">
        <v>3105275.55</v>
      </c>
    </row>
    <row r="1996" spans="2:12">
      <c r="B1996" s="180" t="s">
        <v>1114</v>
      </c>
      <c r="C1996" s="180" t="s">
        <v>1115</v>
      </c>
      <c r="D1996" s="180" t="s">
        <v>974</v>
      </c>
      <c r="E1996" s="180" t="s">
        <v>975</v>
      </c>
      <c r="F1996" s="672">
        <v>1290014.8500000001</v>
      </c>
      <c r="G1996" s="672">
        <v>58801.03</v>
      </c>
      <c r="H1996" s="672">
        <v>65253.94</v>
      </c>
      <c r="I1996" s="672">
        <v>59699.35</v>
      </c>
      <c r="J1996" s="672">
        <v>66398.149999999994</v>
      </c>
      <c r="K1996" s="672">
        <v>335250.71000000002</v>
      </c>
      <c r="L1996" s="672">
        <v>704611.67</v>
      </c>
    </row>
    <row r="1997" spans="2:12">
      <c r="B1997" s="180" t="s">
        <v>1970</v>
      </c>
      <c r="C1997" s="180" t="s">
        <v>1273</v>
      </c>
      <c r="D1997" s="180" t="s">
        <v>993</v>
      </c>
      <c r="E1997" s="180" t="s">
        <v>980</v>
      </c>
      <c r="F1997" s="672">
        <v>842316.80000000005</v>
      </c>
      <c r="G1997" s="672">
        <v>18247.52</v>
      </c>
      <c r="H1997" s="672">
        <v>20622.599999999999</v>
      </c>
      <c r="I1997" s="672">
        <v>22596.22</v>
      </c>
      <c r="J1997" s="672">
        <v>20264.599999999999</v>
      </c>
      <c r="K1997" s="672">
        <v>160341.51</v>
      </c>
      <c r="L1997" s="672">
        <v>600244.35</v>
      </c>
    </row>
    <row r="1998" spans="2:12">
      <c r="B1998" s="180" t="s">
        <v>1182</v>
      </c>
      <c r="C1998" s="180" t="s">
        <v>1183</v>
      </c>
      <c r="D1998" s="180" t="s">
        <v>974</v>
      </c>
      <c r="E1998" s="180" t="s">
        <v>990</v>
      </c>
      <c r="F1998" s="672">
        <v>9495.41</v>
      </c>
      <c r="G1998" s="672">
        <v>0</v>
      </c>
      <c r="H1998" s="672">
        <v>0</v>
      </c>
      <c r="I1998" s="672">
        <v>0</v>
      </c>
      <c r="J1998" s="672">
        <v>0</v>
      </c>
      <c r="K1998" s="672">
        <v>0</v>
      </c>
      <c r="L1998" s="672">
        <v>9495.41</v>
      </c>
    </row>
    <row r="1999" spans="2:12">
      <c r="B1999" s="180" t="s">
        <v>1556</v>
      </c>
      <c r="C1999" s="180" t="s">
        <v>1459</v>
      </c>
      <c r="D1999" s="180" t="s">
        <v>993</v>
      </c>
      <c r="E1999" s="180" t="s">
        <v>980</v>
      </c>
      <c r="F1999" s="672">
        <v>3657.3</v>
      </c>
      <c r="G1999" s="672">
        <v>99.85</v>
      </c>
      <c r="H1999" s="672">
        <v>79.19</v>
      </c>
      <c r="I1999" s="672">
        <v>88.7</v>
      </c>
      <c r="J1999" s="672">
        <v>71.760000000000005</v>
      </c>
      <c r="K1999" s="672">
        <v>497.34</v>
      </c>
      <c r="L1999" s="672">
        <v>2820.46</v>
      </c>
    </row>
    <row r="2000" spans="2:12">
      <c r="B2000" s="180" t="s">
        <v>1041</v>
      </c>
      <c r="C2000" s="180" t="s">
        <v>1042</v>
      </c>
      <c r="D2000" s="180" t="s">
        <v>974</v>
      </c>
      <c r="E2000" s="180" t="s">
        <v>980</v>
      </c>
      <c r="F2000" s="672">
        <v>302031.21000000002</v>
      </c>
      <c r="G2000" s="672">
        <v>5</v>
      </c>
      <c r="H2000" s="672">
        <v>5.26</v>
      </c>
      <c r="I2000" s="672">
        <v>13.23</v>
      </c>
      <c r="J2000" s="672">
        <v>11.89</v>
      </c>
      <c r="K2000" s="672">
        <v>53488.82</v>
      </c>
      <c r="L2000" s="672">
        <v>248507.01</v>
      </c>
    </row>
    <row r="2001" spans="2:12">
      <c r="B2001" s="180" t="s">
        <v>1901</v>
      </c>
      <c r="C2001" s="180" t="s">
        <v>1197</v>
      </c>
      <c r="D2001" s="180" t="s">
        <v>993</v>
      </c>
      <c r="E2001" s="180" t="s">
        <v>980</v>
      </c>
      <c r="F2001" s="672">
        <v>581079.24</v>
      </c>
      <c r="G2001" s="672">
        <v>11540.32</v>
      </c>
      <c r="H2001" s="672">
        <v>12882.35</v>
      </c>
      <c r="I2001" s="672">
        <v>13059.23</v>
      </c>
      <c r="J2001" s="672">
        <v>14014.88</v>
      </c>
      <c r="K2001" s="672">
        <v>97028.87</v>
      </c>
      <c r="L2001" s="672">
        <v>432553.59</v>
      </c>
    </row>
    <row r="2002" spans="2:12">
      <c r="B2002" s="180" t="s">
        <v>1839</v>
      </c>
      <c r="C2002" s="180" t="s">
        <v>1840</v>
      </c>
      <c r="D2002" s="180" t="s">
        <v>974</v>
      </c>
      <c r="E2002" s="180" t="s">
        <v>990</v>
      </c>
      <c r="F2002" s="672">
        <v>0</v>
      </c>
      <c r="G2002" s="672">
        <v>0</v>
      </c>
      <c r="H2002" s="672">
        <v>0</v>
      </c>
      <c r="I2002" s="672">
        <v>0</v>
      </c>
      <c r="J2002" s="672">
        <v>0</v>
      </c>
      <c r="K2002" s="672">
        <v>0</v>
      </c>
      <c r="L2002" s="672">
        <v>0</v>
      </c>
    </row>
    <row r="2003" spans="2:12">
      <c r="B2003" s="180" t="s">
        <v>2069</v>
      </c>
      <c r="C2003" s="180" t="s">
        <v>2042</v>
      </c>
      <c r="D2003" s="180" t="s">
        <v>993</v>
      </c>
      <c r="E2003" s="180" t="s">
        <v>980</v>
      </c>
      <c r="F2003" s="672">
        <v>10413479.66</v>
      </c>
      <c r="G2003" s="672">
        <v>210229.94</v>
      </c>
      <c r="H2003" s="672">
        <v>253904.2</v>
      </c>
      <c r="I2003" s="672">
        <v>345453.89</v>
      </c>
      <c r="J2003" s="672">
        <v>235185.1</v>
      </c>
      <c r="K2003" s="672">
        <v>1905059.05</v>
      </c>
      <c r="L2003" s="672">
        <v>7463647.4800000004</v>
      </c>
    </row>
    <row r="2004" spans="2:12">
      <c r="B2004" s="180" t="s">
        <v>1958</v>
      </c>
      <c r="C2004" s="180" t="s">
        <v>1531</v>
      </c>
      <c r="D2004" s="180" t="s">
        <v>974</v>
      </c>
      <c r="E2004" s="180" t="s">
        <v>980</v>
      </c>
      <c r="F2004" s="672">
        <v>-1492386.6</v>
      </c>
      <c r="G2004" s="672">
        <v>140376.91</v>
      </c>
      <c r="H2004" s="672">
        <v>55111.9</v>
      </c>
      <c r="I2004" s="672">
        <v>76700.759999999995</v>
      </c>
      <c r="J2004" s="672">
        <v>-17018.09</v>
      </c>
      <c r="K2004" s="672">
        <v>-1374822.59</v>
      </c>
      <c r="L2004" s="672">
        <v>-372735.49</v>
      </c>
    </row>
    <row r="2005" spans="2:12">
      <c r="B2005" s="180" t="s">
        <v>1926</v>
      </c>
      <c r="C2005" s="180" t="s">
        <v>1287</v>
      </c>
      <c r="D2005" s="180" t="s">
        <v>974</v>
      </c>
      <c r="E2005" s="180" t="s">
        <v>975</v>
      </c>
      <c r="F2005" s="672">
        <v>851120.9</v>
      </c>
      <c r="G2005" s="672">
        <v>75082.77</v>
      </c>
      <c r="H2005" s="672">
        <v>75082.77</v>
      </c>
      <c r="I2005" s="672">
        <v>0</v>
      </c>
      <c r="J2005" s="672">
        <v>0</v>
      </c>
      <c r="K2005" s="672">
        <v>75076.100000000006</v>
      </c>
      <c r="L2005" s="672">
        <v>625879.26</v>
      </c>
    </row>
    <row r="2006" spans="2:12">
      <c r="B2006" s="180" t="s">
        <v>1913</v>
      </c>
      <c r="C2006" s="180" t="s">
        <v>1914</v>
      </c>
      <c r="D2006" s="180" t="s">
        <v>974</v>
      </c>
      <c r="E2006" s="180" t="s">
        <v>990</v>
      </c>
      <c r="F2006" s="672">
        <v>0</v>
      </c>
      <c r="G2006" s="672">
        <v>0</v>
      </c>
      <c r="H2006" s="672">
        <v>0</v>
      </c>
      <c r="I2006" s="672">
        <v>0</v>
      </c>
      <c r="J2006" s="672">
        <v>0</v>
      </c>
      <c r="K2006" s="672">
        <v>0</v>
      </c>
      <c r="L2006" s="672">
        <v>0</v>
      </c>
    </row>
    <row r="2007" spans="2:12">
      <c r="B2007" s="180" t="s">
        <v>1357</v>
      </c>
      <c r="C2007" s="180" t="s">
        <v>1358</v>
      </c>
      <c r="D2007" s="180" t="s">
        <v>974</v>
      </c>
      <c r="E2007" s="180" t="s">
        <v>980</v>
      </c>
      <c r="F2007" s="672">
        <v>3109000.55</v>
      </c>
      <c r="G2007" s="672">
        <v>72382.37</v>
      </c>
      <c r="H2007" s="672">
        <v>72388.100000000006</v>
      </c>
      <c r="I2007" s="672">
        <v>72391.070000000007</v>
      </c>
      <c r="J2007" s="672">
        <v>72367.89</v>
      </c>
      <c r="K2007" s="672">
        <v>568982.6</v>
      </c>
      <c r="L2007" s="672">
        <v>2250488.52</v>
      </c>
    </row>
    <row r="2008" spans="2:12">
      <c r="B2008" s="180" t="s">
        <v>1338</v>
      </c>
      <c r="C2008" s="180" t="s">
        <v>1339</v>
      </c>
      <c r="D2008" s="180" t="s">
        <v>974</v>
      </c>
      <c r="E2008" s="180" t="s">
        <v>1075</v>
      </c>
      <c r="F2008" s="672">
        <v>0</v>
      </c>
      <c r="G2008" s="672">
        <v>0</v>
      </c>
      <c r="H2008" s="672">
        <v>0</v>
      </c>
      <c r="I2008" s="672">
        <v>0</v>
      </c>
      <c r="J2008" s="672">
        <v>0</v>
      </c>
      <c r="K2008" s="672">
        <v>0</v>
      </c>
      <c r="L2008" s="672">
        <v>0</v>
      </c>
    </row>
    <row r="2009" spans="2:12">
      <c r="B2009" s="180" t="s">
        <v>1788</v>
      </c>
      <c r="C2009" s="180" t="s">
        <v>1167</v>
      </c>
      <c r="D2009" s="180" t="s">
        <v>993</v>
      </c>
      <c r="E2009" s="180" t="s">
        <v>983</v>
      </c>
      <c r="F2009" s="672">
        <v>6480.13</v>
      </c>
      <c r="G2009" s="672">
        <v>0</v>
      </c>
      <c r="H2009" s="672">
        <v>0</v>
      </c>
      <c r="I2009" s="672">
        <v>0</v>
      </c>
      <c r="J2009" s="672">
        <v>0</v>
      </c>
      <c r="K2009" s="672">
        <v>596.17999999999995</v>
      </c>
      <c r="L2009" s="672">
        <v>5883.95</v>
      </c>
    </row>
    <row r="2010" spans="2:12">
      <c r="B2010" s="180" t="s">
        <v>1784</v>
      </c>
      <c r="C2010" s="180" t="s">
        <v>1287</v>
      </c>
      <c r="D2010" s="180" t="s">
        <v>974</v>
      </c>
      <c r="E2010" s="180" t="s">
        <v>975</v>
      </c>
      <c r="F2010" s="672">
        <v>37322.21</v>
      </c>
      <c r="G2010" s="672">
        <v>18493.689999999999</v>
      </c>
      <c r="H2010" s="672">
        <v>18828.52</v>
      </c>
      <c r="I2010" s="672">
        <v>0</v>
      </c>
      <c r="J2010" s="672">
        <v>0</v>
      </c>
      <c r="K2010" s="672">
        <v>0</v>
      </c>
      <c r="L2010" s="672">
        <v>0</v>
      </c>
    </row>
    <row r="2011" spans="2:12">
      <c r="B2011" s="180" t="s">
        <v>1823</v>
      </c>
      <c r="C2011" s="180" t="s">
        <v>1753</v>
      </c>
      <c r="D2011" s="180" t="s">
        <v>974</v>
      </c>
      <c r="E2011" s="180" t="s">
        <v>980</v>
      </c>
      <c r="F2011" s="672">
        <v>-469.97</v>
      </c>
      <c r="G2011" s="672">
        <v>0</v>
      </c>
      <c r="H2011" s="672">
        <v>0</v>
      </c>
      <c r="I2011" s="672">
        <v>0</v>
      </c>
      <c r="J2011" s="672">
        <v>0</v>
      </c>
      <c r="K2011" s="672">
        <v>0</v>
      </c>
      <c r="L2011" s="672">
        <v>-469.97</v>
      </c>
    </row>
    <row r="2012" spans="2:12">
      <c r="B2012" s="180" t="s">
        <v>1878</v>
      </c>
      <c r="C2012" s="180" t="s">
        <v>1208</v>
      </c>
      <c r="D2012" s="180" t="s">
        <v>993</v>
      </c>
      <c r="E2012" s="180" t="s">
        <v>980</v>
      </c>
      <c r="F2012" s="672">
        <v>83605.960000000006</v>
      </c>
      <c r="G2012" s="672">
        <v>1739.87</v>
      </c>
      <c r="H2012" s="672">
        <v>1985.45</v>
      </c>
      <c r="I2012" s="672">
        <v>2220.15</v>
      </c>
      <c r="J2012" s="672">
        <v>2087.4499999999998</v>
      </c>
      <c r="K2012" s="672">
        <v>12979.54</v>
      </c>
      <c r="L2012" s="672">
        <v>62593.5</v>
      </c>
    </row>
    <row r="2013" spans="2:12">
      <c r="B2013" s="180" t="s">
        <v>1010</v>
      </c>
      <c r="C2013" s="180" t="s">
        <v>1011</v>
      </c>
      <c r="D2013" s="180" t="s">
        <v>993</v>
      </c>
      <c r="E2013" s="180" t="s">
        <v>980</v>
      </c>
      <c r="F2013" s="672">
        <v>327964.46000000002</v>
      </c>
      <c r="G2013" s="672">
        <v>6865.57</v>
      </c>
      <c r="H2013" s="672">
        <v>8172.46</v>
      </c>
      <c r="I2013" s="672">
        <v>9152.64</v>
      </c>
      <c r="J2013" s="672">
        <v>8506.0300000000007</v>
      </c>
      <c r="K2013" s="672">
        <v>59002.32</v>
      </c>
      <c r="L2013" s="672">
        <v>236265.44</v>
      </c>
    </row>
    <row r="2014" spans="2:12">
      <c r="B2014" s="180" t="s">
        <v>1919</v>
      </c>
      <c r="C2014" s="180" t="s">
        <v>1920</v>
      </c>
      <c r="D2014" s="180" t="s">
        <v>974</v>
      </c>
      <c r="E2014" s="180" t="s">
        <v>990</v>
      </c>
      <c r="F2014" s="672">
        <v>0</v>
      </c>
      <c r="G2014" s="672">
        <v>0</v>
      </c>
      <c r="H2014" s="672">
        <v>0</v>
      </c>
      <c r="I2014" s="672">
        <v>0</v>
      </c>
      <c r="J2014" s="672">
        <v>0</v>
      </c>
      <c r="K2014" s="672">
        <v>0</v>
      </c>
      <c r="L2014" s="672">
        <v>0</v>
      </c>
    </row>
    <row r="2015" spans="2:12">
      <c r="B2015" s="180" t="s">
        <v>1882</v>
      </c>
      <c r="C2015" s="180" t="s">
        <v>1883</v>
      </c>
      <c r="D2015" s="180" t="s">
        <v>974</v>
      </c>
      <c r="E2015" s="180" t="s">
        <v>990</v>
      </c>
      <c r="F2015" s="672">
        <v>0</v>
      </c>
      <c r="G2015" s="672">
        <v>0</v>
      </c>
      <c r="H2015" s="672">
        <v>0</v>
      </c>
      <c r="I2015" s="672">
        <v>0</v>
      </c>
      <c r="J2015" s="672">
        <v>0</v>
      </c>
      <c r="K2015" s="672">
        <v>0</v>
      </c>
      <c r="L2015" s="672">
        <v>0</v>
      </c>
    </row>
    <row r="2016" spans="2:12">
      <c r="B2016" s="180" t="s">
        <v>2069</v>
      </c>
      <c r="C2016" s="180" t="s">
        <v>2042</v>
      </c>
      <c r="D2016" s="180" t="s">
        <v>993</v>
      </c>
      <c r="E2016" s="180" t="s">
        <v>990</v>
      </c>
      <c r="F2016" s="672">
        <v>0</v>
      </c>
      <c r="G2016" s="672">
        <v>0</v>
      </c>
      <c r="H2016" s="672">
        <v>0</v>
      </c>
      <c r="I2016" s="672">
        <v>0</v>
      </c>
      <c r="J2016" s="672">
        <v>0</v>
      </c>
      <c r="K2016" s="672">
        <v>0</v>
      </c>
      <c r="L2016" s="672">
        <v>0</v>
      </c>
    </row>
    <row r="2017" spans="2:12">
      <c r="B2017" s="180" t="s">
        <v>1896</v>
      </c>
      <c r="C2017" s="180" t="s">
        <v>1060</v>
      </c>
      <c r="D2017" s="180" t="s">
        <v>993</v>
      </c>
      <c r="E2017" s="180" t="s">
        <v>990</v>
      </c>
      <c r="F2017" s="672">
        <v>0</v>
      </c>
      <c r="G2017" s="672">
        <v>0</v>
      </c>
      <c r="H2017" s="672">
        <v>0</v>
      </c>
      <c r="I2017" s="672">
        <v>0</v>
      </c>
      <c r="J2017" s="672">
        <v>0</v>
      </c>
      <c r="K2017" s="672">
        <v>0</v>
      </c>
      <c r="L2017" s="672">
        <v>0</v>
      </c>
    </row>
    <row r="2018" spans="2:12">
      <c r="B2018" s="180" t="s">
        <v>1424</v>
      </c>
      <c r="C2018" s="180" t="s">
        <v>1425</v>
      </c>
      <c r="D2018" s="180" t="s">
        <v>974</v>
      </c>
      <c r="E2018" s="180" t="s">
        <v>975</v>
      </c>
      <c r="F2018" s="672">
        <v>1629562.52</v>
      </c>
      <c r="G2018" s="672">
        <v>51949.03</v>
      </c>
      <c r="H2018" s="672">
        <v>83408.479999999996</v>
      </c>
      <c r="I2018" s="672">
        <v>106977.01</v>
      </c>
      <c r="J2018" s="672">
        <v>121133.73</v>
      </c>
      <c r="K2018" s="672">
        <v>884010.56</v>
      </c>
      <c r="L2018" s="672">
        <v>382083.71</v>
      </c>
    </row>
    <row r="2019" spans="2:12">
      <c r="B2019" s="180" t="s">
        <v>1884</v>
      </c>
      <c r="C2019" s="180" t="s">
        <v>1115</v>
      </c>
      <c r="D2019" s="180" t="s">
        <v>974</v>
      </c>
      <c r="E2019" s="180" t="s">
        <v>975</v>
      </c>
      <c r="F2019" s="672">
        <v>-51382.66</v>
      </c>
      <c r="G2019" s="672">
        <v>0</v>
      </c>
      <c r="H2019" s="672">
        <v>-2773.3</v>
      </c>
      <c r="I2019" s="672">
        <v>-2309.34</v>
      </c>
      <c r="J2019" s="672">
        <v>-2465.64</v>
      </c>
      <c r="K2019" s="672">
        <v>-76398.66</v>
      </c>
      <c r="L2019" s="672">
        <v>32564.28</v>
      </c>
    </row>
    <row r="2020" spans="2:12">
      <c r="B2020" s="180" t="s">
        <v>1851</v>
      </c>
      <c r="C2020" s="180" t="s">
        <v>1287</v>
      </c>
      <c r="D2020" s="180" t="s">
        <v>974</v>
      </c>
      <c r="E2020" s="180" t="s">
        <v>975</v>
      </c>
      <c r="F2020" s="672">
        <v>318519.53000000003</v>
      </c>
      <c r="G2020" s="672">
        <v>18327.79</v>
      </c>
      <c r="H2020" s="672">
        <v>0</v>
      </c>
      <c r="I2020" s="672">
        <v>0</v>
      </c>
      <c r="J2020" s="672">
        <v>0</v>
      </c>
      <c r="K2020" s="672">
        <v>47848.1</v>
      </c>
      <c r="L2020" s="672">
        <v>252343.64</v>
      </c>
    </row>
    <row r="2021" spans="2:12">
      <c r="B2021" s="180" t="s">
        <v>1736</v>
      </c>
      <c r="C2021" s="180" t="s">
        <v>1737</v>
      </c>
      <c r="D2021" s="180" t="s">
        <v>993</v>
      </c>
      <c r="E2021" s="180" t="s">
        <v>990</v>
      </c>
      <c r="F2021" s="672">
        <v>0</v>
      </c>
      <c r="G2021" s="672">
        <v>0</v>
      </c>
      <c r="H2021" s="672">
        <v>0</v>
      </c>
      <c r="I2021" s="672">
        <v>0</v>
      </c>
      <c r="J2021" s="672">
        <v>0</v>
      </c>
      <c r="K2021" s="672">
        <v>0</v>
      </c>
      <c r="L2021" s="672">
        <v>0</v>
      </c>
    </row>
    <row r="2022" spans="2:12">
      <c r="B2022" s="180" t="s">
        <v>1738</v>
      </c>
      <c r="C2022" s="180" t="s">
        <v>1739</v>
      </c>
      <c r="D2022" s="180" t="s">
        <v>974</v>
      </c>
      <c r="E2022" s="180" t="s">
        <v>975</v>
      </c>
      <c r="F2022" s="672">
        <v>309.39</v>
      </c>
      <c r="G2022" s="672">
        <v>0</v>
      </c>
      <c r="H2022" s="672">
        <v>0</v>
      </c>
      <c r="I2022" s="672">
        <v>0</v>
      </c>
      <c r="J2022" s="672">
        <v>0</v>
      </c>
      <c r="K2022" s="672">
        <v>0</v>
      </c>
      <c r="L2022" s="672">
        <v>309.39</v>
      </c>
    </row>
    <row r="2023" spans="2:12">
      <c r="B2023" s="180" t="s">
        <v>1495</v>
      </c>
      <c r="C2023" s="180" t="s">
        <v>1496</v>
      </c>
      <c r="D2023" s="180" t="s">
        <v>974</v>
      </c>
      <c r="E2023" s="180" t="s">
        <v>1363</v>
      </c>
      <c r="F2023" s="672">
        <v>253893.3</v>
      </c>
      <c r="G2023" s="672">
        <v>0</v>
      </c>
      <c r="H2023" s="672">
        <v>0</v>
      </c>
      <c r="I2023" s="672">
        <v>0</v>
      </c>
      <c r="J2023" s="672">
        <v>0</v>
      </c>
      <c r="K2023" s="672">
        <v>0</v>
      </c>
      <c r="L2023" s="672">
        <v>253893.3</v>
      </c>
    </row>
    <row r="2024" spans="2:12">
      <c r="B2024" s="180" t="s">
        <v>2009</v>
      </c>
      <c r="C2024" s="180" t="s">
        <v>1502</v>
      </c>
      <c r="D2024" s="180" t="s">
        <v>993</v>
      </c>
      <c r="E2024" s="180" t="s">
        <v>990</v>
      </c>
      <c r="F2024" s="672">
        <v>221.95</v>
      </c>
      <c r="G2024" s="672">
        <v>0</v>
      </c>
      <c r="H2024" s="672">
        <v>0</v>
      </c>
      <c r="I2024" s="672">
        <v>0</v>
      </c>
      <c r="J2024" s="672">
        <v>0</v>
      </c>
      <c r="K2024" s="672">
        <v>0</v>
      </c>
      <c r="L2024" s="672">
        <v>221.95</v>
      </c>
    </row>
    <row r="2025" spans="2:12">
      <c r="B2025" s="180" t="s">
        <v>1101</v>
      </c>
      <c r="C2025" s="180" t="s">
        <v>1102</v>
      </c>
      <c r="D2025" s="180" t="s">
        <v>993</v>
      </c>
      <c r="E2025" s="180" t="s">
        <v>990</v>
      </c>
      <c r="F2025" s="672">
        <v>0</v>
      </c>
      <c r="G2025" s="672">
        <v>0</v>
      </c>
      <c r="H2025" s="672">
        <v>0</v>
      </c>
      <c r="I2025" s="672">
        <v>0</v>
      </c>
      <c r="J2025" s="672">
        <v>0</v>
      </c>
      <c r="K2025" s="672">
        <v>0</v>
      </c>
      <c r="L2025" s="672">
        <v>0</v>
      </c>
    </row>
    <row r="2026" spans="2:12">
      <c r="B2026" s="180" t="s">
        <v>1120</v>
      </c>
      <c r="C2026" s="180" t="s">
        <v>1121</v>
      </c>
      <c r="D2026" s="180" t="s">
        <v>993</v>
      </c>
      <c r="E2026" s="180" t="s">
        <v>980</v>
      </c>
      <c r="F2026" s="672">
        <v>287979.82</v>
      </c>
      <c r="G2026" s="672">
        <v>8103.53</v>
      </c>
      <c r="H2026" s="672">
        <v>15082.48</v>
      </c>
      <c r="I2026" s="672">
        <v>7719.38</v>
      </c>
      <c r="J2026" s="672">
        <v>8430.02</v>
      </c>
      <c r="K2026" s="672">
        <v>66946.19</v>
      </c>
      <c r="L2026" s="672">
        <v>181698.22</v>
      </c>
    </row>
    <row r="2027" spans="2:12">
      <c r="B2027" s="180" t="s">
        <v>2005</v>
      </c>
      <c r="C2027" s="180" t="s">
        <v>2006</v>
      </c>
      <c r="D2027" s="180" t="s">
        <v>974</v>
      </c>
      <c r="E2027" s="180" t="s">
        <v>980</v>
      </c>
      <c r="F2027" s="672">
        <v>100280.75</v>
      </c>
      <c r="G2027" s="672">
        <v>-114772.06</v>
      </c>
      <c r="H2027" s="672">
        <v>216937.08</v>
      </c>
      <c r="I2027" s="672">
        <v>64154.96</v>
      </c>
      <c r="J2027" s="672">
        <v>59812.06</v>
      </c>
      <c r="K2027" s="672">
        <v>430953.2</v>
      </c>
      <c r="L2027" s="672">
        <v>-556804.49</v>
      </c>
    </row>
    <row r="2028" spans="2:12">
      <c r="B2028" s="180" t="s">
        <v>2073</v>
      </c>
      <c r="C2028" s="180" t="s">
        <v>1875</v>
      </c>
      <c r="D2028" s="180" t="s">
        <v>974</v>
      </c>
      <c r="E2028" s="180" t="s">
        <v>990</v>
      </c>
      <c r="F2028" s="672">
        <v>0</v>
      </c>
      <c r="G2028" s="672">
        <v>0</v>
      </c>
      <c r="H2028" s="672">
        <v>0</v>
      </c>
      <c r="I2028" s="672">
        <v>0</v>
      </c>
      <c r="J2028" s="672">
        <v>0</v>
      </c>
      <c r="K2028" s="672">
        <v>0</v>
      </c>
      <c r="L2028" s="672">
        <v>0</v>
      </c>
    </row>
    <row r="2029" spans="2:12">
      <c r="B2029" s="180" t="s">
        <v>2062</v>
      </c>
      <c r="C2029" s="180" t="s">
        <v>2063</v>
      </c>
      <c r="D2029" s="180" t="s">
        <v>974</v>
      </c>
      <c r="E2029" s="180" t="s">
        <v>975</v>
      </c>
      <c r="F2029" s="672">
        <v>854.9</v>
      </c>
      <c r="G2029" s="672">
        <v>0</v>
      </c>
      <c r="H2029" s="672">
        <v>0</v>
      </c>
      <c r="I2029" s="672">
        <v>0</v>
      </c>
      <c r="J2029" s="672">
        <v>0</v>
      </c>
      <c r="K2029" s="672">
        <v>0</v>
      </c>
      <c r="L2029" s="672">
        <v>854.9</v>
      </c>
    </row>
    <row r="2030" spans="2:12">
      <c r="B2030" s="180" t="s">
        <v>1999</v>
      </c>
      <c r="C2030" s="180" t="s">
        <v>1287</v>
      </c>
      <c r="D2030" s="180" t="s">
        <v>974</v>
      </c>
      <c r="E2030" s="180" t="s">
        <v>990</v>
      </c>
      <c r="F2030" s="672">
        <v>0</v>
      </c>
      <c r="G2030" s="672">
        <v>0</v>
      </c>
      <c r="H2030" s="672">
        <v>0</v>
      </c>
      <c r="I2030" s="672">
        <v>0</v>
      </c>
      <c r="J2030" s="672">
        <v>0</v>
      </c>
      <c r="K2030" s="672">
        <v>0</v>
      </c>
      <c r="L2030" s="672">
        <v>0</v>
      </c>
    </row>
    <row r="2031" spans="2:12">
      <c r="B2031" s="180" t="s">
        <v>2064</v>
      </c>
      <c r="C2031" s="180" t="s">
        <v>2065</v>
      </c>
      <c r="D2031" s="180" t="s">
        <v>974</v>
      </c>
      <c r="E2031" s="180" t="s">
        <v>975</v>
      </c>
      <c r="F2031" s="672">
        <v>27394.06</v>
      </c>
      <c r="G2031" s="672">
        <v>0</v>
      </c>
      <c r="H2031" s="672">
        <v>0</v>
      </c>
      <c r="I2031" s="672">
        <v>4494.41</v>
      </c>
      <c r="J2031" s="672">
        <v>4494.41</v>
      </c>
      <c r="K2031" s="672">
        <v>16146.87</v>
      </c>
      <c r="L2031" s="672">
        <v>2258.37</v>
      </c>
    </row>
    <row r="2032" spans="2:12">
      <c r="B2032" s="180" t="s">
        <v>1495</v>
      </c>
      <c r="C2032" s="180" t="s">
        <v>1496</v>
      </c>
      <c r="D2032" s="180" t="s">
        <v>974</v>
      </c>
      <c r="E2032" s="180" t="s">
        <v>980</v>
      </c>
      <c r="F2032" s="672">
        <v>-65397.120000000003</v>
      </c>
      <c r="G2032" s="672">
        <v>5862.71</v>
      </c>
      <c r="H2032" s="672">
        <v>7275.3</v>
      </c>
      <c r="I2032" s="672">
        <v>6542.4</v>
      </c>
      <c r="J2032" s="672">
        <v>7818.83</v>
      </c>
      <c r="K2032" s="672">
        <v>45869.07</v>
      </c>
      <c r="L2032" s="672">
        <v>-138765.43</v>
      </c>
    </row>
    <row r="2033" spans="2:12">
      <c r="B2033" s="180" t="s">
        <v>1594</v>
      </c>
      <c r="C2033" s="180" t="s">
        <v>1595</v>
      </c>
      <c r="D2033" s="180" t="s">
        <v>974</v>
      </c>
      <c r="E2033" s="180" t="s">
        <v>975</v>
      </c>
      <c r="F2033" s="672">
        <v>-363044.13</v>
      </c>
      <c r="G2033" s="672">
        <v>0</v>
      </c>
      <c r="H2033" s="672">
        <v>0</v>
      </c>
      <c r="I2033" s="672">
        <v>-32120.31</v>
      </c>
      <c r="J2033" s="672">
        <v>0</v>
      </c>
      <c r="K2033" s="672">
        <v>0</v>
      </c>
      <c r="L2033" s="672">
        <v>-330923.82</v>
      </c>
    </row>
    <row r="2034" spans="2:12">
      <c r="B2034" s="180" t="s">
        <v>1910</v>
      </c>
      <c r="C2034" s="180" t="s">
        <v>1911</v>
      </c>
      <c r="D2034" s="180" t="s">
        <v>974</v>
      </c>
      <c r="E2034" s="180" t="s">
        <v>975</v>
      </c>
      <c r="F2034" s="672">
        <v>87.5</v>
      </c>
      <c r="G2034" s="672">
        <v>0</v>
      </c>
      <c r="H2034" s="672">
        <v>0</v>
      </c>
      <c r="I2034" s="672">
        <v>0</v>
      </c>
      <c r="J2034" s="672">
        <v>0</v>
      </c>
      <c r="K2034" s="672">
        <v>0</v>
      </c>
      <c r="L2034" s="672">
        <v>87.5</v>
      </c>
    </row>
    <row r="2035" spans="2:12">
      <c r="B2035" s="180" t="s">
        <v>1190</v>
      </c>
      <c r="C2035" s="180" t="s">
        <v>1191</v>
      </c>
      <c r="D2035" s="180" t="s">
        <v>974</v>
      </c>
      <c r="E2035" s="180" t="s">
        <v>975</v>
      </c>
      <c r="F2035" s="672">
        <v>-1749.62</v>
      </c>
      <c r="G2035" s="672">
        <v>0</v>
      </c>
      <c r="H2035" s="672">
        <v>0</v>
      </c>
      <c r="I2035" s="672">
        <v>0</v>
      </c>
      <c r="J2035" s="672">
        <v>0</v>
      </c>
      <c r="K2035" s="672">
        <v>0</v>
      </c>
      <c r="L2035" s="672">
        <v>-1749.62</v>
      </c>
    </row>
    <row r="2036" spans="2:12">
      <c r="B2036" s="180" t="s">
        <v>1854</v>
      </c>
      <c r="C2036" s="180" t="s">
        <v>1855</v>
      </c>
      <c r="D2036" s="180" t="s">
        <v>974</v>
      </c>
      <c r="E2036" s="180" t="s">
        <v>990</v>
      </c>
      <c r="F2036" s="672">
        <v>0</v>
      </c>
      <c r="G2036" s="672">
        <v>0</v>
      </c>
      <c r="H2036" s="672">
        <v>0</v>
      </c>
      <c r="I2036" s="672">
        <v>0</v>
      </c>
      <c r="J2036" s="672">
        <v>0</v>
      </c>
      <c r="K2036" s="672">
        <v>0</v>
      </c>
      <c r="L2036" s="672">
        <v>0</v>
      </c>
    </row>
  </sheetData>
  <pageMargins left="0.7" right="0.7" top="0.75" bottom="0.75" header="0.3" footer="0.3"/>
  <pageSetup scale="55" fitToHeight="0" orientation="portrait" r:id="rId1"/>
  <headerFooter>
    <oddHeader>&amp;LPuerto Rico Electric Power Authority   
Docket NEPR-AP-2023-0003
Accounts Receivable as of the Beginning of Rate Year  &amp;RSchedule C-11
Page &amp;P of &amp;N</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12FF5-906A-4945-97C6-6E96EB399BBA}">
  <sheetPr>
    <tabColor theme="9" tint="0.39997558519241921"/>
  </sheetPr>
  <dimension ref="A1"/>
  <sheetViews>
    <sheetView workbookViewId="0">
      <selection sqref="A1:XFD1048576"/>
    </sheetView>
    <sheetView workbookViewId="1">
      <selection sqref="A1:XFD1048576"/>
    </sheetView>
    <sheetView workbookViewId="2">
      <selection sqref="A1:XFD1048576"/>
    </sheetView>
  </sheetViews>
  <sheetFormatPr defaultColWidth="8.5703125" defaultRowHeight="15"/>
  <cols>
    <col min="1" max="16384" width="8.5703125" style="1189"/>
  </cols>
  <sheetData/>
  <mergeCells count="1">
    <mergeCell ref="A1:XFD1048576"/>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9279-6EF4-4084-BE1D-9D4E408C5D04}">
  <sheetPr>
    <tabColor theme="9" tint="0.79998168889431442"/>
  </sheetPr>
  <dimension ref="A2:S100"/>
  <sheetViews>
    <sheetView workbookViewId="0"/>
    <sheetView workbookViewId="1"/>
    <sheetView workbookViewId="2"/>
  </sheetViews>
  <sheetFormatPr defaultColWidth="8.5703125" defaultRowHeight="15"/>
  <cols>
    <col min="1" max="2" width="5.5703125" customWidth="1"/>
    <col min="3" max="3" width="26" bestFit="1" customWidth="1"/>
    <col min="4" max="4" width="62.5703125" style="61" bestFit="1" customWidth="1"/>
    <col min="5" max="5" width="8.85546875" style="2" bestFit="1" customWidth="1"/>
    <col min="6" max="6" width="16.5703125" customWidth="1"/>
    <col min="7" max="7" width="5.5703125" customWidth="1"/>
    <col min="8" max="9" width="20.5703125" customWidth="1"/>
    <col min="10" max="10" width="19.5703125" bestFit="1" customWidth="1"/>
    <col min="11" max="11" width="5.5703125" customWidth="1"/>
    <col min="12" max="12" width="20.42578125" bestFit="1" customWidth="1"/>
    <col min="13" max="14" width="20.5703125" customWidth="1"/>
    <col min="15" max="15" width="5.5703125" customWidth="1"/>
    <col min="16" max="16" width="25.42578125" bestFit="1" customWidth="1"/>
    <col min="17" max="18" width="20.5703125" customWidth="1"/>
  </cols>
  <sheetData>
    <row r="2" spans="1:18">
      <c r="D2"/>
      <c r="H2" s="1206" t="s">
        <v>393</v>
      </c>
      <c r="I2" s="1206"/>
      <c r="J2" s="1206"/>
      <c r="L2" s="1206" t="s">
        <v>394</v>
      </c>
      <c r="M2" s="1206"/>
      <c r="N2" s="1206"/>
      <c r="P2" s="1206" t="s">
        <v>395</v>
      </c>
      <c r="Q2" s="1206"/>
      <c r="R2" s="1206"/>
    </row>
    <row r="3" spans="1:18" s="2" customFormat="1" ht="30">
      <c r="A3" s="58" t="s">
        <v>242</v>
      </c>
      <c r="C3" s="58" t="s">
        <v>2080</v>
      </c>
      <c r="D3" s="58" t="s">
        <v>2081</v>
      </c>
      <c r="E3" s="58" t="s">
        <v>2082</v>
      </c>
      <c r="H3" s="58" t="s">
        <v>2083</v>
      </c>
      <c r="I3" s="58" t="s">
        <v>2084</v>
      </c>
      <c r="J3" s="58" t="s">
        <v>656</v>
      </c>
      <c r="L3" s="58" t="s">
        <v>2085</v>
      </c>
      <c r="M3" s="58" t="s">
        <v>2086</v>
      </c>
      <c r="N3" s="58" t="s">
        <v>656</v>
      </c>
      <c r="P3" s="58" t="s">
        <v>2087</v>
      </c>
      <c r="Q3" s="58" t="s">
        <v>2088</v>
      </c>
      <c r="R3" s="58" t="s">
        <v>656</v>
      </c>
    </row>
    <row r="4" spans="1:18">
      <c r="A4" s="59"/>
      <c r="B4" s="2"/>
      <c r="C4" s="59"/>
      <c r="D4" s="59"/>
      <c r="E4" s="59"/>
      <c r="H4" s="59" t="s">
        <v>2089</v>
      </c>
      <c r="I4" s="59" t="s">
        <v>550</v>
      </c>
      <c r="J4" s="59" t="s">
        <v>552</v>
      </c>
      <c r="L4" s="59" t="s">
        <v>554</v>
      </c>
      <c r="M4" s="59" t="s">
        <v>555</v>
      </c>
      <c r="N4" s="59" t="s">
        <v>2090</v>
      </c>
      <c r="O4" s="2"/>
      <c r="P4" s="59" t="s">
        <v>2091</v>
      </c>
      <c r="Q4" s="59" t="s">
        <v>559</v>
      </c>
      <c r="R4" s="59" t="s">
        <v>561</v>
      </c>
    </row>
    <row r="5" spans="1:18">
      <c r="A5" s="59"/>
      <c r="B5" s="2"/>
      <c r="C5" s="59"/>
      <c r="D5" s="59"/>
      <c r="E5" s="59"/>
      <c r="F5" s="390"/>
      <c r="H5" s="420">
        <f>H6+H39+H45+H52+H57+H63+SUM(H78:H88)</f>
        <v>901389719.87098169</v>
      </c>
      <c r="I5" s="420">
        <f>I6+I39+I45+I52+I57+I63+SUM(I78:I88)</f>
        <v>602569233.30536306</v>
      </c>
      <c r="J5" s="420">
        <f>J6+J39+J45+J52+J57+J63+SUM(J78:J88)</f>
        <v>1503958953.1763446</v>
      </c>
      <c r="K5" s="2"/>
      <c r="L5" s="420">
        <f>L6+L39+L45+L52+L57+L63+SUM(L78:L88)</f>
        <v>1658949445.5776396</v>
      </c>
      <c r="M5" s="420">
        <f>M6+M39+M45+M52+M57+M63+SUM(M78:M88)</f>
        <v>762356713.15257704</v>
      </c>
      <c r="N5" s="420">
        <f>N6+N39+N45+N52+N57+N63+SUM(N78:N88)</f>
        <v>2421306158.7302165</v>
      </c>
      <c r="O5" s="2"/>
      <c r="P5" s="420">
        <f>P6+P39+P45+P52+P57+P63+SUM(P78:P88)</f>
        <v>1886904766.468811</v>
      </c>
      <c r="Q5" s="420">
        <f>Q6+Q39+Q45+Q52+Q57+Q63+SUM(Q78:Q88)</f>
        <v>928328366.59445906</v>
      </c>
      <c r="R5" s="420">
        <f>R6+R39+R45+R52+R57+R63+SUM(R78:R88)</f>
        <v>2815233133.0632701</v>
      </c>
    </row>
    <row r="6" spans="1:18">
      <c r="A6" s="2">
        <v>1</v>
      </c>
      <c r="B6" s="2"/>
      <c r="C6" s="705" t="s">
        <v>259</v>
      </c>
      <c r="D6" s="63"/>
      <c r="E6" s="63"/>
      <c r="F6" s="706"/>
      <c r="G6" s="706"/>
      <c r="H6" s="724">
        <f>SUM(H7:H16)</f>
        <v>261426861.99270457</v>
      </c>
      <c r="I6" s="724">
        <f>SUM(I7:I16)</f>
        <v>38565069.597069591</v>
      </c>
      <c r="J6" s="724">
        <f>SUM(J7:J16)</f>
        <v>299991931.58977413</v>
      </c>
      <c r="K6" s="2"/>
      <c r="L6" s="724">
        <f>SUM(L7:L16)</f>
        <v>434668515.02373672</v>
      </c>
      <c r="M6" s="724">
        <f>SUM(M7:M16)</f>
        <v>59471982.380952381</v>
      </c>
      <c r="N6" s="724">
        <f>SUM(N7:N16)</f>
        <v>494140497.40468913</v>
      </c>
      <c r="O6" s="2"/>
      <c r="P6" s="724">
        <f>SUM(P7:P16)</f>
        <v>280072671.2699998</v>
      </c>
      <c r="Q6" s="724">
        <f>SUM(Q7:Q16)</f>
        <v>63128897.676190473</v>
      </c>
      <c r="R6" s="724">
        <f>SUM(R7:R16)</f>
        <v>343201568.9461903</v>
      </c>
    </row>
    <row r="7" spans="1:18">
      <c r="A7" s="2">
        <v>2</v>
      </c>
      <c r="B7" s="2"/>
      <c r="D7" t="s">
        <v>2092</v>
      </c>
      <c r="E7" s="2" t="s">
        <v>2093</v>
      </c>
      <c r="H7" s="408">
        <v>141179641.57370457</v>
      </c>
      <c r="I7" s="408">
        <v>4456250</v>
      </c>
      <c r="J7" s="408">
        <f>H7+I7</f>
        <v>145635891.57370457</v>
      </c>
      <c r="K7" s="2"/>
      <c r="L7" s="408">
        <v>144067873.13373673</v>
      </c>
      <c r="M7" s="408">
        <v>15323750</v>
      </c>
      <c r="N7" s="408">
        <f>L7+M7</f>
        <v>159391623.13373673</v>
      </c>
      <c r="O7" s="2"/>
      <c r="P7" s="408">
        <v>49914054.39999982</v>
      </c>
      <c r="Q7" s="408">
        <v>20886875</v>
      </c>
      <c r="R7" s="408">
        <f>P7+Q7</f>
        <v>70800929.399999827</v>
      </c>
    </row>
    <row r="8" spans="1:18">
      <c r="A8" s="2">
        <v>3</v>
      </c>
      <c r="B8" s="2"/>
      <c r="D8" t="s">
        <v>2094</v>
      </c>
      <c r="E8" s="2" t="s">
        <v>2095</v>
      </c>
      <c r="H8" s="408">
        <v>0</v>
      </c>
      <c r="I8" s="408">
        <v>1083261.9047619044</v>
      </c>
      <c r="J8" s="408">
        <f t="shared" ref="J8:J16" si="0">H8+I8</f>
        <v>1083261.9047619044</v>
      </c>
      <c r="K8" s="2"/>
      <c r="L8" s="408">
        <v>0</v>
      </c>
      <c r="M8" s="408">
        <v>1661592.3809523808</v>
      </c>
      <c r="N8" s="408">
        <f t="shared" ref="N8:N16" si="1">L8+M8</f>
        <v>1661592.3809523808</v>
      </c>
      <c r="O8" s="2"/>
      <c r="P8" s="408">
        <v>0</v>
      </c>
      <c r="Q8" s="408">
        <v>1834728.0761904763</v>
      </c>
      <c r="R8" s="408">
        <f t="shared" ref="R8:R16" si="2">P8+Q8</f>
        <v>1834728.0761904763</v>
      </c>
    </row>
    <row r="9" spans="1:18">
      <c r="A9" s="2">
        <v>4</v>
      </c>
      <c r="B9" s="2"/>
      <c r="D9" t="s">
        <v>2096</v>
      </c>
      <c r="E9" s="2" t="s">
        <v>2097</v>
      </c>
      <c r="H9" s="408">
        <v>0</v>
      </c>
      <c r="I9" s="408">
        <v>192000</v>
      </c>
      <c r="J9" s="408">
        <f t="shared" si="0"/>
        <v>192000</v>
      </c>
      <c r="K9" s="2"/>
      <c r="L9" s="408">
        <v>0</v>
      </c>
      <c r="M9" s="408">
        <v>192000</v>
      </c>
      <c r="N9" s="408">
        <f t="shared" si="1"/>
        <v>192000</v>
      </c>
      <c r="O9" s="2"/>
      <c r="P9" s="408">
        <v>0</v>
      </c>
      <c r="Q9" s="408">
        <v>192000</v>
      </c>
      <c r="R9" s="408">
        <f t="shared" si="2"/>
        <v>192000</v>
      </c>
    </row>
    <row r="10" spans="1:18">
      <c r="A10" s="2">
        <v>5</v>
      </c>
      <c r="B10" s="2"/>
      <c r="D10" t="s">
        <v>2098</v>
      </c>
      <c r="E10" s="2" t="s">
        <v>2099</v>
      </c>
      <c r="H10" s="408">
        <v>0</v>
      </c>
      <c r="I10" s="408">
        <v>250000.00000000003</v>
      </c>
      <c r="J10" s="408">
        <f t="shared" si="0"/>
        <v>250000.00000000003</v>
      </c>
      <c r="K10" s="2"/>
      <c r="L10" s="408">
        <v>0</v>
      </c>
      <c r="M10" s="408">
        <v>262500.00000000006</v>
      </c>
      <c r="N10" s="408">
        <f t="shared" si="1"/>
        <v>262500.00000000006</v>
      </c>
      <c r="O10" s="2"/>
      <c r="P10" s="408">
        <v>0</v>
      </c>
      <c r="Q10" s="408">
        <v>275625.00000000006</v>
      </c>
      <c r="R10" s="408">
        <f t="shared" si="2"/>
        <v>275625.00000000006</v>
      </c>
    </row>
    <row r="11" spans="1:18">
      <c r="A11" s="2">
        <v>6</v>
      </c>
      <c r="B11" s="2"/>
      <c r="D11" t="s">
        <v>2100</v>
      </c>
      <c r="E11" s="2" t="s">
        <v>2101</v>
      </c>
      <c r="H11" s="408">
        <v>0</v>
      </c>
      <c r="I11" s="408">
        <v>0</v>
      </c>
      <c r="J11" s="408">
        <f t="shared" si="0"/>
        <v>0</v>
      </c>
      <c r="K11" s="2"/>
      <c r="L11" s="408">
        <v>0</v>
      </c>
      <c r="M11" s="408">
        <v>0</v>
      </c>
      <c r="N11" s="408">
        <f t="shared" si="1"/>
        <v>0</v>
      </c>
      <c r="O11" s="2"/>
      <c r="P11" s="408">
        <v>0</v>
      </c>
      <c r="Q11" s="408">
        <v>0</v>
      </c>
      <c r="R11" s="408">
        <f t="shared" si="2"/>
        <v>0</v>
      </c>
    </row>
    <row r="12" spans="1:18">
      <c r="A12" s="2">
        <v>7</v>
      </c>
      <c r="B12" s="2"/>
      <c r="D12" t="s">
        <v>2102</v>
      </c>
      <c r="E12" s="2" t="s">
        <v>2103</v>
      </c>
      <c r="H12" s="408">
        <v>0</v>
      </c>
      <c r="I12" s="408">
        <v>14009916.666666666</v>
      </c>
      <c r="J12" s="408">
        <f t="shared" si="0"/>
        <v>14009916.666666666</v>
      </c>
      <c r="K12" s="2"/>
      <c r="L12" s="408">
        <v>0</v>
      </c>
      <c r="M12" s="408">
        <v>11022553.333333334</v>
      </c>
      <c r="N12" s="408">
        <f t="shared" si="1"/>
        <v>11022553.333333334</v>
      </c>
      <c r="O12" s="2"/>
      <c r="P12" s="408">
        <v>0</v>
      </c>
      <c r="Q12" s="408">
        <v>8295255.4666666668</v>
      </c>
      <c r="R12" s="408">
        <f t="shared" si="2"/>
        <v>8295255.4666666668</v>
      </c>
    </row>
    <row r="13" spans="1:18">
      <c r="A13" s="2">
        <v>8</v>
      </c>
      <c r="B13" s="2"/>
      <c r="D13" t="s">
        <v>2104</v>
      </c>
      <c r="E13" s="2" t="s">
        <v>2105</v>
      </c>
      <c r="H13" s="408">
        <v>120247220.41899998</v>
      </c>
      <c r="I13" s="408">
        <v>0</v>
      </c>
      <c r="J13" s="408">
        <f t="shared" si="0"/>
        <v>120247220.41899998</v>
      </c>
      <c r="K13" s="2"/>
      <c r="L13" s="408">
        <v>290600641.88999999</v>
      </c>
      <c r="M13" s="408">
        <v>0</v>
      </c>
      <c r="N13" s="408">
        <f t="shared" si="1"/>
        <v>290600641.88999999</v>
      </c>
      <c r="O13" s="2"/>
      <c r="P13" s="408">
        <v>230158616.87</v>
      </c>
      <c r="Q13" s="408">
        <v>0</v>
      </c>
      <c r="R13" s="408">
        <f t="shared" si="2"/>
        <v>230158616.87</v>
      </c>
    </row>
    <row r="14" spans="1:18">
      <c r="A14" s="2">
        <v>9</v>
      </c>
      <c r="B14" s="2"/>
      <c r="D14" t="s">
        <v>2106</v>
      </c>
      <c r="E14" s="2" t="s">
        <v>2107</v>
      </c>
      <c r="H14" s="408">
        <v>0</v>
      </c>
      <c r="I14" s="408">
        <v>0</v>
      </c>
      <c r="J14" s="408">
        <f t="shared" si="0"/>
        <v>0</v>
      </c>
      <c r="K14" s="2"/>
      <c r="L14" s="408">
        <v>0</v>
      </c>
      <c r="M14" s="408">
        <v>0</v>
      </c>
      <c r="N14" s="408">
        <f t="shared" si="1"/>
        <v>0</v>
      </c>
      <c r="O14" s="2"/>
      <c r="P14" s="408">
        <v>0</v>
      </c>
      <c r="Q14" s="408">
        <v>0</v>
      </c>
      <c r="R14" s="408">
        <f t="shared" si="2"/>
        <v>0</v>
      </c>
    </row>
    <row r="15" spans="1:18">
      <c r="A15" s="2">
        <v>10</v>
      </c>
      <c r="B15" s="2"/>
      <c r="D15" t="s">
        <v>2108</v>
      </c>
      <c r="E15" s="2" t="s">
        <v>2109</v>
      </c>
      <c r="H15" s="408">
        <v>0</v>
      </c>
      <c r="I15" s="408">
        <v>15499999.999999998</v>
      </c>
      <c r="J15" s="408">
        <f t="shared" si="0"/>
        <v>15499999.999999998</v>
      </c>
      <c r="K15" s="2"/>
      <c r="L15" s="408">
        <v>0</v>
      </c>
      <c r="M15" s="408">
        <v>15500000</v>
      </c>
      <c r="N15" s="408">
        <f t="shared" si="1"/>
        <v>15500000</v>
      </c>
      <c r="O15" s="2"/>
      <c r="P15" s="408">
        <v>0</v>
      </c>
      <c r="Q15" s="408">
        <v>16131764.000000002</v>
      </c>
      <c r="R15" s="408">
        <f t="shared" si="2"/>
        <v>16131764.000000002</v>
      </c>
    </row>
    <row r="16" spans="1:18">
      <c r="A16" s="2">
        <v>11</v>
      </c>
      <c r="B16" s="2"/>
      <c r="D16" t="s">
        <v>2110</v>
      </c>
      <c r="E16" s="2" t="s">
        <v>2111</v>
      </c>
      <c r="H16" s="408">
        <v>0</v>
      </c>
      <c r="I16" s="408">
        <v>3073641.0256410246</v>
      </c>
      <c r="J16" s="408">
        <f t="shared" si="0"/>
        <v>3073641.0256410246</v>
      </c>
      <c r="K16" s="2"/>
      <c r="L16" s="408">
        <v>0</v>
      </c>
      <c r="M16" s="408">
        <v>15509586.666666666</v>
      </c>
      <c r="N16" s="408">
        <f t="shared" si="1"/>
        <v>15509586.666666666</v>
      </c>
      <c r="O16" s="2"/>
      <c r="P16" s="408">
        <v>0</v>
      </c>
      <c r="Q16" s="408">
        <v>15512650.133333333</v>
      </c>
      <c r="R16" s="408">
        <f t="shared" si="2"/>
        <v>15512650.133333333</v>
      </c>
    </row>
    <row r="17" spans="1:18">
      <c r="A17" s="2"/>
      <c r="B17" s="2"/>
      <c r="D17"/>
      <c r="H17" s="408"/>
      <c r="I17" s="408"/>
      <c r="J17" s="408"/>
      <c r="K17" s="2"/>
      <c r="L17" s="408"/>
      <c r="M17" s="408"/>
      <c r="N17" s="408"/>
      <c r="O17" s="2"/>
      <c r="P17" s="408"/>
      <c r="Q17" s="408"/>
      <c r="R17" s="408"/>
    </row>
    <row r="18" spans="1:18">
      <c r="A18" s="2">
        <v>12</v>
      </c>
      <c r="B18" s="2"/>
      <c r="C18" s="705" t="s">
        <v>2112</v>
      </c>
      <c r="D18" s="63"/>
      <c r="E18" s="63"/>
      <c r="F18" s="706"/>
      <c r="G18" s="706"/>
      <c r="H18" s="724">
        <f>SUM(H19:H34)</f>
        <v>632365965.34263694</v>
      </c>
      <c r="I18" s="724">
        <f t="shared" ref="I18:R18" si="3">SUM(I19:I34)</f>
        <v>290965353</v>
      </c>
      <c r="J18" s="724">
        <f t="shared" si="3"/>
        <v>923331318.34263694</v>
      </c>
      <c r="K18" s="2"/>
      <c r="L18" s="724">
        <f t="shared" si="3"/>
        <v>396533052.26478571</v>
      </c>
      <c r="M18" s="724">
        <f t="shared" si="3"/>
        <v>292183945.82999998</v>
      </c>
      <c r="N18" s="724">
        <f t="shared" si="3"/>
        <v>688716998.09478569</v>
      </c>
      <c r="O18" s="2"/>
      <c r="P18" s="724">
        <f t="shared" si="3"/>
        <v>135613505.94726786</v>
      </c>
      <c r="Q18" s="724">
        <f t="shared" si="3"/>
        <v>277698776</v>
      </c>
      <c r="R18" s="724">
        <f t="shared" si="3"/>
        <v>413312281.94726789</v>
      </c>
    </row>
    <row r="19" spans="1:18">
      <c r="A19" s="2">
        <v>13</v>
      </c>
      <c r="B19" s="2"/>
      <c r="C19" s="361"/>
      <c r="D19" t="s">
        <v>2113</v>
      </c>
      <c r="E19" s="62"/>
      <c r="F19" s="721"/>
      <c r="G19" s="721"/>
      <c r="H19" s="408">
        <v>3555520</v>
      </c>
      <c r="I19" s="408">
        <v>12736458</v>
      </c>
      <c r="J19" s="408">
        <f t="shared" ref="J19:J37" si="4">H19+I19</f>
        <v>16291978</v>
      </c>
      <c r="K19" s="2"/>
      <c r="L19" s="408">
        <v>1725250</v>
      </c>
      <c r="M19" s="408">
        <v>1485345</v>
      </c>
      <c r="N19" s="408">
        <f t="shared" ref="N19:N37" si="5">L19+M19</f>
        <v>3210595</v>
      </c>
      <c r="O19" s="2"/>
      <c r="P19" s="408">
        <v>218190</v>
      </c>
      <c r="Q19" s="408">
        <v>0</v>
      </c>
      <c r="R19" s="408">
        <f t="shared" ref="R19:R37" si="6">P19+Q19</f>
        <v>218190</v>
      </c>
    </row>
    <row r="20" spans="1:18">
      <c r="A20" s="2">
        <v>14</v>
      </c>
      <c r="B20" s="2"/>
      <c r="C20" s="361"/>
      <c r="D20" t="s">
        <v>2114</v>
      </c>
      <c r="E20" s="62"/>
      <c r="F20" s="721"/>
      <c r="G20" s="721"/>
      <c r="H20" s="408"/>
      <c r="I20" s="408">
        <v>16500</v>
      </c>
      <c r="J20" s="408">
        <f t="shared" si="4"/>
        <v>16500</v>
      </c>
      <c r="K20" s="2"/>
      <c r="L20" s="408">
        <v>0</v>
      </c>
      <c r="M20" s="408">
        <v>0</v>
      </c>
      <c r="N20" s="408">
        <f t="shared" si="5"/>
        <v>0</v>
      </c>
      <c r="O20" s="2"/>
      <c r="P20" s="408">
        <v>0</v>
      </c>
      <c r="Q20" s="408">
        <v>0</v>
      </c>
      <c r="R20" s="408">
        <f t="shared" si="6"/>
        <v>0</v>
      </c>
    </row>
    <row r="21" spans="1:18">
      <c r="A21" s="2">
        <v>15</v>
      </c>
      <c r="B21" s="2"/>
      <c r="C21" s="361"/>
      <c r="D21" t="s">
        <v>2115</v>
      </c>
      <c r="E21" s="62"/>
      <c r="F21" s="721"/>
      <c r="G21" s="721"/>
      <c r="H21" s="408">
        <v>624491827.97363698</v>
      </c>
      <c r="I21" s="408">
        <v>0</v>
      </c>
      <c r="J21" s="408">
        <f t="shared" si="4"/>
        <v>624491827.97363698</v>
      </c>
      <c r="K21" s="2"/>
      <c r="L21" s="408">
        <v>390096583.31678569</v>
      </c>
      <c r="M21" s="408">
        <v>0</v>
      </c>
      <c r="N21" s="408">
        <f t="shared" si="5"/>
        <v>390096583.31678569</v>
      </c>
      <c r="O21" s="2"/>
      <c r="P21" s="408">
        <v>130291495.42026787</v>
      </c>
      <c r="Q21" s="408">
        <v>0</v>
      </c>
      <c r="R21" s="408">
        <f t="shared" si="6"/>
        <v>130291495.42026787</v>
      </c>
    </row>
    <row r="22" spans="1:18">
      <c r="A22" s="2">
        <v>16</v>
      </c>
      <c r="B22" s="2"/>
      <c r="C22" s="361"/>
      <c r="D22" t="s">
        <v>2116</v>
      </c>
      <c r="E22" s="62"/>
      <c r="F22" s="721"/>
      <c r="G22" s="721"/>
      <c r="H22" s="408">
        <v>4318617.3689999999</v>
      </c>
      <c r="I22" s="408">
        <v>0</v>
      </c>
      <c r="J22" s="408">
        <f t="shared" si="4"/>
        <v>4318617.3689999999</v>
      </c>
      <c r="K22" s="2"/>
      <c r="L22" s="408">
        <v>4711218.9479999999</v>
      </c>
      <c r="M22" s="408">
        <v>0</v>
      </c>
      <c r="N22" s="408">
        <f t="shared" si="5"/>
        <v>4711218.9479999999</v>
      </c>
      <c r="O22" s="2"/>
      <c r="P22" s="408">
        <v>5103820.5269999988</v>
      </c>
      <c r="Q22" s="408">
        <v>0</v>
      </c>
      <c r="R22" s="408">
        <f t="shared" si="6"/>
        <v>5103820.5269999988</v>
      </c>
    </row>
    <row r="23" spans="1:18">
      <c r="A23" s="2">
        <v>17</v>
      </c>
      <c r="B23" s="2"/>
      <c r="C23" s="361"/>
      <c r="D23" t="s">
        <v>2117</v>
      </c>
      <c r="E23" s="62"/>
      <c r="F23" s="721"/>
      <c r="G23" s="721"/>
      <c r="H23" s="722">
        <v>0</v>
      </c>
      <c r="I23" s="722">
        <v>13744000</v>
      </c>
      <c r="J23" s="408">
        <f t="shared" si="4"/>
        <v>13744000</v>
      </c>
      <c r="K23" s="2"/>
      <c r="L23" s="408">
        <v>0</v>
      </c>
      <c r="M23" s="722">
        <v>16080000</v>
      </c>
      <c r="N23" s="408">
        <f t="shared" si="5"/>
        <v>16080000</v>
      </c>
      <c r="O23" s="2"/>
      <c r="P23" s="408">
        <v>0</v>
      </c>
      <c r="Q23" s="722">
        <v>17900000</v>
      </c>
      <c r="R23" s="408">
        <f t="shared" si="6"/>
        <v>17900000</v>
      </c>
    </row>
    <row r="24" spans="1:18">
      <c r="A24" s="2">
        <v>18</v>
      </c>
      <c r="B24" s="2"/>
      <c r="C24" s="361"/>
      <c r="D24" t="s">
        <v>2118</v>
      </c>
      <c r="E24" s="62"/>
      <c r="F24" s="721"/>
      <c r="G24" s="721"/>
      <c r="H24" s="408">
        <v>0</v>
      </c>
      <c r="I24" s="722">
        <v>55702769</v>
      </c>
      <c r="J24" s="408">
        <f t="shared" si="4"/>
        <v>55702769</v>
      </c>
      <c r="K24" s="2"/>
      <c r="L24" s="408">
        <v>0</v>
      </c>
      <c r="M24" s="722">
        <v>88540000</v>
      </c>
      <c r="N24" s="741">
        <f t="shared" si="5"/>
        <v>88540000</v>
      </c>
      <c r="O24" s="2"/>
      <c r="P24" s="408">
        <v>0</v>
      </c>
      <c r="Q24" s="722">
        <v>78810000</v>
      </c>
      <c r="R24" s="408">
        <f t="shared" si="6"/>
        <v>78810000</v>
      </c>
    </row>
    <row r="25" spans="1:18">
      <c r="A25" s="2">
        <v>19</v>
      </c>
      <c r="B25" s="2"/>
      <c r="C25" s="361"/>
      <c r="D25" t="s">
        <v>2119</v>
      </c>
      <c r="E25" s="62"/>
      <c r="F25" s="721"/>
      <c r="G25" s="721"/>
      <c r="H25" s="408">
        <v>0</v>
      </c>
      <c r="I25" s="722">
        <v>7851250</v>
      </c>
      <c r="J25" s="408">
        <f t="shared" si="4"/>
        <v>7851250</v>
      </c>
      <c r="K25" s="2"/>
      <c r="L25" s="408">
        <v>0</v>
      </c>
      <c r="M25" s="722">
        <v>10448000</v>
      </c>
      <c r="N25" s="741">
        <f t="shared" si="5"/>
        <v>10448000</v>
      </c>
      <c r="O25" s="2"/>
      <c r="P25" s="408">
        <v>0</v>
      </c>
      <c r="Q25" s="722">
        <v>4310000</v>
      </c>
      <c r="R25" s="408">
        <f t="shared" si="6"/>
        <v>4310000</v>
      </c>
    </row>
    <row r="26" spans="1:18">
      <c r="A26" s="2">
        <v>20</v>
      </c>
      <c r="B26" s="2"/>
      <c r="C26" s="361"/>
      <c r="D26" s="409" t="s">
        <v>2120</v>
      </c>
      <c r="E26" s="62"/>
      <c r="F26" s="721"/>
      <c r="G26" s="721"/>
      <c r="H26" s="408">
        <v>0</v>
      </c>
      <c r="I26" s="722">
        <v>42016000</v>
      </c>
      <c r="J26" s="408">
        <f t="shared" si="4"/>
        <v>42016000</v>
      </c>
      <c r="K26" s="2"/>
      <c r="L26" s="408">
        <v>0</v>
      </c>
      <c r="M26" s="722">
        <v>42077224.829999998</v>
      </c>
      <c r="N26" s="741">
        <f t="shared" si="5"/>
        <v>42077224.829999998</v>
      </c>
      <c r="O26" s="2"/>
      <c r="P26" s="408">
        <v>0</v>
      </c>
      <c r="Q26" s="722">
        <v>22109400</v>
      </c>
      <c r="R26" s="408">
        <f t="shared" si="6"/>
        <v>22109400</v>
      </c>
    </row>
    <row r="27" spans="1:18">
      <c r="A27" s="2">
        <v>21</v>
      </c>
      <c r="B27" s="2"/>
      <c r="C27" s="361"/>
      <c r="D27" s="390" t="s">
        <v>2121</v>
      </c>
      <c r="E27" s="62"/>
      <c r="F27" s="721"/>
      <c r="G27" s="721"/>
      <c r="H27" s="408">
        <v>0</v>
      </c>
      <c r="I27" s="722">
        <v>17900000</v>
      </c>
      <c r="J27" s="408">
        <f t="shared" si="4"/>
        <v>17900000</v>
      </c>
      <c r="K27" s="2"/>
      <c r="L27" s="408">
        <v>0</v>
      </c>
      <c r="M27" s="722">
        <v>11400000</v>
      </c>
      <c r="N27" s="741">
        <f t="shared" si="5"/>
        <v>11400000</v>
      </c>
      <c r="O27" s="2"/>
      <c r="P27" s="408">
        <v>0</v>
      </c>
      <c r="Q27" s="722">
        <v>3700000</v>
      </c>
      <c r="R27" s="408">
        <f t="shared" si="6"/>
        <v>3700000</v>
      </c>
    </row>
    <row r="28" spans="1:18">
      <c r="A28" s="2">
        <v>22</v>
      </c>
      <c r="B28" s="2"/>
      <c r="C28" s="361"/>
      <c r="D28" s="409" t="s">
        <v>2122</v>
      </c>
      <c r="E28" s="62"/>
      <c r="F28" s="721"/>
      <c r="G28" s="721"/>
      <c r="H28" s="408">
        <v>0</v>
      </c>
      <c r="I28" s="722">
        <v>15780000</v>
      </c>
      <c r="J28" s="408">
        <f t="shared" si="4"/>
        <v>15780000</v>
      </c>
      <c r="K28" s="2"/>
      <c r="L28" s="408">
        <v>0</v>
      </c>
      <c r="M28" s="722">
        <v>18125000</v>
      </c>
      <c r="N28" s="741">
        <f t="shared" si="5"/>
        <v>18125000</v>
      </c>
      <c r="O28" s="2"/>
      <c r="P28" s="408">
        <v>0</v>
      </c>
      <c r="Q28" s="722">
        <v>21125000</v>
      </c>
      <c r="R28" s="408">
        <f t="shared" si="6"/>
        <v>21125000</v>
      </c>
    </row>
    <row r="29" spans="1:18">
      <c r="A29" s="2">
        <v>23</v>
      </c>
      <c r="B29" s="2"/>
      <c r="C29" s="361"/>
      <c r="D29" s="409" t="s">
        <v>2123</v>
      </c>
      <c r="E29" s="62"/>
      <c r="F29" s="721"/>
      <c r="G29" s="721"/>
      <c r="H29" s="408">
        <v>0</v>
      </c>
      <c r="I29" s="722">
        <v>44175000</v>
      </c>
      <c r="J29" s="408">
        <f t="shared" si="4"/>
        <v>44175000</v>
      </c>
      <c r="K29" s="2"/>
      <c r="L29" s="408">
        <v>0</v>
      </c>
      <c r="M29" s="722">
        <v>21725000</v>
      </c>
      <c r="N29" s="741">
        <f t="shared" si="5"/>
        <v>21725000</v>
      </c>
      <c r="O29" s="2"/>
      <c r="P29" s="408">
        <v>0</v>
      </c>
      <c r="Q29" s="722">
        <v>30900000</v>
      </c>
      <c r="R29" s="408">
        <f t="shared" si="6"/>
        <v>30900000</v>
      </c>
    </row>
    <row r="30" spans="1:18">
      <c r="A30" s="2">
        <v>24</v>
      </c>
      <c r="B30" s="2"/>
      <c r="C30" s="361"/>
      <c r="D30" s="409" t="s">
        <v>2124</v>
      </c>
      <c r="E30" s="62"/>
      <c r="F30" s="721"/>
      <c r="G30" s="721"/>
      <c r="H30" s="408">
        <v>0</v>
      </c>
      <c r="I30" s="722">
        <v>8520000</v>
      </c>
      <c r="J30" s="408">
        <f t="shared" si="4"/>
        <v>8520000</v>
      </c>
      <c r="K30" s="2"/>
      <c r="L30" s="408">
        <v>0</v>
      </c>
      <c r="M30" s="722">
        <v>8420000</v>
      </c>
      <c r="N30" s="741">
        <f t="shared" si="5"/>
        <v>8420000</v>
      </c>
      <c r="O30" s="2"/>
      <c r="P30" s="408">
        <v>0</v>
      </c>
      <c r="Q30" s="722">
        <v>1920000</v>
      </c>
      <c r="R30" s="408">
        <f t="shared" si="6"/>
        <v>1920000</v>
      </c>
    </row>
    <row r="31" spans="1:18">
      <c r="A31" s="2">
        <v>25</v>
      </c>
      <c r="B31" s="2"/>
      <c r="C31" s="361"/>
      <c r="D31" s="409" t="s">
        <v>2125</v>
      </c>
      <c r="E31" s="62"/>
      <c r="F31" s="721"/>
      <c r="G31" s="721"/>
      <c r="H31" s="408">
        <v>0</v>
      </c>
      <c r="I31" s="722">
        <v>19079376</v>
      </c>
      <c r="J31" s="408">
        <f t="shared" si="4"/>
        <v>19079376</v>
      </c>
      <c r="K31" s="2"/>
      <c r="L31" s="408">
        <v>0</v>
      </c>
      <c r="M31" s="722">
        <v>19429376</v>
      </c>
      <c r="N31" s="741">
        <f t="shared" si="5"/>
        <v>19429376</v>
      </c>
      <c r="O31" s="2"/>
      <c r="P31" s="408">
        <v>0</v>
      </c>
      <c r="Q31" s="722">
        <v>19079376</v>
      </c>
      <c r="R31" s="408">
        <f t="shared" si="6"/>
        <v>19079376</v>
      </c>
    </row>
    <row r="32" spans="1:18">
      <c r="A32" s="2">
        <v>26</v>
      </c>
      <c r="B32" s="2"/>
      <c r="C32" s="361"/>
      <c r="D32" s="409" t="s">
        <v>2126</v>
      </c>
      <c r="E32" s="62"/>
      <c r="F32" s="721"/>
      <c r="G32" s="721"/>
      <c r="H32" s="408">
        <v>0</v>
      </c>
      <c r="I32" s="722">
        <v>1494000</v>
      </c>
      <c r="J32" s="408">
        <f t="shared" si="4"/>
        <v>1494000</v>
      </c>
      <c r="K32" s="2"/>
      <c r="L32" s="408">
        <v>0</v>
      </c>
      <c r="M32" s="722">
        <v>3142000</v>
      </c>
      <c r="N32" s="741">
        <f t="shared" si="5"/>
        <v>3142000</v>
      </c>
      <c r="O32" s="2"/>
      <c r="P32" s="408">
        <v>0</v>
      </c>
      <c r="Q32" s="722">
        <v>4744000</v>
      </c>
      <c r="R32" s="408">
        <f t="shared" si="6"/>
        <v>4744000</v>
      </c>
    </row>
    <row r="33" spans="1:19">
      <c r="A33" s="2">
        <v>27</v>
      </c>
      <c r="B33" s="2"/>
      <c r="C33" s="361"/>
      <c r="D33" s="409" t="s">
        <v>2127</v>
      </c>
      <c r="E33" s="62"/>
      <c r="F33" s="721"/>
      <c r="G33" s="721"/>
      <c r="H33" s="408">
        <v>0</v>
      </c>
      <c r="I33" s="722">
        <v>0</v>
      </c>
      <c r="J33" s="408">
        <f t="shared" si="4"/>
        <v>0</v>
      </c>
      <c r="K33" s="2"/>
      <c r="L33" s="408">
        <v>0</v>
      </c>
      <c r="M33" s="722">
        <v>4272000</v>
      </c>
      <c r="N33" s="741">
        <f t="shared" si="5"/>
        <v>4272000</v>
      </c>
      <c r="O33" s="2"/>
      <c r="P33" s="408">
        <v>0</v>
      </c>
      <c r="Q33" s="722">
        <v>9701000</v>
      </c>
      <c r="R33" s="408">
        <f t="shared" si="6"/>
        <v>9701000</v>
      </c>
    </row>
    <row r="34" spans="1:19">
      <c r="A34" s="2">
        <v>28</v>
      </c>
      <c r="B34" s="2"/>
      <c r="C34" s="361"/>
      <c r="D34" s="409" t="s">
        <v>2128</v>
      </c>
      <c r="E34" s="62"/>
      <c r="F34" s="721"/>
      <c r="G34" s="721"/>
      <c r="H34" s="408">
        <v>0</v>
      </c>
      <c r="I34" s="722">
        <v>51950000</v>
      </c>
      <c r="J34" s="408">
        <f t="shared" si="4"/>
        <v>51950000</v>
      </c>
      <c r="K34" s="2"/>
      <c r="L34" s="408">
        <v>0</v>
      </c>
      <c r="M34" s="722">
        <v>47040000</v>
      </c>
      <c r="N34" s="741">
        <f t="shared" si="5"/>
        <v>47040000</v>
      </c>
      <c r="O34" s="2"/>
      <c r="P34" s="408">
        <v>0</v>
      </c>
      <c r="Q34" s="722">
        <v>63400000</v>
      </c>
      <c r="R34" s="408">
        <f t="shared" si="6"/>
        <v>63400000</v>
      </c>
    </row>
    <row r="35" spans="1:19">
      <c r="A35" s="2"/>
      <c r="B35" s="2"/>
      <c r="C35" s="361"/>
      <c r="D35" s="361"/>
      <c r="E35" s="361"/>
      <c r="F35" s="361"/>
      <c r="G35" s="361"/>
      <c r="H35" s="361"/>
      <c r="I35" s="361"/>
      <c r="J35" s="361"/>
      <c r="K35" s="361"/>
      <c r="L35" s="361"/>
      <c r="M35" s="361"/>
      <c r="N35" s="361"/>
      <c r="O35" s="361"/>
      <c r="P35" s="361"/>
      <c r="Q35" s="361"/>
      <c r="R35" s="361"/>
      <c r="S35" s="361"/>
    </row>
    <row r="36" spans="1:19">
      <c r="A36" s="2">
        <f>A34+1</f>
        <v>29</v>
      </c>
      <c r="B36" s="2"/>
      <c r="C36" s="705" t="s">
        <v>2129</v>
      </c>
      <c r="D36" s="63"/>
      <c r="E36" s="63"/>
      <c r="F36" s="706"/>
      <c r="G36" s="706"/>
      <c r="H36" s="724">
        <f>H37</f>
        <v>0</v>
      </c>
      <c r="I36" s="724">
        <f t="shared" ref="I36" si="7">I37</f>
        <v>1234000</v>
      </c>
      <c r="J36" s="724">
        <f t="shared" ref="J36" si="8">J37</f>
        <v>1234000</v>
      </c>
      <c r="K36" s="2"/>
      <c r="L36" s="724">
        <f t="shared" ref="L36" si="9">L37</f>
        <v>0</v>
      </c>
      <c r="M36" s="724">
        <f t="shared" ref="M36" si="10">M37</f>
        <v>1295700</v>
      </c>
      <c r="N36" s="724">
        <f t="shared" ref="N36" si="11">N37</f>
        <v>1295700</v>
      </c>
      <c r="O36" s="2"/>
      <c r="P36" s="724">
        <f t="shared" ref="P36" si="12">P37</f>
        <v>0</v>
      </c>
      <c r="Q36" s="724">
        <f t="shared" ref="Q36" si="13">Q37</f>
        <v>1360485</v>
      </c>
      <c r="R36" s="724">
        <f t="shared" ref="R36" si="14">R37</f>
        <v>1360485</v>
      </c>
    </row>
    <row r="37" spans="1:19">
      <c r="A37" s="2">
        <f>A36+1</f>
        <v>30</v>
      </c>
      <c r="B37" s="2"/>
      <c r="C37" s="361"/>
      <c r="D37" s="409" t="s">
        <v>2130</v>
      </c>
      <c r="E37" s="62"/>
      <c r="F37" s="721"/>
      <c r="G37" s="721"/>
      <c r="H37" s="408"/>
      <c r="I37" s="722">
        <v>1234000</v>
      </c>
      <c r="J37" s="408">
        <f t="shared" si="4"/>
        <v>1234000</v>
      </c>
      <c r="K37" s="2"/>
      <c r="L37" s="408"/>
      <c r="M37" s="722">
        <f>I37*1.05</f>
        <v>1295700</v>
      </c>
      <c r="N37" s="741">
        <f t="shared" si="5"/>
        <v>1295700</v>
      </c>
      <c r="O37" s="2"/>
      <c r="P37" s="408"/>
      <c r="Q37" s="722">
        <f>M37*1.05</f>
        <v>1360485</v>
      </c>
      <c r="R37" s="408">
        <f t="shared" si="6"/>
        <v>1360485</v>
      </c>
    </row>
    <row r="38" spans="1:19">
      <c r="A38" s="2"/>
      <c r="B38" s="2"/>
      <c r="D38"/>
      <c r="H38" s="364"/>
      <c r="I38" s="364"/>
      <c r="J38" s="364"/>
      <c r="K38" s="2"/>
      <c r="L38" s="364"/>
      <c r="M38" s="364"/>
      <c r="N38" s="364"/>
      <c r="O38" s="2"/>
      <c r="P38" s="364"/>
      <c r="Q38" s="364"/>
      <c r="R38" s="364"/>
    </row>
    <row r="39" spans="1:19">
      <c r="A39" s="2">
        <f>A37+1</f>
        <v>31</v>
      </c>
      <c r="B39" s="2"/>
      <c r="C39" s="705" t="s">
        <v>2131</v>
      </c>
      <c r="D39" s="63"/>
      <c r="E39" s="63"/>
      <c r="F39" s="706"/>
      <c r="G39" s="706"/>
      <c r="H39" s="724">
        <f>SUM(H40:H43)</f>
        <v>62488337.186044671</v>
      </c>
      <c r="I39" s="724">
        <f>SUM(I40:I43)</f>
        <v>68850665.990713105</v>
      </c>
      <c r="J39" s="724">
        <f>H39+I39</f>
        <v>131339003.17675778</v>
      </c>
      <c r="K39" s="2"/>
      <c r="L39" s="724">
        <f>SUM(L40:L43)</f>
        <v>227072620.24570087</v>
      </c>
      <c r="M39" s="724">
        <f>SUM(M40:M43)</f>
        <v>96300814.808050185</v>
      </c>
      <c r="N39" s="724">
        <f>L39+M39</f>
        <v>323373435.05375105</v>
      </c>
      <c r="O39" s="2"/>
      <c r="P39" s="724">
        <f>SUM(P40:P43)</f>
        <v>417698016.71553349</v>
      </c>
      <c r="Q39" s="724">
        <f>SUM(Q40:Q43)</f>
        <v>138371881.16325629</v>
      </c>
      <c r="R39" s="724">
        <f>P39+Q39</f>
        <v>556069897.87878978</v>
      </c>
    </row>
    <row r="40" spans="1:19">
      <c r="A40" s="2">
        <f>A39+1</f>
        <v>32</v>
      </c>
      <c r="B40" s="2"/>
      <c r="D40" t="s">
        <v>2132</v>
      </c>
      <c r="E40" s="2" t="s">
        <v>2133</v>
      </c>
      <c r="H40" s="408">
        <v>23571702.007486869</v>
      </c>
      <c r="I40" s="408">
        <v>4059564.0796019915</v>
      </c>
      <c r="J40" s="408">
        <f t="shared" ref="J40:J43" si="15">H40+I40</f>
        <v>27631266.087088861</v>
      </c>
      <c r="K40" s="2"/>
      <c r="L40" s="408">
        <v>52137248.196411371</v>
      </c>
      <c r="M40" s="408">
        <v>4025000</v>
      </c>
      <c r="N40" s="408">
        <f t="shared" ref="N40:N43" si="16">L40+M40</f>
        <v>56162248.196411371</v>
      </c>
      <c r="O40" s="2"/>
      <c r="P40" s="408">
        <v>98762189.941276267</v>
      </c>
      <c r="Q40" s="408">
        <v>4025000</v>
      </c>
      <c r="R40" s="408">
        <f t="shared" ref="R40:R43" si="17">P40+Q40</f>
        <v>102787189.94127627</v>
      </c>
    </row>
    <row r="41" spans="1:19">
      <c r="A41" s="2">
        <f t="shared" ref="A41:A43" si="18">A40+1</f>
        <v>33</v>
      </c>
      <c r="B41" s="2"/>
      <c r="D41" t="s">
        <v>2134</v>
      </c>
      <c r="E41" s="2" t="s">
        <v>2135</v>
      </c>
      <c r="H41" s="408">
        <v>19798775.178557802</v>
      </c>
      <c r="I41" s="408">
        <v>40416101.911111116</v>
      </c>
      <c r="J41" s="408">
        <f t="shared" si="15"/>
        <v>60214877.089668915</v>
      </c>
      <c r="K41" s="2"/>
      <c r="L41" s="408">
        <v>139415372.04928949</v>
      </c>
      <c r="M41" s="408">
        <v>37672722.222222216</v>
      </c>
      <c r="N41" s="408">
        <f t="shared" si="16"/>
        <v>177088094.2715117</v>
      </c>
      <c r="O41" s="2"/>
      <c r="P41" s="408">
        <v>280292086.77425724</v>
      </c>
      <c r="Q41" s="408">
        <v>51405000</v>
      </c>
      <c r="R41" s="408">
        <f t="shared" si="17"/>
        <v>331697086.77425724</v>
      </c>
    </row>
    <row r="42" spans="1:19">
      <c r="A42" s="2">
        <f t="shared" si="18"/>
        <v>34</v>
      </c>
      <c r="B42" s="2"/>
      <c r="D42" t="s">
        <v>2136</v>
      </c>
      <c r="E42" s="2" t="s">
        <v>2137</v>
      </c>
      <c r="H42" s="408">
        <v>19117860</v>
      </c>
      <c r="I42" s="408">
        <v>24375000</v>
      </c>
      <c r="J42" s="408">
        <f t="shared" si="15"/>
        <v>43492860</v>
      </c>
      <c r="K42" s="2"/>
      <c r="L42" s="408">
        <v>35520000</v>
      </c>
      <c r="M42" s="408">
        <v>54603092.585827962</v>
      </c>
      <c r="N42" s="408">
        <f t="shared" si="16"/>
        <v>90123092.585827962</v>
      </c>
      <c r="O42" s="2"/>
      <c r="P42" s="408">
        <v>38643740</v>
      </c>
      <c r="Q42" s="408">
        <v>82941881.163256288</v>
      </c>
      <c r="R42" s="408">
        <f t="shared" si="17"/>
        <v>121585621.16325629</v>
      </c>
    </row>
    <row r="43" spans="1:19">
      <c r="A43" s="2">
        <f t="shared" si="18"/>
        <v>35</v>
      </c>
      <c r="B43" s="2"/>
      <c r="D43" t="s">
        <v>2138</v>
      </c>
      <c r="E43" s="2" t="s">
        <v>2139</v>
      </c>
      <c r="H43" s="408">
        <v>0</v>
      </c>
      <c r="I43" s="408">
        <v>0</v>
      </c>
      <c r="J43" s="408">
        <f t="shared" si="15"/>
        <v>0</v>
      </c>
      <c r="K43" s="2"/>
      <c r="L43" s="408">
        <v>0</v>
      </c>
      <c r="M43" s="408">
        <v>0</v>
      </c>
      <c r="N43" s="408">
        <f t="shared" si="16"/>
        <v>0</v>
      </c>
      <c r="O43" s="2"/>
      <c r="P43" s="408">
        <v>0</v>
      </c>
      <c r="Q43" s="408">
        <v>0</v>
      </c>
      <c r="R43" s="408">
        <f t="shared" si="17"/>
        <v>0</v>
      </c>
    </row>
    <row r="44" spans="1:19">
      <c r="A44" s="2"/>
      <c r="B44" s="2"/>
      <c r="D44"/>
      <c r="H44" s="364"/>
      <c r="I44" s="364"/>
      <c r="J44" s="364"/>
      <c r="K44" s="2"/>
      <c r="L44" s="364"/>
      <c r="M44" s="364"/>
      <c r="N44" s="364"/>
      <c r="O44" s="2"/>
      <c r="P44" s="364"/>
      <c r="Q44" s="364"/>
      <c r="R44" s="364"/>
    </row>
    <row r="45" spans="1:19">
      <c r="A45" s="2">
        <f>A43+1</f>
        <v>36</v>
      </c>
      <c r="B45" s="2"/>
      <c r="C45" s="705" t="s">
        <v>2140</v>
      </c>
      <c r="D45" s="63"/>
      <c r="E45" s="63"/>
      <c r="F45" s="706"/>
      <c r="G45" s="706"/>
      <c r="H45" s="724">
        <f>SUM(H46:H50)</f>
        <v>202371821.23786271</v>
      </c>
      <c r="I45" s="724">
        <f>SUM(I46:I50)</f>
        <v>164811280.50999999</v>
      </c>
      <c r="J45" s="724">
        <f t="shared" ref="J45:J50" si="19">H45+I45</f>
        <v>367183101.7478627</v>
      </c>
      <c r="K45" s="2"/>
      <c r="L45" s="724">
        <f>SUM(L46:L50)</f>
        <v>344740716.49652505</v>
      </c>
      <c r="M45" s="724">
        <f>SUM(M46:M50)</f>
        <v>343401389.95180357</v>
      </c>
      <c r="N45" s="724">
        <f t="shared" ref="N45:N50" si="20">L45+M45</f>
        <v>688142106.44832861</v>
      </c>
      <c r="O45" s="2"/>
      <c r="P45" s="724">
        <f>SUM(P46:P50)</f>
        <v>326493912.60748422</v>
      </c>
      <c r="Q45" s="724">
        <f>SUM(Q46:Q50)</f>
        <v>409513703.95811075</v>
      </c>
      <c r="R45" s="724">
        <f t="shared" ref="R45:R50" si="21">P45+Q45</f>
        <v>736007616.56559491</v>
      </c>
    </row>
    <row r="46" spans="1:19">
      <c r="A46" s="2">
        <f t="shared" ref="A46:A91" si="22">A45+1</f>
        <v>37</v>
      </c>
      <c r="B46" s="2"/>
      <c r="D46" t="s">
        <v>2141</v>
      </c>
      <c r="E46" s="2" t="s">
        <v>2142</v>
      </c>
      <c r="G46" s="723"/>
      <c r="H46" s="408">
        <v>23311671.237862699</v>
      </c>
      <c r="I46" s="408">
        <v>42115875.356489807</v>
      </c>
      <c r="J46" s="408">
        <f t="shared" si="19"/>
        <v>65427546.594352506</v>
      </c>
      <c r="K46" s="2"/>
      <c r="L46" s="408">
        <v>95045716.496525034</v>
      </c>
      <c r="M46" s="408">
        <v>62033223.05434972</v>
      </c>
      <c r="N46" s="408">
        <f t="shared" si="20"/>
        <v>157078939.55087477</v>
      </c>
      <c r="O46" s="2"/>
      <c r="P46" s="408">
        <v>132735608.10748419</v>
      </c>
      <c r="Q46" s="408">
        <v>77060979.475456208</v>
      </c>
      <c r="R46" s="408">
        <f t="shared" si="21"/>
        <v>209796587.5829404</v>
      </c>
    </row>
    <row r="47" spans="1:19">
      <c r="A47" s="2">
        <f t="shared" si="22"/>
        <v>38</v>
      </c>
      <c r="B47" s="2"/>
      <c r="D47" t="s">
        <v>2143</v>
      </c>
      <c r="E47" s="2" t="s">
        <v>2144</v>
      </c>
      <c r="G47" s="723"/>
      <c r="H47" s="408">
        <v>89250000</v>
      </c>
      <c r="I47" s="408">
        <v>98961260.153510183</v>
      </c>
      <c r="J47" s="408">
        <f t="shared" si="19"/>
        <v>188211260.15351018</v>
      </c>
      <c r="K47" s="2"/>
      <c r="L47" s="408">
        <v>105945000</v>
      </c>
      <c r="M47" s="408">
        <v>254652560.34189829</v>
      </c>
      <c r="N47" s="408">
        <f t="shared" si="20"/>
        <v>360597560.34189832</v>
      </c>
      <c r="O47" s="2"/>
      <c r="P47" s="408">
        <v>52499999.999999993</v>
      </c>
      <c r="Q47" s="408">
        <v>296900397.81598783</v>
      </c>
      <c r="R47" s="408">
        <f t="shared" si="21"/>
        <v>349400397.81598783</v>
      </c>
    </row>
    <row r="48" spans="1:19">
      <c r="A48" s="2">
        <f t="shared" si="22"/>
        <v>39</v>
      </c>
      <c r="B48" s="2"/>
      <c r="D48" t="s">
        <v>2145</v>
      </c>
      <c r="E48" s="2" t="s">
        <v>2146</v>
      </c>
      <c r="G48" s="723"/>
      <c r="H48" s="408">
        <v>89810150</v>
      </c>
      <c r="I48" s="408">
        <v>3034145</v>
      </c>
      <c r="J48" s="408">
        <f t="shared" si="19"/>
        <v>92844295</v>
      </c>
      <c r="K48" s="2"/>
      <c r="L48" s="408">
        <v>143750000</v>
      </c>
      <c r="M48" s="408">
        <v>3715606.555555555</v>
      </c>
      <c r="N48" s="408">
        <f t="shared" si="20"/>
        <v>147465606.55555555</v>
      </c>
      <c r="O48" s="2"/>
      <c r="P48" s="408">
        <v>141258304.5</v>
      </c>
      <c r="Q48" s="408">
        <v>9102326.6666666642</v>
      </c>
      <c r="R48" s="408">
        <f t="shared" si="21"/>
        <v>150360631.16666666</v>
      </c>
    </row>
    <row r="49" spans="1:18">
      <c r="A49" s="2">
        <f t="shared" si="22"/>
        <v>40</v>
      </c>
      <c r="B49" s="2"/>
      <c r="D49" t="s">
        <v>2147</v>
      </c>
      <c r="E49" s="2" t="s">
        <v>2148</v>
      </c>
      <c r="G49" s="723"/>
      <c r="H49" s="408">
        <v>0</v>
      </c>
      <c r="I49" s="408">
        <v>0</v>
      </c>
      <c r="J49" s="408">
        <f t="shared" si="19"/>
        <v>0</v>
      </c>
      <c r="K49" s="2"/>
      <c r="L49" s="408">
        <v>0</v>
      </c>
      <c r="M49" s="408">
        <v>0</v>
      </c>
      <c r="N49" s="408">
        <f t="shared" si="20"/>
        <v>0</v>
      </c>
      <c r="O49" s="2"/>
      <c r="P49" s="408">
        <v>0</v>
      </c>
      <c r="Q49" s="408">
        <v>0</v>
      </c>
      <c r="R49" s="408">
        <f t="shared" si="21"/>
        <v>0</v>
      </c>
    </row>
    <row r="50" spans="1:18">
      <c r="A50" s="2">
        <f t="shared" si="22"/>
        <v>41</v>
      </c>
      <c r="B50" s="2"/>
      <c r="D50" t="s">
        <v>2149</v>
      </c>
      <c r="E50" s="2" t="s">
        <v>2150</v>
      </c>
      <c r="G50" s="723"/>
      <c r="H50" s="408">
        <v>0</v>
      </c>
      <c r="I50" s="408">
        <v>20700000</v>
      </c>
      <c r="J50" s="408">
        <f t="shared" si="19"/>
        <v>20700000</v>
      </c>
      <c r="K50" s="2"/>
      <c r="L50" s="408">
        <v>0</v>
      </c>
      <c r="M50" s="408">
        <v>23000000</v>
      </c>
      <c r="N50" s="408">
        <f t="shared" si="20"/>
        <v>23000000</v>
      </c>
      <c r="O50" s="2"/>
      <c r="P50" s="408">
        <v>0</v>
      </c>
      <c r="Q50" s="408">
        <v>26450000</v>
      </c>
      <c r="R50" s="408">
        <f t="shared" si="21"/>
        <v>26450000</v>
      </c>
    </row>
    <row r="51" spans="1:18">
      <c r="A51" s="2"/>
      <c r="B51" s="2"/>
      <c r="D51"/>
      <c r="H51" s="364"/>
      <c r="I51" s="364"/>
      <c r="J51" s="364"/>
      <c r="K51" s="2"/>
      <c r="L51" s="364"/>
      <c r="M51" s="364"/>
      <c r="N51" s="364"/>
      <c r="O51" s="2"/>
      <c r="P51" s="364"/>
      <c r="Q51" s="364"/>
      <c r="R51" s="364"/>
    </row>
    <row r="52" spans="1:18">
      <c r="A52" s="2"/>
      <c r="B52" s="2"/>
      <c r="C52" s="705" t="s">
        <v>2151</v>
      </c>
      <c r="D52" s="63"/>
      <c r="E52" s="63"/>
      <c r="F52" s="706"/>
      <c r="G52" s="706"/>
      <c r="H52" s="724">
        <f>SUM(H53:H55)</f>
        <v>154196935.43924701</v>
      </c>
      <c r="I52" s="724">
        <f t="shared" ref="I52:J52" si="23">SUM(I53:I55)</f>
        <v>115177900.49455555</v>
      </c>
      <c r="J52" s="724">
        <f t="shared" si="23"/>
        <v>269374835.93380255</v>
      </c>
      <c r="K52" s="2"/>
      <c r="L52" s="724">
        <f>SUM(L53:L55)</f>
        <v>287348461.46954131</v>
      </c>
      <c r="M52" s="724">
        <f t="shared" ref="M52:N52" si="24">SUM(M53:M55)</f>
        <v>123985437.1066111</v>
      </c>
      <c r="N52" s="724">
        <f t="shared" si="24"/>
        <v>411333898.57615244</v>
      </c>
      <c r="O52" s="2"/>
      <c r="P52" s="724">
        <f>SUM(P53:P55)</f>
        <v>340455028.43852389</v>
      </c>
      <c r="Q52" s="724">
        <f t="shared" ref="Q52:R52" si="25">SUM(Q53:Q55)</f>
        <v>150511976.33333334</v>
      </c>
      <c r="R52" s="724">
        <f t="shared" si="25"/>
        <v>490967004.77185726</v>
      </c>
    </row>
    <row r="53" spans="1:18">
      <c r="A53" s="2">
        <f>A50+1</f>
        <v>42</v>
      </c>
      <c r="B53" s="2"/>
      <c r="D53" t="s">
        <v>2152</v>
      </c>
      <c r="E53" s="2" t="s">
        <v>2153</v>
      </c>
      <c r="H53" s="408">
        <v>101468197.94821844</v>
      </c>
      <c r="I53" s="408">
        <v>3755555.555555556</v>
      </c>
      <c r="J53" s="408">
        <f t="shared" ref="J53:J55" si="26">H53+I53</f>
        <v>105223753.50377399</v>
      </c>
      <c r="K53" s="2"/>
      <c r="L53" s="408">
        <v>186861416.72020799</v>
      </c>
      <c r="M53" s="408">
        <v>6611111.111111111</v>
      </c>
      <c r="N53" s="408">
        <f t="shared" ref="N53:N55" si="27">L53+M53</f>
        <v>193472527.83131909</v>
      </c>
      <c r="O53" s="2"/>
      <c r="P53" s="408">
        <v>197498409.09852391</v>
      </c>
      <c r="Q53" s="408">
        <v>15333333.33333333</v>
      </c>
      <c r="R53" s="408">
        <f t="shared" ref="R53:R55" si="28">P53+Q53</f>
        <v>212831742.43185726</v>
      </c>
    </row>
    <row r="54" spans="1:18">
      <c r="A54" s="2">
        <f t="shared" si="22"/>
        <v>43</v>
      </c>
      <c r="B54" s="2"/>
      <c r="D54" t="s">
        <v>2154</v>
      </c>
      <c r="E54" s="2" t="s">
        <v>2155</v>
      </c>
      <c r="H54" s="408">
        <v>45258737.491028577</v>
      </c>
      <c r="I54" s="408">
        <v>111122344.939</v>
      </c>
      <c r="J54" s="408">
        <f t="shared" si="26"/>
        <v>156381082.43002856</v>
      </c>
      <c r="K54" s="2"/>
      <c r="L54" s="408">
        <v>96483044.749333337</v>
      </c>
      <c r="M54" s="408">
        <v>117074325.9955</v>
      </c>
      <c r="N54" s="408">
        <f t="shared" si="27"/>
        <v>213557370.74483335</v>
      </c>
      <c r="O54" s="2"/>
      <c r="P54" s="408">
        <v>142956619.34</v>
      </c>
      <c r="Q54" s="408">
        <v>134878643</v>
      </c>
      <c r="R54" s="408">
        <f t="shared" si="28"/>
        <v>277835262.34000003</v>
      </c>
    </row>
    <row r="55" spans="1:18">
      <c r="A55" s="2">
        <f t="shared" si="22"/>
        <v>44</v>
      </c>
      <c r="B55" s="2"/>
      <c r="D55" t="s">
        <v>2156</v>
      </c>
      <c r="E55" s="2" t="s">
        <v>2157</v>
      </c>
      <c r="H55" s="408">
        <v>7470000</v>
      </c>
      <c r="I55" s="408">
        <v>300000</v>
      </c>
      <c r="J55" s="408">
        <f t="shared" si="26"/>
        <v>7770000</v>
      </c>
      <c r="K55" s="2"/>
      <c r="L55" s="408">
        <v>4004000</v>
      </c>
      <c r="M55" s="408">
        <v>300000</v>
      </c>
      <c r="N55" s="408">
        <f t="shared" si="27"/>
        <v>4304000</v>
      </c>
      <c r="O55" s="2"/>
      <c r="P55" s="408">
        <v>0</v>
      </c>
      <c r="Q55" s="408">
        <v>300000</v>
      </c>
      <c r="R55" s="408">
        <f t="shared" si="28"/>
        <v>300000</v>
      </c>
    </row>
    <row r="56" spans="1:18">
      <c r="A56" s="2"/>
      <c r="B56" s="2"/>
      <c r="D56"/>
      <c r="H56" s="364"/>
      <c r="I56" s="364"/>
      <c r="J56" s="364"/>
      <c r="K56" s="2"/>
      <c r="L56" s="364"/>
      <c r="M56" s="364"/>
      <c r="N56" s="364"/>
      <c r="O56" s="2"/>
      <c r="P56" s="364"/>
      <c r="Q56" s="364"/>
      <c r="R56" s="364"/>
    </row>
    <row r="57" spans="1:18">
      <c r="A57" s="2"/>
      <c r="B57" s="2"/>
      <c r="C57" s="705" t="s">
        <v>2158</v>
      </c>
      <c r="D57" s="63"/>
      <c r="E57" s="63"/>
      <c r="F57" s="706"/>
      <c r="G57" s="706"/>
      <c r="H57" s="724">
        <f>SUM(H58:H61)</f>
        <v>34931047</v>
      </c>
      <c r="I57" s="724">
        <f>SUM(I58:I61)</f>
        <v>67465203.310000002</v>
      </c>
      <c r="J57" s="724">
        <f>SUM(J58:J61)</f>
        <v>102396250.31</v>
      </c>
      <c r="K57" s="2"/>
      <c r="L57" s="724">
        <f>SUM(L58:L61)</f>
        <v>58784254</v>
      </c>
      <c r="M57" s="724">
        <f>SUM(M58:M61)</f>
        <v>8363000</v>
      </c>
      <c r="N57" s="724">
        <f>SUM(N58:N61)</f>
        <v>67147254</v>
      </c>
      <c r="O57" s="2"/>
      <c r="P57" s="724">
        <f>SUM(P58:P61)</f>
        <v>67258146.730000004</v>
      </c>
      <c r="Q57" s="724">
        <f>SUM(Q58:Q61)</f>
        <v>7638000</v>
      </c>
      <c r="R57" s="724">
        <f>SUM(R58:R61)</f>
        <v>74896146.730000004</v>
      </c>
    </row>
    <row r="58" spans="1:18">
      <c r="A58" s="2">
        <f>A55+1</f>
        <v>45</v>
      </c>
      <c r="B58" s="2"/>
      <c r="D58" t="s">
        <v>2159</v>
      </c>
      <c r="E58" s="2" t="s">
        <v>2160</v>
      </c>
      <c r="H58" s="408">
        <v>11061388</v>
      </c>
      <c r="I58" s="408">
        <v>64205203.470000006</v>
      </c>
      <c r="J58" s="408">
        <f t="shared" ref="J58:J60" si="29">H58+I58</f>
        <v>75266591.469999999</v>
      </c>
      <c r="K58" s="2"/>
      <c r="L58" s="408">
        <v>18803013</v>
      </c>
      <c r="M58" s="408">
        <v>8069000</v>
      </c>
      <c r="N58" s="408">
        <f t="shared" ref="N58:N60" si="30">L58+M58</f>
        <v>26872013</v>
      </c>
      <c r="O58" s="2"/>
      <c r="P58" s="408">
        <v>15943946</v>
      </c>
      <c r="Q58" s="408">
        <v>7344000</v>
      </c>
      <c r="R58" s="408">
        <f t="shared" ref="R58:R60" si="31">P58+Q58</f>
        <v>23287946</v>
      </c>
    </row>
    <row r="59" spans="1:18">
      <c r="A59" s="2">
        <f>A58+1</f>
        <v>46</v>
      </c>
      <c r="B59" s="2"/>
      <c r="D59" t="s">
        <v>2161</v>
      </c>
      <c r="E59" s="2" t="s">
        <v>2162</v>
      </c>
      <c r="H59" s="408">
        <v>14923222</v>
      </c>
      <c r="I59" s="408">
        <v>2950000</v>
      </c>
      <c r="J59" s="408">
        <f t="shared" si="29"/>
        <v>17873222</v>
      </c>
      <c r="K59" s="2"/>
      <c r="L59" s="408">
        <v>6033411</v>
      </c>
      <c r="M59" s="408">
        <v>0</v>
      </c>
      <c r="N59" s="408">
        <f t="shared" si="30"/>
        <v>6033411</v>
      </c>
      <c r="O59" s="2"/>
      <c r="P59" s="408">
        <v>11174927.73</v>
      </c>
      <c r="Q59" s="408">
        <v>0</v>
      </c>
      <c r="R59" s="408">
        <f t="shared" si="31"/>
        <v>11174927.73</v>
      </c>
    </row>
    <row r="60" spans="1:18">
      <c r="A60" s="2">
        <f t="shared" ref="A60:A61" si="32">A59+1</f>
        <v>47</v>
      </c>
      <c r="B60" s="2"/>
      <c r="D60" t="s">
        <v>2163</v>
      </c>
      <c r="E60" s="2" t="s">
        <v>2164</v>
      </c>
      <c r="H60" s="408">
        <v>8946436.9999999981</v>
      </c>
      <c r="I60" s="408">
        <v>0</v>
      </c>
      <c r="J60" s="408">
        <f t="shared" si="29"/>
        <v>8946436.9999999981</v>
      </c>
      <c r="K60" s="2"/>
      <c r="L60" s="408">
        <v>33947830</v>
      </c>
      <c r="M60" s="408">
        <v>0</v>
      </c>
      <c r="N60" s="408">
        <f t="shared" si="30"/>
        <v>33947830</v>
      </c>
      <c r="O60" s="2"/>
      <c r="P60" s="408">
        <v>40139273</v>
      </c>
      <c r="Q60" s="408">
        <v>0</v>
      </c>
      <c r="R60" s="408">
        <f t="shared" si="31"/>
        <v>40139273</v>
      </c>
    </row>
    <row r="61" spans="1:18">
      <c r="A61" s="2">
        <f t="shared" si="32"/>
        <v>48</v>
      </c>
      <c r="B61" s="2"/>
      <c r="D61" t="s">
        <v>2165</v>
      </c>
      <c r="E61" s="2" t="s">
        <v>2166</v>
      </c>
      <c r="H61" s="408">
        <v>0</v>
      </c>
      <c r="I61" s="408">
        <v>309999.84000000003</v>
      </c>
      <c r="J61" s="408">
        <f>H61+I61</f>
        <v>309999.84000000003</v>
      </c>
      <c r="K61" s="2"/>
      <c r="L61" s="408">
        <v>0</v>
      </c>
      <c r="M61" s="408">
        <v>294000</v>
      </c>
      <c r="N61" s="408">
        <f>L61+M61</f>
        <v>294000</v>
      </c>
      <c r="O61" s="2"/>
      <c r="P61" s="408">
        <v>0</v>
      </c>
      <c r="Q61" s="408">
        <v>294000</v>
      </c>
      <c r="R61" s="408">
        <f>P61+Q61</f>
        <v>294000</v>
      </c>
    </row>
    <row r="62" spans="1:18">
      <c r="A62" s="2"/>
      <c r="B62" s="2"/>
      <c r="D62"/>
      <c r="H62" s="364"/>
      <c r="I62" s="364"/>
      <c r="J62" s="364"/>
      <c r="K62" s="2"/>
      <c r="L62" s="364"/>
      <c r="M62" s="364"/>
      <c r="N62" s="364"/>
      <c r="O62" s="2"/>
      <c r="P62" s="364"/>
      <c r="Q62" s="364"/>
      <c r="R62" s="364"/>
    </row>
    <row r="63" spans="1:18">
      <c r="A63" s="2"/>
      <c r="B63" s="2"/>
      <c r="C63" s="705" t="s">
        <v>2167</v>
      </c>
      <c r="D63" s="63"/>
      <c r="E63" s="63"/>
      <c r="F63" s="706"/>
      <c r="G63" s="706"/>
      <c r="H63" s="724">
        <f>SUM(H64:H75)</f>
        <v>179816787.01552263</v>
      </c>
      <c r="I63" s="724">
        <f>SUM(I64:I75)</f>
        <v>96370928.228845417</v>
      </c>
      <c r="J63" s="724">
        <f t="shared" ref="J63:J75" si="33">H63+I63</f>
        <v>276187715.24436808</v>
      </c>
      <c r="K63" s="2"/>
      <c r="L63" s="724">
        <f>SUM(L64:L75)</f>
        <v>290021334.34213561</v>
      </c>
      <c r="M63" s="724">
        <f>SUM(M64:M75)</f>
        <v>84794651.935462818</v>
      </c>
      <c r="N63" s="724">
        <f t="shared" ref="N63:N75" si="34">L63+M63</f>
        <v>374815986.27759844</v>
      </c>
      <c r="O63" s="2"/>
      <c r="P63" s="724">
        <f>SUM(P64:P75)</f>
        <v>439361069.20726955</v>
      </c>
      <c r="Q63" s="724">
        <f>SUM(Q64:Q75)</f>
        <v>90128193.015083343</v>
      </c>
      <c r="R63" s="724">
        <f t="shared" ref="R63:R75" si="35">P63+Q63</f>
        <v>529489262.22235286</v>
      </c>
    </row>
    <row r="64" spans="1:18">
      <c r="A64" s="2">
        <f>A61+1</f>
        <v>49</v>
      </c>
      <c r="B64" s="2"/>
      <c r="D64" t="s">
        <v>2168</v>
      </c>
      <c r="E64" s="2" t="s">
        <v>2169</v>
      </c>
      <c r="H64" s="408">
        <v>133379828.93000001</v>
      </c>
      <c r="I64" s="408">
        <v>0</v>
      </c>
      <c r="J64" s="408">
        <f t="shared" si="33"/>
        <v>133379828.93000001</v>
      </c>
      <c r="K64" s="2"/>
      <c r="L64" s="408">
        <v>204006016.82114562</v>
      </c>
      <c r="M64" s="408">
        <v>0</v>
      </c>
      <c r="N64" s="408">
        <f t="shared" si="34"/>
        <v>204006016.82114562</v>
      </c>
      <c r="O64" s="2"/>
      <c r="P64" s="408">
        <v>348801067.11926955</v>
      </c>
      <c r="Q64" s="408">
        <v>0</v>
      </c>
      <c r="R64" s="408">
        <f t="shared" si="35"/>
        <v>348801067.11926955</v>
      </c>
    </row>
    <row r="65" spans="1:18">
      <c r="A65" s="2">
        <f t="shared" si="22"/>
        <v>50</v>
      </c>
      <c r="B65" s="2"/>
      <c r="D65" t="s">
        <v>2170</v>
      </c>
      <c r="E65" s="2" t="s">
        <v>2171</v>
      </c>
      <c r="H65" s="408">
        <v>0</v>
      </c>
      <c r="I65" s="408">
        <v>69723872.5</v>
      </c>
      <c r="J65" s="408">
        <f t="shared" si="33"/>
        <v>69723872.5</v>
      </c>
      <c r="K65" s="2"/>
      <c r="L65" s="408">
        <v>0</v>
      </c>
      <c r="M65" s="408">
        <v>56738000</v>
      </c>
      <c r="N65" s="408">
        <f t="shared" si="34"/>
        <v>56738000</v>
      </c>
      <c r="O65" s="2"/>
      <c r="P65" s="408">
        <v>0</v>
      </c>
      <c r="Q65" s="408">
        <v>55612960.5</v>
      </c>
      <c r="R65" s="408">
        <f t="shared" si="35"/>
        <v>55612960.5</v>
      </c>
    </row>
    <row r="66" spans="1:18">
      <c r="A66" s="2">
        <f t="shared" si="22"/>
        <v>51</v>
      </c>
      <c r="B66" s="2"/>
      <c r="D66" t="s">
        <v>2172</v>
      </c>
      <c r="E66" s="2" t="s">
        <v>2173</v>
      </c>
      <c r="H66" s="408">
        <v>0</v>
      </c>
      <c r="I66" s="408">
        <v>7423920.1231176239</v>
      </c>
      <c r="J66" s="408">
        <f t="shared" si="33"/>
        <v>7423920.1231176239</v>
      </c>
      <c r="K66" s="2"/>
      <c r="L66" s="408">
        <v>0</v>
      </c>
      <c r="M66" s="408">
        <v>7779266.6284293085</v>
      </c>
      <c r="N66" s="408">
        <f t="shared" si="34"/>
        <v>7779266.6284293085</v>
      </c>
      <c r="O66" s="2"/>
      <c r="P66" s="408">
        <v>0</v>
      </c>
      <c r="Q66" s="408">
        <v>8151286.3427469321</v>
      </c>
      <c r="R66" s="408">
        <f t="shared" si="35"/>
        <v>8151286.3427469321</v>
      </c>
    </row>
    <row r="67" spans="1:18">
      <c r="A67" s="2">
        <f t="shared" si="22"/>
        <v>52</v>
      </c>
      <c r="B67" s="2"/>
      <c r="D67" t="s">
        <v>2174</v>
      </c>
      <c r="E67" s="2" t="s">
        <v>2175</v>
      </c>
      <c r="H67" s="408">
        <v>0</v>
      </c>
      <c r="I67" s="408">
        <v>0</v>
      </c>
      <c r="J67" s="408">
        <f t="shared" si="33"/>
        <v>0</v>
      </c>
      <c r="K67" s="2"/>
      <c r="L67" s="408">
        <v>0</v>
      </c>
      <c r="M67" s="408">
        <v>0</v>
      </c>
      <c r="N67" s="408">
        <f t="shared" si="34"/>
        <v>0</v>
      </c>
      <c r="O67" s="2"/>
      <c r="P67" s="408">
        <v>0</v>
      </c>
      <c r="Q67" s="408">
        <v>0</v>
      </c>
      <c r="R67" s="408">
        <f t="shared" si="35"/>
        <v>0</v>
      </c>
    </row>
    <row r="68" spans="1:18">
      <c r="A68" s="2">
        <f t="shared" si="22"/>
        <v>53</v>
      </c>
      <c r="B68" s="2"/>
      <c r="D68" t="s">
        <v>2176</v>
      </c>
      <c r="E68" s="2" t="s">
        <v>2177</v>
      </c>
      <c r="H68" s="408">
        <v>0</v>
      </c>
      <c r="I68" s="408">
        <v>0</v>
      </c>
      <c r="J68" s="408">
        <f t="shared" si="33"/>
        <v>0</v>
      </c>
      <c r="K68" s="2"/>
      <c r="L68" s="408">
        <v>0</v>
      </c>
      <c r="M68" s="408">
        <v>0</v>
      </c>
      <c r="N68" s="408">
        <f t="shared" si="34"/>
        <v>0</v>
      </c>
      <c r="O68" s="2"/>
      <c r="P68" s="408">
        <v>0</v>
      </c>
      <c r="Q68" s="408">
        <v>0</v>
      </c>
      <c r="R68" s="408">
        <f t="shared" si="35"/>
        <v>0</v>
      </c>
    </row>
    <row r="69" spans="1:18">
      <c r="A69" s="2">
        <f t="shared" si="22"/>
        <v>54</v>
      </c>
      <c r="B69" s="2"/>
      <c r="D69" t="s">
        <v>2178</v>
      </c>
      <c r="E69" s="2" t="s">
        <v>2179</v>
      </c>
      <c r="H69" s="408">
        <v>0</v>
      </c>
      <c r="I69" s="408">
        <v>5060000</v>
      </c>
      <c r="J69" s="408">
        <f t="shared" si="33"/>
        <v>5060000</v>
      </c>
      <c r="K69" s="2"/>
      <c r="L69" s="408">
        <v>0</v>
      </c>
      <c r="M69" s="408">
        <v>5250439.9999999991</v>
      </c>
      <c r="N69" s="408">
        <f t="shared" si="34"/>
        <v>5250439.9999999991</v>
      </c>
      <c r="O69" s="2"/>
      <c r="P69" s="408">
        <v>0</v>
      </c>
      <c r="Q69" s="408">
        <v>5250439.9999999991</v>
      </c>
      <c r="R69" s="408">
        <f t="shared" si="35"/>
        <v>5250439.9999999991</v>
      </c>
    </row>
    <row r="70" spans="1:18">
      <c r="A70" s="2">
        <f t="shared" si="22"/>
        <v>55</v>
      </c>
      <c r="B70" s="2"/>
      <c r="D70" t="s">
        <v>2180</v>
      </c>
      <c r="E70" s="2" t="s">
        <v>2181</v>
      </c>
      <c r="H70" s="408">
        <v>0</v>
      </c>
      <c r="I70" s="408">
        <v>1350000</v>
      </c>
      <c r="J70" s="408">
        <f t="shared" si="33"/>
        <v>1350000</v>
      </c>
      <c r="K70" s="2"/>
      <c r="L70" s="408">
        <v>0</v>
      </c>
      <c r="M70" s="408">
        <v>100000</v>
      </c>
      <c r="N70" s="408">
        <f t="shared" si="34"/>
        <v>100000</v>
      </c>
      <c r="O70" s="2"/>
      <c r="P70" s="408">
        <v>0</v>
      </c>
      <c r="Q70" s="408">
        <v>100000</v>
      </c>
      <c r="R70" s="408">
        <f t="shared" si="35"/>
        <v>100000</v>
      </c>
    </row>
    <row r="71" spans="1:18">
      <c r="A71" s="2">
        <f t="shared" si="22"/>
        <v>56</v>
      </c>
      <c r="B71" s="2"/>
      <c r="D71" t="s">
        <v>2182</v>
      </c>
      <c r="E71" s="2" t="s">
        <v>2183</v>
      </c>
      <c r="H71" s="408">
        <v>0</v>
      </c>
      <c r="I71" s="408">
        <v>0</v>
      </c>
      <c r="J71" s="408">
        <f t="shared" si="33"/>
        <v>0</v>
      </c>
      <c r="K71" s="2"/>
      <c r="L71" s="408">
        <v>0</v>
      </c>
      <c r="M71" s="408">
        <v>0</v>
      </c>
      <c r="N71" s="408">
        <f t="shared" si="34"/>
        <v>0</v>
      </c>
      <c r="O71" s="2"/>
      <c r="P71" s="408">
        <v>0</v>
      </c>
      <c r="Q71" s="408">
        <v>0</v>
      </c>
      <c r="R71" s="408">
        <f t="shared" si="35"/>
        <v>0</v>
      </c>
    </row>
    <row r="72" spans="1:18">
      <c r="A72" s="2">
        <f t="shared" si="22"/>
        <v>57</v>
      </c>
      <c r="B72" s="2"/>
      <c r="D72" t="s">
        <v>2184</v>
      </c>
      <c r="E72" s="2" t="s">
        <v>2185</v>
      </c>
      <c r="H72" s="408">
        <v>249480</v>
      </c>
      <c r="I72" s="408">
        <v>3181275.3275757576</v>
      </c>
      <c r="J72" s="408">
        <f t="shared" si="33"/>
        <v>3430755.3275757576</v>
      </c>
      <c r="K72" s="2"/>
      <c r="L72" s="408">
        <v>259459.20000000001</v>
      </c>
      <c r="M72" s="408">
        <v>1466424.3878787877</v>
      </c>
      <c r="N72" s="408">
        <f t="shared" si="34"/>
        <v>1725883.5878787877</v>
      </c>
      <c r="O72" s="2"/>
      <c r="P72" s="408">
        <v>269837.56800000003</v>
      </c>
      <c r="Q72" s="408">
        <v>1317081.3633939396</v>
      </c>
      <c r="R72" s="408">
        <f t="shared" si="35"/>
        <v>1586918.9313939395</v>
      </c>
    </row>
    <row r="73" spans="1:18">
      <c r="A73" s="2">
        <f t="shared" si="22"/>
        <v>58</v>
      </c>
      <c r="B73" s="2"/>
      <c r="D73" t="s">
        <v>2186</v>
      </c>
      <c r="E73" s="2" t="s">
        <v>2187</v>
      </c>
      <c r="H73" s="408">
        <v>0</v>
      </c>
      <c r="I73" s="408">
        <v>0</v>
      </c>
      <c r="J73" s="408">
        <f t="shared" si="33"/>
        <v>0</v>
      </c>
      <c r="K73" s="2"/>
      <c r="L73" s="408">
        <v>0</v>
      </c>
      <c r="M73" s="408">
        <v>0</v>
      </c>
      <c r="N73" s="408">
        <f t="shared" si="34"/>
        <v>0</v>
      </c>
      <c r="O73" s="2"/>
      <c r="P73" s="408">
        <v>0</v>
      </c>
      <c r="Q73" s="408">
        <v>0</v>
      </c>
      <c r="R73" s="408">
        <f t="shared" si="35"/>
        <v>0</v>
      </c>
    </row>
    <row r="74" spans="1:18">
      <c r="A74" s="2">
        <f t="shared" si="22"/>
        <v>59</v>
      </c>
      <c r="B74" s="2"/>
      <c r="D74" t="s">
        <v>2188</v>
      </c>
      <c r="E74" s="2" t="s">
        <v>2189</v>
      </c>
      <c r="H74" s="408">
        <v>11067000</v>
      </c>
      <c r="I74" s="408">
        <v>9631860.2781520393</v>
      </c>
      <c r="J74" s="408">
        <f t="shared" si="33"/>
        <v>20698860.278152041</v>
      </c>
      <c r="K74" s="2"/>
      <c r="L74" s="408">
        <v>9000000</v>
      </c>
      <c r="M74" s="408">
        <v>13460520.919154722</v>
      </c>
      <c r="N74" s="408">
        <f t="shared" si="34"/>
        <v>22460520.919154722</v>
      </c>
      <c r="O74" s="2"/>
      <c r="P74" s="408">
        <v>4500000</v>
      </c>
      <c r="Q74" s="408">
        <v>19696424.808942482</v>
      </c>
      <c r="R74" s="408">
        <f t="shared" si="35"/>
        <v>24196424.808942482</v>
      </c>
    </row>
    <row r="75" spans="1:18">
      <c r="A75" s="2">
        <f t="shared" si="22"/>
        <v>60</v>
      </c>
      <c r="B75" s="2"/>
      <c r="D75" t="s">
        <v>2190</v>
      </c>
      <c r="E75" s="2" t="s">
        <v>2191</v>
      </c>
      <c r="H75" s="408">
        <v>35120478.085522622</v>
      </c>
      <c r="I75" s="408">
        <v>0</v>
      </c>
      <c r="J75" s="408">
        <f t="shared" si="33"/>
        <v>35120478.085522622</v>
      </c>
      <c r="K75" s="2"/>
      <c r="L75" s="408">
        <v>76755858.320989996</v>
      </c>
      <c r="M75" s="408">
        <v>0</v>
      </c>
      <c r="N75" s="408">
        <f t="shared" si="34"/>
        <v>76755858.320989996</v>
      </c>
      <c r="O75" s="2"/>
      <c r="P75" s="408">
        <v>85790164.519999996</v>
      </c>
      <c r="Q75" s="408">
        <v>0</v>
      </c>
      <c r="R75" s="408">
        <f t="shared" si="35"/>
        <v>85790164.519999996</v>
      </c>
    </row>
    <row r="76" spans="1:18">
      <c r="A76" s="2"/>
      <c r="B76" s="2"/>
      <c r="D76"/>
      <c r="H76" s="364"/>
      <c r="I76" s="364"/>
      <c r="J76" s="364"/>
      <c r="K76" s="2"/>
      <c r="L76" s="364"/>
      <c r="M76" s="364"/>
      <c r="N76" s="364"/>
      <c r="O76" s="2"/>
      <c r="P76" s="364"/>
      <c r="Q76" s="364"/>
      <c r="R76" s="364"/>
    </row>
    <row r="77" spans="1:18">
      <c r="A77" s="2"/>
      <c r="B77" s="2"/>
      <c r="C77" s="705" t="s">
        <v>262</v>
      </c>
      <c r="D77" s="63"/>
      <c r="E77" s="63"/>
      <c r="F77" s="706"/>
      <c r="G77" s="706"/>
      <c r="H77" s="724">
        <f>SUM(H78:H88)</f>
        <v>6157929.9995999997</v>
      </c>
      <c r="I77" s="724">
        <f>SUM(I78:I88)</f>
        <v>51328185.174179405</v>
      </c>
      <c r="J77" s="724">
        <f>SUM(J78:J88)</f>
        <v>57486115.173779406</v>
      </c>
      <c r="K77" s="2"/>
      <c r="L77" s="724">
        <f>SUM(L78:L88)</f>
        <v>16313544</v>
      </c>
      <c r="M77" s="724">
        <f>SUM(M78:M88)</f>
        <v>46039436.969696961</v>
      </c>
      <c r="N77" s="724">
        <f>SUM(N78:N88)</f>
        <v>62352980.969696961</v>
      </c>
      <c r="O77" s="2"/>
      <c r="P77" s="724">
        <f>SUM(P78:P88)</f>
        <v>15565921.5</v>
      </c>
      <c r="Q77" s="724">
        <f>SUM(Q78:Q88)</f>
        <v>69035714.448484853</v>
      </c>
      <c r="R77" s="724">
        <f>SUM(R78:R88)</f>
        <v>84601635.948484853</v>
      </c>
    </row>
    <row r="78" spans="1:18">
      <c r="A78" s="2">
        <f>A75+1</f>
        <v>61</v>
      </c>
      <c r="B78" s="2"/>
      <c r="D78" t="s">
        <v>2192</v>
      </c>
      <c r="E78" s="2" t="s">
        <v>2193</v>
      </c>
      <c r="H78" s="408">
        <v>0</v>
      </c>
      <c r="I78" s="408">
        <v>0</v>
      </c>
      <c r="J78" s="408">
        <f t="shared" ref="J78:J91" si="36">H78+I78</f>
        <v>0</v>
      </c>
      <c r="K78" s="2"/>
      <c r="L78" s="408">
        <v>0</v>
      </c>
      <c r="M78" s="408">
        <v>0</v>
      </c>
      <c r="N78" s="408">
        <f t="shared" ref="N78:N91" si="37">L78+M78</f>
        <v>0</v>
      </c>
      <c r="O78" s="2"/>
      <c r="P78" s="408">
        <v>0</v>
      </c>
      <c r="Q78" s="408">
        <v>0</v>
      </c>
      <c r="R78" s="408">
        <f t="shared" ref="R78:R91" si="38">P78+Q78</f>
        <v>0</v>
      </c>
    </row>
    <row r="79" spans="1:18">
      <c r="A79" s="2">
        <f>A78+1</f>
        <v>62</v>
      </c>
      <c r="B79" s="2"/>
      <c r="D79" t="s">
        <v>2194</v>
      </c>
      <c r="E79" s="2" t="s">
        <v>2195</v>
      </c>
      <c r="H79" s="408">
        <v>5846664</v>
      </c>
      <c r="I79" s="408">
        <v>18085240.24288445</v>
      </c>
      <c r="J79" s="408">
        <f t="shared" si="36"/>
        <v>23931904.24288445</v>
      </c>
      <c r="K79" s="2"/>
      <c r="L79" s="408">
        <v>16299144</v>
      </c>
      <c r="M79" s="408">
        <v>20896446.222222216</v>
      </c>
      <c r="N79" s="408">
        <f t="shared" si="37"/>
        <v>37195590.222222216</v>
      </c>
      <c r="O79" s="2"/>
      <c r="P79" s="408">
        <v>9205394</v>
      </c>
      <c r="Q79" s="408">
        <v>18664304.071111113</v>
      </c>
      <c r="R79" s="408">
        <f t="shared" si="38"/>
        <v>27869698.071111113</v>
      </c>
    </row>
    <row r="80" spans="1:18">
      <c r="A80" s="2">
        <f>A78+1</f>
        <v>62</v>
      </c>
      <c r="B80" s="2"/>
      <c r="D80" t="s">
        <v>2196</v>
      </c>
      <c r="E80" s="2" t="s">
        <v>2197</v>
      </c>
      <c r="H80" s="408">
        <v>0</v>
      </c>
      <c r="I80" s="408">
        <v>0</v>
      </c>
      <c r="J80" s="408">
        <f t="shared" si="36"/>
        <v>0</v>
      </c>
      <c r="K80" s="2"/>
      <c r="L80" s="408">
        <v>0</v>
      </c>
      <c r="M80" s="408">
        <v>0</v>
      </c>
      <c r="N80" s="408">
        <f t="shared" si="37"/>
        <v>0</v>
      </c>
      <c r="O80" s="2"/>
      <c r="P80" s="408">
        <v>0</v>
      </c>
      <c r="Q80" s="408">
        <v>0</v>
      </c>
      <c r="R80" s="408">
        <f t="shared" si="38"/>
        <v>0</v>
      </c>
    </row>
    <row r="81" spans="1:18">
      <c r="A81" s="2">
        <f t="shared" ref="A81:A88" si="39">A79+1</f>
        <v>63</v>
      </c>
      <c r="B81" s="2"/>
      <c r="D81" t="s">
        <v>2198</v>
      </c>
      <c r="E81" s="2" t="s">
        <v>2199</v>
      </c>
      <c r="H81" s="408">
        <v>0</v>
      </c>
      <c r="I81" s="408">
        <v>0</v>
      </c>
      <c r="J81" s="408">
        <f t="shared" si="36"/>
        <v>0</v>
      </c>
      <c r="K81" s="2"/>
      <c r="L81" s="408">
        <v>0</v>
      </c>
      <c r="M81" s="408">
        <v>0</v>
      </c>
      <c r="N81" s="408">
        <f t="shared" si="37"/>
        <v>0</v>
      </c>
      <c r="O81" s="2"/>
      <c r="P81" s="408">
        <v>0</v>
      </c>
      <c r="Q81" s="408">
        <v>0</v>
      </c>
      <c r="R81" s="408">
        <f t="shared" si="38"/>
        <v>0</v>
      </c>
    </row>
    <row r="82" spans="1:18">
      <c r="A82" s="2">
        <f t="shared" si="39"/>
        <v>63</v>
      </c>
      <c r="B82" s="2"/>
      <c r="D82" t="s">
        <v>2200</v>
      </c>
      <c r="E82" s="2" t="s">
        <v>2201</v>
      </c>
      <c r="H82" s="408">
        <v>0</v>
      </c>
      <c r="I82" s="408">
        <v>7758022.222222222</v>
      </c>
      <c r="J82" s="408">
        <f t="shared" si="36"/>
        <v>7758022.222222222</v>
      </c>
      <c r="K82" s="2"/>
      <c r="L82" s="408">
        <v>0</v>
      </c>
      <c r="M82" s="408">
        <v>6685723.1111111119</v>
      </c>
      <c r="N82" s="408">
        <f t="shared" si="37"/>
        <v>6685723.1111111119</v>
      </c>
      <c r="O82" s="2"/>
      <c r="P82" s="408">
        <v>0</v>
      </c>
      <c r="Q82" s="408">
        <v>4704652.0355555564</v>
      </c>
      <c r="R82" s="408">
        <f t="shared" si="38"/>
        <v>4704652.0355555564</v>
      </c>
    </row>
    <row r="83" spans="1:18">
      <c r="A83" s="2">
        <f t="shared" si="39"/>
        <v>64</v>
      </c>
      <c r="B83" s="2"/>
      <c r="D83" t="s">
        <v>2202</v>
      </c>
      <c r="E83" s="2" t="s">
        <v>2203</v>
      </c>
      <c r="H83" s="408">
        <v>0</v>
      </c>
      <c r="I83" s="408">
        <v>0</v>
      </c>
      <c r="J83" s="408">
        <f t="shared" si="36"/>
        <v>0</v>
      </c>
      <c r="K83" s="2"/>
      <c r="L83" s="408">
        <v>0</v>
      </c>
      <c r="M83" s="408">
        <v>0</v>
      </c>
      <c r="N83" s="408">
        <f t="shared" si="37"/>
        <v>0</v>
      </c>
      <c r="O83" s="2"/>
      <c r="P83" s="408">
        <v>0</v>
      </c>
      <c r="Q83" s="408">
        <v>0</v>
      </c>
      <c r="R83" s="408">
        <f t="shared" si="38"/>
        <v>0</v>
      </c>
    </row>
    <row r="84" spans="1:18">
      <c r="A84" s="2">
        <f t="shared" si="39"/>
        <v>64</v>
      </c>
      <c r="D84" t="s">
        <v>2204</v>
      </c>
      <c r="E84" s="2" t="s">
        <v>2205</v>
      </c>
      <c r="H84" s="408">
        <v>0</v>
      </c>
      <c r="I84" s="408">
        <v>0</v>
      </c>
      <c r="J84" s="408">
        <f t="shared" si="36"/>
        <v>0</v>
      </c>
      <c r="K84" s="2"/>
      <c r="L84" s="408">
        <v>0</v>
      </c>
      <c r="M84" s="408">
        <v>0</v>
      </c>
      <c r="N84" s="408">
        <f t="shared" si="37"/>
        <v>0</v>
      </c>
      <c r="O84" s="2"/>
      <c r="P84" s="408">
        <v>0</v>
      </c>
      <c r="Q84" s="408">
        <v>0</v>
      </c>
      <c r="R84" s="408">
        <f t="shared" si="38"/>
        <v>0</v>
      </c>
    </row>
    <row r="85" spans="1:18">
      <c r="A85" s="2">
        <f t="shared" si="39"/>
        <v>65</v>
      </c>
      <c r="D85" t="s">
        <v>2206</v>
      </c>
      <c r="E85" s="2" t="s">
        <v>2207</v>
      </c>
      <c r="H85" s="408">
        <v>0</v>
      </c>
      <c r="I85" s="408">
        <v>16198606.060606061</v>
      </c>
      <c r="J85" s="408">
        <f t="shared" si="36"/>
        <v>16198606.060606061</v>
      </c>
      <c r="K85" s="2"/>
      <c r="L85" s="408">
        <v>0</v>
      </c>
      <c r="M85" s="408">
        <v>14072350.303030301</v>
      </c>
      <c r="N85" s="408">
        <f t="shared" si="37"/>
        <v>14072350.303030301</v>
      </c>
      <c r="O85" s="2"/>
      <c r="P85" s="408">
        <v>0</v>
      </c>
      <c r="Q85" s="408">
        <v>43397644.315151513</v>
      </c>
      <c r="R85" s="408">
        <f t="shared" si="38"/>
        <v>43397644.315151513</v>
      </c>
    </row>
    <row r="86" spans="1:18">
      <c r="A86" s="2">
        <f t="shared" si="39"/>
        <v>65</v>
      </c>
      <c r="D86" t="s">
        <v>2208</v>
      </c>
      <c r="E86" s="2" t="s">
        <v>2209</v>
      </c>
      <c r="H86" s="408">
        <v>0</v>
      </c>
      <c r="I86" s="408">
        <v>0</v>
      </c>
      <c r="J86" s="408">
        <f t="shared" si="36"/>
        <v>0</v>
      </c>
      <c r="K86" s="2"/>
      <c r="L86" s="408">
        <v>0</v>
      </c>
      <c r="M86" s="408">
        <v>0</v>
      </c>
      <c r="N86" s="408">
        <f t="shared" si="37"/>
        <v>0</v>
      </c>
      <c r="O86" s="2"/>
      <c r="P86" s="408">
        <v>0</v>
      </c>
      <c r="Q86" s="408">
        <v>0</v>
      </c>
      <c r="R86" s="408">
        <f t="shared" si="38"/>
        <v>0</v>
      </c>
    </row>
    <row r="87" spans="1:18">
      <c r="A87" s="2">
        <f t="shared" si="39"/>
        <v>66</v>
      </c>
      <c r="D87" t="s">
        <v>2210</v>
      </c>
      <c r="E87" s="2" t="s">
        <v>2211</v>
      </c>
      <c r="H87" s="408">
        <v>311265.99959999998</v>
      </c>
      <c r="I87" s="408">
        <v>3196316.6484666667</v>
      </c>
      <c r="J87" s="408">
        <f t="shared" si="36"/>
        <v>3507582.6480666669</v>
      </c>
      <c r="K87" s="2"/>
      <c r="L87" s="408">
        <v>14400</v>
      </c>
      <c r="M87" s="408">
        <v>354917.33333333337</v>
      </c>
      <c r="N87" s="408">
        <f t="shared" si="37"/>
        <v>369317.33333333337</v>
      </c>
      <c r="O87" s="2"/>
      <c r="P87" s="408">
        <v>6360527.5</v>
      </c>
      <c r="Q87" s="408">
        <v>369114.02666666667</v>
      </c>
      <c r="R87" s="408">
        <f t="shared" si="38"/>
        <v>6729641.5266666664</v>
      </c>
    </row>
    <row r="88" spans="1:18">
      <c r="A88" s="2">
        <f t="shared" si="39"/>
        <v>66</v>
      </c>
      <c r="B88" s="2"/>
      <c r="D88" t="s">
        <v>2212</v>
      </c>
      <c r="E88" s="2" t="s">
        <v>2213</v>
      </c>
      <c r="H88" s="408">
        <v>0</v>
      </c>
      <c r="I88" s="408">
        <v>6090000</v>
      </c>
      <c r="J88" s="408">
        <f t="shared" si="36"/>
        <v>6090000</v>
      </c>
      <c r="K88" s="2"/>
      <c r="L88" s="408">
        <v>0</v>
      </c>
      <c r="M88" s="408">
        <v>4030000</v>
      </c>
      <c r="N88" s="408">
        <f t="shared" si="37"/>
        <v>4030000</v>
      </c>
      <c r="O88" s="2"/>
      <c r="P88" s="408">
        <v>0</v>
      </c>
      <c r="Q88" s="408">
        <v>1900000</v>
      </c>
      <c r="R88" s="408">
        <f t="shared" si="38"/>
        <v>1900000</v>
      </c>
    </row>
    <row r="89" spans="1:18">
      <c r="A89" s="2"/>
      <c r="B89" s="2"/>
      <c r="D89"/>
      <c r="E89"/>
    </row>
    <row r="90" spans="1:18">
      <c r="A90" s="2">
        <f>A88+1</f>
        <v>67</v>
      </c>
      <c r="B90" s="2"/>
      <c r="C90" s="705" t="s">
        <v>258</v>
      </c>
      <c r="D90" s="63"/>
      <c r="E90" s="63"/>
      <c r="F90" s="706"/>
      <c r="G90" s="706"/>
      <c r="H90" s="724">
        <f>H91</f>
        <v>261426861.99270457</v>
      </c>
      <c r="I90" s="724">
        <f t="shared" ref="I90:R90" si="40">I91</f>
        <v>38565069.597069591</v>
      </c>
      <c r="J90" s="724">
        <f t="shared" si="40"/>
        <v>299991931.58977413</v>
      </c>
      <c r="K90" s="2"/>
      <c r="L90" s="724">
        <f t="shared" si="40"/>
        <v>434668515.02373672</v>
      </c>
      <c r="M90" s="724">
        <f t="shared" si="40"/>
        <v>59471982.380952381</v>
      </c>
      <c r="N90" s="724">
        <f t="shared" si="40"/>
        <v>494140497.40468907</v>
      </c>
      <c r="O90" s="2"/>
      <c r="P90" s="724">
        <f t="shared" si="40"/>
        <v>280072671.2699998</v>
      </c>
      <c r="Q90" s="724">
        <f t="shared" si="40"/>
        <v>63128897.676190473</v>
      </c>
      <c r="R90" s="724">
        <f t="shared" si="40"/>
        <v>343201568.9461903</v>
      </c>
    </row>
    <row r="91" spans="1:18">
      <c r="A91" s="2">
        <f t="shared" si="22"/>
        <v>68</v>
      </c>
      <c r="B91" s="2"/>
      <c r="D91" t="s">
        <v>2214</v>
      </c>
      <c r="H91" s="408">
        <v>261426861.99270457</v>
      </c>
      <c r="I91" s="408">
        <v>38565069.597069591</v>
      </c>
      <c r="J91" s="408">
        <f t="shared" si="36"/>
        <v>299991931.58977413</v>
      </c>
      <c r="K91" s="2"/>
      <c r="L91" s="408">
        <v>434668515.02373672</v>
      </c>
      <c r="M91" s="408">
        <v>59471982.380952381</v>
      </c>
      <c r="N91" s="408">
        <f t="shared" si="37"/>
        <v>494140497.40468907</v>
      </c>
      <c r="O91" s="2"/>
      <c r="P91" s="408">
        <v>280072671.2699998</v>
      </c>
      <c r="Q91" s="408">
        <v>63128897.676190473</v>
      </c>
      <c r="R91" s="408">
        <f t="shared" si="38"/>
        <v>343201568.9461903</v>
      </c>
    </row>
    <row r="92" spans="1:18">
      <c r="A92" s="2"/>
      <c r="D92"/>
      <c r="H92" s="364"/>
      <c r="I92" s="364"/>
      <c r="J92" s="364"/>
      <c r="K92" s="2"/>
      <c r="L92" s="364"/>
      <c r="M92" s="364"/>
      <c r="N92" s="364"/>
      <c r="O92" s="2"/>
      <c r="P92" s="364"/>
      <c r="Q92" s="364"/>
      <c r="R92" s="364"/>
    </row>
    <row r="93" spans="1:18">
      <c r="A93" s="2">
        <f>A91+1</f>
        <v>69</v>
      </c>
      <c r="B93" s="2"/>
      <c r="C93" s="710" t="s">
        <v>656</v>
      </c>
      <c r="D93" s="63"/>
      <c r="E93" s="63"/>
      <c r="F93" s="706"/>
      <c r="G93" s="706"/>
      <c r="H93" s="724">
        <f>H6+H18+H39+H45+H52+H57+H63+H77+H90+H36</f>
        <v>1795182547.2063231</v>
      </c>
      <c r="I93" s="724">
        <f>I6+I18+I39+I45+I52+I57+I63+I77+I90+I36</f>
        <v>933333655.90243268</v>
      </c>
      <c r="J93" s="724">
        <f>J6+J18+J39+J45+J52+J57+J63+J77+J90+J36</f>
        <v>2728516203.1087561</v>
      </c>
      <c r="K93" s="2"/>
      <c r="L93" s="724">
        <f>L6+L18+L39+L45+L52+L57+L63+L77+L90+L36</f>
        <v>2490151012.8661623</v>
      </c>
      <c r="M93" s="724">
        <f>M6+M18+M39+M45+M52+M57+M63+M77+M90+M36</f>
        <v>1115308341.3635294</v>
      </c>
      <c r="N93" s="724">
        <f>N6+N18+N39+N45+N52+N57+N63+N77+N90+N36</f>
        <v>3605459354.2296915</v>
      </c>
      <c r="O93" s="2"/>
      <c r="P93" s="724">
        <f>P6+P18+P39+P45+P52+P57+P63+P77+P90+P36</f>
        <v>2302590943.686079</v>
      </c>
      <c r="Q93" s="724">
        <f>Q6+Q18+Q39+Q45+Q52+Q57+Q63+Q77+Q90+Q36</f>
        <v>1270516525.2706497</v>
      </c>
      <c r="R93" s="724">
        <f>R6+R18+R39+R45+R52+R57+R63+R77+R90+R36</f>
        <v>3573107468.9567285</v>
      </c>
    </row>
    <row r="94" spans="1:18">
      <c r="K94" s="2"/>
      <c r="O94" s="2"/>
    </row>
    <row r="95" spans="1:18">
      <c r="H95" s="364"/>
      <c r="I95" s="364"/>
      <c r="L95" s="364"/>
      <c r="M95" s="364"/>
      <c r="P95" s="364"/>
      <c r="Q95" s="364"/>
    </row>
    <row r="96" spans="1:18">
      <c r="H96" s="364"/>
      <c r="I96" s="364"/>
      <c r="J96" s="364"/>
      <c r="L96" s="364"/>
      <c r="M96" s="364"/>
      <c r="N96" s="364"/>
      <c r="P96" s="364"/>
      <c r="Q96" s="364"/>
      <c r="R96" s="364"/>
    </row>
    <row r="97" spans="8:17">
      <c r="H97" s="364"/>
      <c r="I97" s="364"/>
      <c r="J97" s="364"/>
      <c r="K97" s="364"/>
      <c r="L97" s="364"/>
      <c r="M97" s="364"/>
      <c r="N97" s="364"/>
      <c r="O97" s="364"/>
      <c r="P97" s="364"/>
      <c r="Q97" s="364"/>
    </row>
    <row r="98" spans="8:17">
      <c r="H98" s="364"/>
      <c r="L98" s="364"/>
      <c r="P98" s="364"/>
    </row>
    <row r="99" spans="8:17">
      <c r="H99" s="742"/>
      <c r="L99" s="390"/>
      <c r="P99" s="390"/>
    </row>
    <row r="100" spans="8:17">
      <c r="H100" s="390"/>
      <c r="L100" s="390"/>
      <c r="P100" s="390"/>
    </row>
  </sheetData>
  <mergeCells count="3">
    <mergeCell ref="H2:J2"/>
    <mergeCell ref="L2:N2"/>
    <mergeCell ref="P2:R2"/>
  </mergeCells>
  <pageMargins left="0.7" right="0.7" top="0.75" bottom="0.75" header="0.3" footer="0.3"/>
  <pageSetup scale="45" fitToHeight="0" orientation="portrait" horizontalDpi="1200" verticalDpi="1200" r:id="rId1"/>
  <headerFooter>
    <oddHeader>&amp;LPuerto Rico Electric Power Authority 
Docket NEPR-AP-2023-0003
Projected Construction and Decommissioning Capital Expenditure
&amp;RSchedule D-1 Optimal
Page &amp;P of &amp;N</oddHeader>
  </headerFooter>
  <colBreaks count="2" manualBreakCount="2">
    <brk id="10" max="92" man="1"/>
    <brk id="14"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E23FF-BF15-49CF-8A2A-9AA8EAF40375}">
  <sheetPr>
    <tabColor theme="9" tint="0.79998168889431442"/>
  </sheetPr>
  <dimension ref="A2:R283"/>
  <sheetViews>
    <sheetView workbookViewId="0"/>
    <sheetView workbookViewId="1"/>
    <sheetView workbookViewId="2"/>
  </sheetViews>
  <sheetFormatPr defaultColWidth="8.5703125" defaultRowHeight="15"/>
  <cols>
    <col min="1" max="2" width="5.5703125" customWidth="1"/>
    <col min="3" max="3" width="26" bestFit="1" customWidth="1"/>
    <col min="4" max="4" width="37.42578125" style="61" customWidth="1"/>
    <col min="5" max="5" width="8.85546875" style="2" hidden="1" customWidth="1"/>
    <col min="6" max="7" width="5.5703125" customWidth="1"/>
    <col min="8" max="10" width="20.5703125" customWidth="1"/>
    <col min="11" max="11" width="5.5703125" customWidth="1"/>
    <col min="12" max="14" width="20.5703125" customWidth="1"/>
    <col min="15" max="15" width="5.5703125" customWidth="1"/>
    <col min="16" max="18" width="20.5703125" customWidth="1"/>
  </cols>
  <sheetData>
    <row r="2" spans="1:18">
      <c r="D2"/>
      <c r="H2" s="1206" t="s">
        <v>393</v>
      </c>
      <c r="I2" s="1206"/>
      <c r="J2" s="1206"/>
      <c r="L2" s="1206" t="s">
        <v>394</v>
      </c>
      <c r="M2" s="1206"/>
      <c r="N2" s="1206"/>
      <c r="P2" s="1206" t="s">
        <v>395</v>
      </c>
      <c r="Q2" s="1206"/>
      <c r="R2" s="1206"/>
    </row>
    <row r="3" spans="1:18" s="2" customFormat="1" ht="30">
      <c r="A3" s="58" t="s">
        <v>242</v>
      </c>
      <c r="C3" s="58" t="s">
        <v>2080</v>
      </c>
      <c r="D3" s="58" t="s">
        <v>2081</v>
      </c>
      <c r="E3" s="58" t="s">
        <v>2082</v>
      </c>
      <c r="H3" s="58" t="s">
        <v>2083</v>
      </c>
      <c r="I3" s="58" t="s">
        <v>2084</v>
      </c>
      <c r="J3" s="58" t="s">
        <v>656</v>
      </c>
      <c r="L3" s="58" t="s">
        <v>2085</v>
      </c>
      <c r="M3" s="58" t="s">
        <v>2086</v>
      </c>
      <c r="N3" s="58" t="s">
        <v>656</v>
      </c>
      <c r="P3" s="58" t="s">
        <v>2087</v>
      </c>
      <c r="Q3" s="58" t="s">
        <v>2088</v>
      </c>
      <c r="R3" s="58" t="s">
        <v>656</v>
      </c>
    </row>
    <row r="4" spans="1:18">
      <c r="A4" s="59"/>
      <c r="B4" s="2"/>
      <c r="C4" s="59"/>
      <c r="D4" s="59"/>
      <c r="E4" s="59"/>
      <c r="H4" s="59" t="s">
        <v>2089</v>
      </c>
      <c r="I4" s="59" t="s">
        <v>550</v>
      </c>
      <c r="J4" s="59" t="s">
        <v>552</v>
      </c>
      <c r="L4" s="59" t="s">
        <v>554</v>
      </c>
      <c r="M4" s="59" t="s">
        <v>555</v>
      </c>
      <c r="N4" s="59" t="s">
        <v>2090</v>
      </c>
      <c r="P4" s="59" t="s">
        <v>2091</v>
      </c>
      <c r="Q4" s="59" t="s">
        <v>559</v>
      </c>
      <c r="R4" s="59" t="s">
        <v>561</v>
      </c>
    </row>
    <row r="5" spans="1:18">
      <c r="A5" s="59"/>
      <c r="B5" s="2"/>
      <c r="C5" s="59"/>
      <c r="D5" s="59"/>
      <c r="E5" s="59"/>
      <c r="H5" s="59"/>
      <c r="I5" s="59"/>
      <c r="J5" s="59"/>
      <c r="L5" s="59"/>
      <c r="M5" s="59"/>
      <c r="N5" s="59"/>
      <c r="P5" s="59"/>
      <c r="Q5" s="59"/>
      <c r="R5" s="59"/>
    </row>
    <row r="6" spans="1:18" s="713" customFormat="1">
      <c r="A6" s="711"/>
      <c r="B6" s="711"/>
      <c r="C6" s="727" t="s">
        <v>2215</v>
      </c>
      <c r="D6" s="728"/>
      <c r="E6" s="729"/>
      <c r="F6" s="730"/>
      <c r="G6" s="730"/>
      <c r="H6" s="731">
        <f>SUM(H7:H269)</f>
        <v>632365965.34263706</v>
      </c>
      <c r="I6" s="731">
        <f>SUM(I7:I269)</f>
        <v>290965353</v>
      </c>
      <c r="J6" s="731">
        <f>SUM(J7:J269)</f>
        <v>923331318.34263706</v>
      </c>
      <c r="K6" s="730"/>
      <c r="L6" s="731">
        <f>SUM(L7:L269)</f>
        <v>396533052.26478565</v>
      </c>
      <c r="M6" s="731">
        <f>SUM(M7:M269)</f>
        <v>292183945.82999998</v>
      </c>
      <c r="N6" s="731">
        <f>SUM(N7:N269)</f>
        <v>688716998.09478569</v>
      </c>
      <c r="O6" s="731"/>
      <c r="P6" s="731">
        <f>SUM(P7:P270)</f>
        <v>135613505.94726786</v>
      </c>
      <c r="Q6" s="731">
        <f>SUM(Q7:Q270)</f>
        <v>277698776</v>
      </c>
      <c r="R6" s="731">
        <f>SUM(R7:R270)</f>
        <v>413312281.94726789</v>
      </c>
    </row>
    <row r="7" spans="1:18" s="713" customFormat="1" ht="30">
      <c r="A7" s="711">
        <v>1</v>
      </c>
      <c r="B7" s="711"/>
      <c r="C7" s="711"/>
      <c r="D7" s="712" t="s">
        <v>2216</v>
      </c>
      <c r="E7" s="711"/>
      <c r="H7" s="408">
        <v>394424</v>
      </c>
      <c r="I7" s="408">
        <v>0</v>
      </c>
      <c r="J7" s="732">
        <v>394424</v>
      </c>
      <c r="K7" s="733"/>
      <c r="L7" s="408">
        <v>0</v>
      </c>
      <c r="M7" s="408">
        <v>0</v>
      </c>
      <c r="N7" s="732">
        <v>0</v>
      </c>
      <c r="O7" s="734"/>
      <c r="P7" s="408">
        <v>0</v>
      </c>
      <c r="Q7" s="408">
        <v>0</v>
      </c>
      <c r="R7" s="732">
        <v>0</v>
      </c>
    </row>
    <row r="8" spans="1:18" s="713" customFormat="1" ht="30">
      <c r="A8" s="711">
        <v>2</v>
      </c>
      <c r="B8" s="711"/>
      <c r="C8" s="711"/>
      <c r="D8" s="712" t="s">
        <v>2217</v>
      </c>
      <c r="E8" s="711"/>
      <c r="H8" s="408">
        <v>3161096</v>
      </c>
      <c r="I8" s="408">
        <v>0</v>
      </c>
      <c r="J8" s="732">
        <v>3161096</v>
      </c>
      <c r="K8" s="733"/>
      <c r="L8" s="408">
        <v>1725250</v>
      </c>
      <c r="M8" s="408">
        <v>0</v>
      </c>
      <c r="N8" s="732">
        <v>1725250</v>
      </c>
      <c r="O8" s="734"/>
      <c r="P8" s="408">
        <v>218190</v>
      </c>
      <c r="Q8" s="408">
        <v>0</v>
      </c>
      <c r="R8" s="732">
        <v>218190</v>
      </c>
    </row>
    <row r="9" spans="1:18" s="713" customFormat="1">
      <c r="A9" s="711">
        <v>3</v>
      </c>
      <c r="B9" s="711"/>
      <c r="C9" s="711"/>
      <c r="D9" s="712" t="s">
        <v>2218</v>
      </c>
      <c r="E9" s="711"/>
      <c r="H9" s="408">
        <v>0</v>
      </c>
      <c r="I9" s="408">
        <v>2749585</v>
      </c>
      <c r="J9" s="732">
        <v>2749585</v>
      </c>
      <c r="K9" s="733"/>
      <c r="L9" s="408">
        <v>0</v>
      </c>
      <c r="M9" s="408">
        <v>0</v>
      </c>
      <c r="N9" s="732">
        <v>0</v>
      </c>
      <c r="O9" s="734"/>
      <c r="P9" s="408">
        <v>0</v>
      </c>
      <c r="Q9" s="408">
        <v>0</v>
      </c>
      <c r="R9" s="732">
        <v>0</v>
      </c>
    </row>
    <row r="10" spans="1:18" s="713" customFormat="1">
      <c r="A10" s="711">
        <v>4</v>
      </c>
      <c r="B10" s="711"/>
      <c r="C10" s="711"/>
      <c r="D10" s="712" t="s">
        <v>2219</v>
      </c>
      <c r="E10" s="711"/>
      <c r="H10" s="408">
        <v>0</v>
      </c>
      <c r="I10" s="408">
        <v>2581430</v>
      </c>
      <c r="J10" s="732">
        <v>2581430</v>
      </c>
      <c r="K10" s="733"/>
      <c r="L10" s="408">
        <v>0</v>
      </c>
      <c r="M10" s="408">
        <v>0</v>
      </c>
      <c r="N10" s="732">
        <v>0</v>
      </c>
      <c r="O10" s="734"/>
      <c r="P10" s="408">
        <v>0</v>
      </c>
      <c r="Q10" s="408">
        <v>0</v>
      </c>
      <c r="R10" s="732">
        <v>0</v>
      </c>
    </row>
    <row r="11" spans="1:18" s="713" customFormat="1">
      <c r="A11" s="711">
        <v>5</v>
      </c>
      <c r="B11" s="711"/>
      <c r="C11" s="711"/>
      <c r="D11" s="712" t="s">
        <v>2220</v>
      </c>
      <c r="E11" s="711"/>
      <c r="H11" s="408">
        <v>0</v>
      </c>
      <c r="I11" s="408">
        <v>2339715</v>
      </c>
      <c r="J11" s="732">
        <v>2339715</v>
      </c>
      <c r="K11" s="733"/>
      <c r="L11" s="408">
        <v>0</v>
      </c>
      <c r="M11" s="408">
        <v>0</v>
      </c>
      <c r="N11" s="732">
        <v>0</v>
      </c>
      <c r="O11" s="734"/>
      <c r="P11" s="408">
        <v>0</v>
      </c>
      <c r="Q11" s="408">
        <v>0</v>
      </c>
      <c r="R11" s="732">
        <v>0</v>
      </c>
    </row>
    <row r="12" spans="1:18" s="713" customFormat="1">
      <c r="A12" s="711">
        <v>6</v>
      </c>
      <c r="B12" s="711"/>
      <c r="C12" s="711"/>
      <c r="D12" s="712" t="s">
        <v>2221</v>
      </c>
      <c r="E12" s="711"/>
      <c r="H12" s="408">
        <v>0</v>
      </c>
      <c r="I12" s="408">
        <v>2532954</v>
      </c>
      <c r="J12" s="732">
        <v>2532954</v>
      </c>
      <c r="K12" s="733"/>
      <c r="L12" s="408">
        <v>0</v>
      </c>
      <c r="M12" s="408">
        <v>0</v>
      </c>
      <c r="N12" s="732">
        <v>0</v>
      </c>
      <c r="O12" s="734"/>
      <c r="P12" s="408">
        <v>0</v>
      </c>
      <c r="Q12" s="408">
        <v>0</v>
      </c>
      <c r="R12" s="732">
        <v>0</v>
      </c>
    </row>
    <row r="13" spans="1:18" s="713" customFormat="1" ht="30">
      <c r="A13" s="711">
        <v>7</v>
      </c>
      <c r="B13" s="711"/>
      <c r="C13" s="711"/>
      <c r="D13" s="712" t="s">
        <v>2222</v>
      </c>
      <c r="E13" s="711"/>
      <c r="H13" s="408">
        <v>0</v>
      </c>
      <c r="I13" s="408">
        <v>2532774</v>
      </c>
      <c r="J13" s="732">
        <v>2532774</v>
      </c>
      <c r="K13" s="733"/>
      <c r="L13" s="408">
        <v>0</v>
      </c>
      <c r="M13" s="408">
        <v>1485345</v>
      </c>
      <c r="N13" s="732">
        <v>1485345</v>
      </c>
      <c r="O13" s="734"/>
      <c r="P13" s="408">
        <v>0</v>
      </c>
      <c r="Q13" s="408">
        <v>0</v>
      </c>
      <c r="R13" s="732">
        <v>0</v>
      </c>
    </row>
    <row r="14" spans="1:18" s="713" customFormat="1">
      <c r="A14" s="711">
        <v>8</v>
      </c>
      <c r="B14" s="711"/>
      <c r="C14" s="711"/>
      <c r="D14" s="712" t="s">
        <v>2223</v>
      </c>
      <c r="E14" s="711"/>
      <c r="H14" s="408">
        <v>0</v>
      </c>
      <c r="I14" s="408">
        <v>16500</v>
      </c>
      <c r="J14" s="732">
        <v>16500</v>
      </c>
      <c r="K14" s="733"/>
      <c r="L14" s="408">
        <v>0</v>
      </c>
      <c r="M14" s="408">
        <v>0</v>
      </c>
      <c r="N14" s="732">
        <v>0</v>
      </c>
      <c r="O14" s="734"/>
      <c r="P14" s="408">
        <v>0</v>
      </c>
      <c r="Q14" s="408">
        <v>0</v>
      </c>
      <c r="R14" s="732">
        <v>0</v>
      </c>
    </row>
    <row r="15" spans="1:18" s="713" customFormat="1" ht="60">
      <c r="A15" s="711">
        <v>9</v>
      </c>
      <c r="B15" s="711"/>
      <c r="C15" s="711"/>
      <c r="D15" s="735" t="s">
        <v>2224</v>
      </c>
      <c r="E15" s="711"/>
      <c r="H15" s="408">
        <v>261817658.06</v>
      </c>
      <c r="I15" s="408">
        <v>0</v>
      </c>
      <c r="J15" s="732">
        <v>261817658.06</v>
      </c>
      <c r="K15" s="733"/>
      <c r="L15" s="408">
        <v>295897424.27999997</v>
      </c>
      <c r="M15" s="408">
        <v>0</v>
      </c>
      <c r="N15" s="732">
        <v>295897424.27999997</v>
      </c>
      <c r="O15" s="734"/>
      <c r="P15" s="408">
        <v>60425457.990000002</v>
      </c>
      <c r="Q15" s="408">
        <v>0</v>
      </c>
      <c r="R15" s="732">
        <v>60425457.990000002</v>
      </c>
    </row>
    <row r="16" spans="1:18" s="713" customFormat="1">
      <c r="A16" s="711">
        <v>10</v>
      </c>
      <c r="B16" s="711"/>
      <c r="C16" s="711"/>
      <c r="D16" s="735" t="s">
        <v>2225</v>
      </c>
      <c r="E16" s="711"/>
      <c r="H16" s="408">
        <v>27048807.750000004</v>
      </c>
      <c r="I16" s="408">
        <v>0</v>
      </c>
      <c r="J16" s="732">
        <v>27048807.750000004</v>
      </c>
      <c r="K16" s="733"/>
      <c r="L16" s="408">
        <v>292361.99000000011</v>
      </c>
      <c r="M16" s="408">
        <v>0</v>
      </c>
      <c r="N16" s="732">
        <v>292361.99000000011</v>
      </c>
      <c r="O16" s="734"/>
      <c r="P16" s="408">
        <v>2562.0100000000002</v>
      </c>
      <c r="Q16" s="408">
        <v>0</v>
      </c>
      <c r="R16" s="732">
        <v>2562.0100000000002</v>
      </c>
    </row>
    <row r="17" spans="1:18" s="713" customFormat="1" ht="30">
      <c r="A17" s="711">
        <v>11</v>
      </c>
      <c r="B17" s="711"/>
      <c r="C17" s="711"/>
      <c r="D17" s="735" t="s">
        <v>2226</v>
      </c>
      <c r="E17" s="711"/>
      <c r="H17" s="408">
        <v>266433722.79999998</v>
      </c>
      <c r="I17" s="408">
        <v>0</v>
      </c>
      <c r="J17" s="732">
        <v>266433722.79999998</v>
      </c>
      <c r="K17" s="733"/>
      <c r="L17" s="408">
        <v>86298175.419999987</v>
      </c>
      <c r="M17" s="408">
        <v>0</v>
      </c>
      <c r="N17" s="732">
        <v>86298175.419999987</v>
      </c>
      <c r="O17" s="734"/>
      <c r="P17" s="408">
        <v>67556754.210000008</v>
      </c>
      <c r="Q17" s="408">
        <v>0</v>
      </c>
      <c r="R17" s="732">
        <v>67556754.210000008</v>
      </c>
    </row>
    <row r="18" spans="1:18" s="713" customFormat="1" ht="30">
      <c r="A18" s="711">
        <v>12</v>
      </c>
      <c r="B18" s="711"/>
      <c r="C18" s="711"/>
      <c r="D18" s="735" t="s">
        <v>2227</v>
      </c>
      <c r="E18" s="711"/>
      <c r="H18" s="408">
        <v>236250</v>
      </c>
      <c r="I18" s="408">
        <v>0</v>
      </c>
      <c r="J18" s="732">
        <v>236250</v>
      </c>
      <c r="K18" s="733"/>
      <c r="L18" s="408">
        <v>236250</v>
      </c>
      <c r="M18" s="408">
        <v>0</v>
      </c>
      <c r="N18" s="732">
        <v>236250</v>
      </c>
      <c r="O18" s="734"/>
      <c r="P18" s="408">
        <v>59062.5</v>
      </c>
      <c r="Q18" s="408">
        <v>0</v>
      </c>
      <c r="R18" s="732">
        <v>59062.5</v>
      </c>
    </row>
    <row r="19" spans="1:18" s="713" customFormat="1" ht="30">
      <c r="A19" s="711">
        <v>13</v>
      </c>
      <c r="B19" s="711"/>
      <c r="C19" s="711"/>
      <c r="D19" s="735" t="s">
        <v>2228</v>
      </c>
      <c r="E19" s="711"/>
      <c r="H19" s="408">
        <v>384090</v>
      </c>
      <c r="I19" s="408">
        <v>0</v>
      </c>
      <c r="J19" s="732">
        <v>384090</v>
      </c>
      <c r="K19" s="733"/>
      <c r="L19" s="408">
        <v>96022.5</v>
      </c>
      <c r="M19" s="408">
        <v>0</v>
      </c>
      <c r="N19" s="732">
        <v>96022.5</v>
      </c>
      <c r="O19" s="734"/>
      <c r="P19" s="408">
        <v>0</v>
      </c>
      <c r="Q19" s="408">
        <v>0</v>
      </c>
      <c r="R19" s="732">
        <v>0</v>
      </c>
    </row>
    <row r="20" spans="1:18" s="713" customFormat="1" ht="30">
      <c r="A20" s="711">
        <v>14</v>
      </c>
      <c r="B20" s="711"/>
      <c r="C20" s="711"/>
      <c r="D20" s="735" t="s">
        <v>2229</v>
      </c>
      <c r="E20" s="711"/>
      <c r="H20" s="408">
        <v>1579984.7428571428</v>
      </c>
      <c r="I20" s="408">
        <v>0</v>
      </c>
      <c r="J20" s="732">
        <v>1579984.7428571428</v>
      </c>
      <c r="K20" s="733"/>
      <c r="L20" s="408">
        <v>0</v>
      </c>
      <c r="M20" s="408">
        <v>0</v>
      </c>
      <c r="N20" s="732">
        <v>0</v>
      </c>
      <c r="O20" s="734"/>
      <c r="P20" s="408">
        <v>0</v>
      </c>
      <c r="Q20" s="408">
        <v>0</v>
      </c>
      <c r="R20" s="732">
        <v>0</v>
      </c>
    </row>
    <row r="21" spans="1:18" s="713" customFormat="1" ht="30">
      <c r="A21" s="711">
        <v>15</v>
      </c>
      <c r="B21" s="711"/>
      <c r="C21" s="711"/>
      <c r="D21" s="735" t="s">
        <v>2230</v>
      </c>
      <c r="E21" s="711"/>
      <c r="H21" s="408">
        <v>0</v>
      </c>
      <c r="I21" s="408">
        <v>0</v>
      </c>
      <c r="J21" s="732">
        <v>0</v>
      </c>
      <c r="K21" s="733"/>
      <c r="L21" s="408">
        <v>0</v>
      </c>
      <c r="M21" s="408">
        <v>0</v>
      </c>
      <c r="N21" s="732">
        <v>0</v>
      </c>
      <c r="O21" s="734"/>
      <c r="P21" s="408">
        <v>0</v>
      </c>
      <c r="Q21" s="408">
        <v>0</v>
      </c>
      <c r="R21" s="732">
        <v>0</v>
      </c>
    </row>
    <row r="22" spans="1:18" s="713" customFormat="1" ht="30">
      <c r="A22" s="711">
        <v>16</v>
      </c>
      <c r="B22" s="711"/>
      <c r="C22" s="711"/>
      <c r="D22" s="735" t="s">
        <v>2231</v>
      </c>
      <c r="E22" s="711"/>
      <c r="H22" s="408">
        <v>424675.5</v>
      </c>
      <c r="I22" s="408">
        <v>0</v>
      </c>
      <c r="J22" s="732">
        <v>424675.5</v>
      </c>
      <c r="K22" s="733"/>
      <c r="L22" s="408">
        <v>424675.5</v>
      </c>
      <c r="M22" s="408">
        <v>0</v>
      </c>
      <c r="N22" s="732">
        <v>424675.5</v>
      </c>
      <c r="O22" s="734"/>
      <c r="P22" s="408">
        <v>106168.875</v>
      </c>
      <c r="Q22" s="408">
        <v>0</v>
      </c>
      <c r="R22" s="732">
        <v>106168.875</v>
      </c>
    </row>
    <row r="23" spans="1:18" s="713" customFormat="1" ht="30">
      <c r="A23" s="711">
        <v>17</v>
      </c>
      <c r="B23" s="711"/>
      <c r="C23" s="711"/>
      <c r="D23" s="735" t="s">
        <v>2232</v>
      </c>
      <c r="E23" s="711"/>
      <c r="H23" s="408">
        <v>26833580.21407143</v>
      </c>
      <c r="I23" s="408">
        <v>0</v>
      </c>
      <c r="J23" s="732">
        <v>26833580.21407143</v>
      </c>
      <c r="K23" s="733"/>
      <c r="L23" s="408">
        <v>0</v>
      </c>
      <c r="M23" s="408">
        <v>0</v>
      </c>
      <c r="N23" s="732">
        <v>0</v>
      </c>
      <c r="O23" s="734"/>
      <c r="P23" s="408">
        <v>0</v>
      </c>
      <c r="Q23" s="408">
        <v>0</v>
      </c>
      <c r="R23" s="732">
        <v>0</v>
      </c>
    </row>
    <row r="24" spans="1:18" s="713" customFormat="1" ht="30">
      <c r="A24" s="711">
        <v>18</v>
      </c>
      <c r="B24" s="711"/>
      <c r="C24" s="711"/>
      <c r="D24" s="735" t="s">
        <v>2233</v>
      </c>
      <c r="E24" s="711"/>
      <c r="H24" s="408">
        <v>247428.54</v>
      </c>
      <c r="I24" s="408">
        <v>0</v>
      </c>
      <c r="J24" s="732">
        <v>247428.54</v>
      </c>
      <c r="K24" s="733"/>
      <c r="L24" s="408">
        <v>0</v>
      </c>
      <c r="M24" s="408">
        <v>0</v>
      </c>
      <c r="N24" s="732">
        <v>0</v>
      </c>
      <c r="O24" s="734"/>
      <c r="P24" s="408">
        <v>0</v>
      </c>
      <c r="Q24" s="408">
        <v>0</v>
      </c>
      <c r="R24" s="732">
        <v>0</v>
      </c>
    </row>
    <row r="25" spans="1:18" s="713" customFormat="1" ht="30">
      <c r="A25" s="711">
        <v>19</v>
      </c>
      <c r="B25" s="711"/>
      <c r="C25" s="711"/>
      <c r="D25" s="735" t="s">
        <v>2234</v>
      </c>
      <c r="E25" s="711"/>
      <c r="H25" s="408">
        <v>378372.63472222211</v>
      </c>
      <c r="I25" s="408">
        <v>0</v>
      </c>
      <c r="J25" s="732">
        <v>378372.63472222211</v>
      </c>
      <c r="K25" s="733"/>
      <c r="L25" s="408">
        <v>156150.41250000001</v>
      </c>
      <c r="M25" s="408">
        <v>0</v>
      </c>
      <c r="N25" s="732">
        <v>156150.41250000001</v>
      </c>
      <c r="O25" s="734"/>
      <c r="P25" s="408">
        <v>39037.603124999994</v>
      </c>
      <c r="Q25" s="408">
        <v>0</v>
      </c>
      <c r="R25" s="732">
        <v>39037.603124999994</v>
      </c>
    </row>
    <row r="26" spans="1:18" s="713" customFormat="1" ht="30">
      <c r="A26" s="711">
        <v>20</v>
      </c>
      <c r="B26" s="711"/>
      <c r="C26" s="711"/>
      <c r="D26" s="735" t="s">
        <v>2235</v>
      </c>
      <c r="E26" s="711"/>
      <c r="H26" s="408">
        <v>8011659.0419862494</v>
      </c>
      <c r="I26" s="408">
        <v>0</v>
      </c>
      <c r="J26" s="732">
        <v>8011659.0419862494</v>
      </c>
      <c r="K26" s="733"/>
      <c r="L26" s="408">
        <v>6695523.2142857136</v>
      </c>
      <c r="M26" s="408">
        <v>0</v>
      </c>
      <c r="N26" s="732">
        <v>6695523.2142857136</v>
      </c>
      <c r="O26" s="734"/>
      <c r="P26" s="408">
        <v>2102452.2321428573</v>
      </c>
      <c r="Q26" s="408">
        <v>0</v>
      </c>
      <c r="R26" s="732">
        <v>2102452.2321428573</v>
      </c>
    </row>
    <row r="27" spans="1:18" s="713" customFormat="1" ht="30">
      <c r="A27" s="711">
        <v>21</v>
      </c>
      <c r="B27" s="711"/>
      <c r="C27" s="711"/>
      <c r="D27" s="735" t="s">
        <v>2236</v>
      </c>
      <c r="E27" s="711"/>
      <c r="H27" s="408">
        <v>18912976</v>
      </c>
      <c r="I27" s="408">
        <v>0</v>
      </c>
      <c r="J27" s="732">
        <v>18912976</v>
      </c>
      <c r="K27" s="733"/>
      <c r="L27" s="408">
        <v>0</v>
      </c>
      <c r="M27" s="408">
        <v>0</v>
      </c>
      <c r="N27" s="732">
        <v>0</v>
      </c>
      <c r="O27" s="734"/>
      <c r="P27" s="408">
        <v>0</v>
      </c>
      <c r="Q27" s="408">
        <v>0</v>
      </c>
      <c r="R27" s="732">
        <v>0</v>
      </c>
    </row>
    <row r="28" spans="1:18" s="713" customFormat="1" ht="30">
      <c r="A28" s="711">
        <v>22</v>
      </c>
      <c r="B28" s="711"/>
      <c r="C28" s="711"/>
      <c r="D28" s="735" t="s">
        <v>2237</v>
      </c>
      <c r="E28" s="711"/>
      <c r="H28" s="408">
        <v>12182622.689999999</v>
      </c>
      <c r="I28" s="408">
        <v>0</v>
      </c>
      <c r="J28" s="732">
        <v>12182622.689999999</v>
      </c>
      <c r="K28" s="733"/>
      <c r="L28" s="408">
        <v>0</v>
      </c>
      <c r="M28" s="408">
        <v>0</v>
      </c>
      <c r="N28" s="732">
        <v>0</v>
      </c>
      <c r="O28" s="734"/>
      <c r="P28" s="408">
        <v>0</v>
      </c>
      <c r="Q28" s="408">
        <v>0</v>
      </c>
      <c r="R28" s="732">
        <v>0</v>
      </c>
    </row>
    <row r="29" spans="1:18" s="713" customFormat="1" ht="30">
      <c r="A29" s="711">
        <v>23</v>
      </c>
      <c r="B29" s="711"/>
      <c r="C29" s="711"/>
      <c r="D29" s="735" t="s">
        <v>2238</v>
      </c>
      <c r="E29" s="711"/>
      <c r="H29" s="408">
        <v>4050233.7314999998</v>
      </c>
      <c r="I29" s="408">
        <v>0</v>
      </c>
      <c r="J29" s="732">
        <v>4050233.7314999998</v>
      </c>
      <c r="K29" s="733"/>
      <c r="L29" s="408">
        <v>4418436.7979999995</v>
      </c>
      <c r="M29" s="408">
        <v>0</v>
      </c>
      <c r="N29" s="732">
        <v>4418436.7979999995</v>
      </c>
      <c r="O29" s="734"/>
      <c r="P29" s="408">
        <v>4786639.8644999992</v>
      </c>
      <c r="Q29" s="408">
        <v>0</v>
      </c>
      <c r="R29" s="732">
        <v>4786639.8644999992</v>
      </c>
    </row>
    <row r="30" spans="1:18" s="713" customFormat="1" ht="30">
      <c r="A30" s="711">
        <v>24</v>
      </c>
      <c r="B30" s="711"/>
      <c r="C30" s="711"/>
      <c r="D30" s="735" t="s">
        <v>2239</v>
      </c>
      <c r="E30" s="711"/>
      <c r="H30" s="408">
        <v>111587.4375</v>
      </c>
      <c r="I30" s="408">
        <v>0</v>
      </c>
      <c r="J30" s="732">
        <v>111587.4375</v>
      </c>
      <c r="K30" s="733"/>
      <c r="L30" s="408">
        <v>121731.75</v>
      </c>
      <c r="M30" s="408">
        <v>0</v>
      </c>
      <c r="N30" s="732">
        <v>121731.75</v>
      </c>
      <c r="O30" s="734"/>
      <c r="P30" s="408">
        <v>131876.0625</v>
      </c>
      <c r="Q30" s="408">
        <v>0</v>
      </c>
      <c r="R30" s="732">
        <v>131876.0625</v>
      </c>
    </row>
    <row r="31" spans="1:18" s="713" customFormat="1" ht="30">
      <c r="A31" s="711">
        <v>25</v>
      </c>
      <c r="B31" s="711"/>
      <c r="C31" s="711"/>
      <c r="D31" s="736" t="s">
        <v>2240</v>
      </c>
      <c r="E31" s="711"/>
      <c r="H31" s="408">
        <v>156796.20000000001</v>
      </c>
      <c r="I31" s="408">
        <v>0</v>
      </c>
      <c r="J31" s="732">
        <v>156796.20000000001</v>
      </c>
      <c r="K31" s="733"/>
      <c r="L31" s="408">
        <v>171050.4</v>
      </c>
      <c r="M31" s="408">
        <v>0</v>
      </c>
      <c r="N31" s="732">
        <v>171050.4</v>
      </c>
      <c r="O31" s="734"/>
      <c r="P31" s="408">
        <v>185304.6</v>
      </c>
      <c r="Q31" s="408">
        <v>0</v>
      </c>
      <c r="R31" s="732">
        <v>185304.6</v>
      </c>
    </row>
    <row r="32" spans="1:18" s="713" customFormat="1" ht="30">
      <c r="A32" s="711">
        <v>26</v>
      </c>
      <c r="B32" s="711"/>
      <c r="C32" s="711" t="s">
        <v>2241</v>
      </c>
      <c r="D32" s="712" t="s">
        <v>2242</v>
      </c>
      <c r="E32" s="711"/>
      <c r="H32" s="408">
        <v>0</v>
      </c>
      <c r="I32" s="408">
        <v>150000</v>
      </c>
      <c r="J32" s="732">
        <v>150000</v>
      </c>
      <c r="K32" s="733"/>
      <c r="L32" s="408">
        <v>0</v>
      </c>
      <c r="M32" s="408">
        <v>150000</v>
      </c>
      <c r="N32" s="732">
        <v>150000</v>
      </c>
      <c r="O32" s="734"/>
      <c r="P32" s="408">
        <v>0</v>
      </c>
      <c r="Q32" s="408">
        <v>150000</v>
      </c>
      <c r="R32" s="732">
        <v>150000</v>
      </c>
    </row>
    <row r="33" spans="1:18" s="713" customFormat="1" ht="30">
      <c r="A33" s="711">
        <v>27</v>
      </c>
      <c r="B33" s="711"/>
      <c r="C33" s="711" t="s">
        <v>2241</v>
      </c>
      <c r="D33" s="712" t="s">
        <v>2243</v>
      </c>
      <c r="E33" s="711"/>
      <c r="H33" s="408">
        <v>0</v>
      </c>
      <c r="I33" s="408">
        <v>750000</v>
      </c>
      <c r="J33" s="732">
        <v>750000</v>
      </c>
      <c r="K33" s="733"/>
      <c r="L33" s="408">
        <v>0</v>
      </c>
      <c r="M33" s="408">
        <v>750000</v>
      </c>
      <c r="N33" s="732">
        <v>750000</v>
      </c>
      <c r="O33" s="734"/>
      <c r="P33" s="408">
        <v>0</v>
      </c>
      <c r="Q33" s="408">
        <v>750000</v>
      </c>
      <c r="R33" s="732">
        <v>750000</v>
      </c>
    </row>
    <row r="34" spans="1:18" s="713" customFormat="1" ht="30">
      <c r="A34" s="711">
        <v>28</v>
      </c>
      <c r="B34" s="711"/>
      <c r="C34" s="711" t="s">
        <v>2241</v>
      </c>
      <c r="D34" s="712" t="s">
        <v>2244</v>
      </c>
      <c r="E34" s="711"/>
      <c r="H34" s="408">
        <v>0</v>
      </c>
      <c r="I34" s="408">
        <v>350000</v>
      </c>
      <c r="J34" s="732">
        <v>350000</v>
      </c>
      <c r="K34" s="733"/>
      <c r="L34" s="408">
        <v>0</v>
      </c>
      <c r="M34" s="408">
        <v>500000</v>
      </c>
      <c r="N34" s="732">
        <v>500000</v>
      </c>
      <c r="O34" s="734"/>
      <c r="P34" s="408">
        <v>0</v>
      </c>
      <c r="Q34" s="408">
        <v>500000</v>
      </c>
      <c r="R34" s="732">
        <v>500000</v>
      </c>
    </row>
    <row r="35" spans="1:18" s="713" customFormat="1" ht="30">
      <c r="A35" s="711">
        <v>29</v>
      </c>
      <c r="B35" s="711"/>
      <c r="C35" s="711" t="s">
        <v>2241</v>
      </c>
      <c r="D35" s="712" t="s">
        <v>2245</v>
      </c>
      <c r="E35" s="711"/>
      <c r="H35" s="408">
        <v>0</v>
      </c>
      <c r="I35" s="408">
        <v>500000</v>
      </c>
      <c r="J35" s="732">
        <v>500000</v>
      </c>
      <c r="K35" s="733"/>
      <c r="L35" s="408">
        <v>0</v>
      </c>
      <c r="M35" s="408">
        <v>500000</v>
      </c>
      <c r="N35" s="732">
        <v>500000</v>
      </c>
      <c r="O35" s="734"/>
      <c r="P35" s="408">
        <v>0</v>
      </c>
      <c r="Q35" s="408">
        <v>500000</v>
      </c>
      <c r="R35" s="732">
        <v>500000</v>
      </c>
    </row>
    <row r="36" spans="1:18" s="713" customFormat="1" ht="30">
      <c r="A36" s="711">
        <v>30</v>
      </c>
      <c r="B36" s="711"/>
      <c r="C36" s="711" t="s">
        <v>2241</v>
      </c>
      <c r="D36" s="712" t="s">
        <v>2246</v>
      </c>
      <c r="E36" s="711"/>
      <c r="H36" s="408">
        <v>0</v>
      </c>
      <c r="I36" s="408">
        <v>750000</v>
      </c>
      <c r="J36" s="732">
        <v>750000</v>
      </c>
      <c r="K36" s="733"/>
      <c r="L36" s="408">
        <v>0</v>
      </c>
      <c r="M36" s="408">
        <v>500000</v>
      </c>
      <c r="N36" s="732">
        <v>500000</v>
      </c>
      <c r="O36" s="734"/>
      <c r="P36" s="408">
        <v>0</v>
      </c>
      <c r="Q36" s="408">
        <v>500000</v>
      </c>
      <c r="R36" s="732">
        <v>500000</v>
      </c>
    </row>
    <row r="37" spans="1:18" s="713" customFormat="1" ht="30">
      <c r="A37" s="711">
        <v>31</v>
      </c>
      <c r="B37" s="711"/>
      <c r="C37" s="711" t="s">
        <v>2241</v>
      </c>
      <c r="D37" s="712" t="s">
        <v>2247</v>
      </c>
      <c r="E37" s="711"/>
      <c r="H37" s="408">
        <v>0</v>
      </c>
      <c r="I37" s="408">
        <v>1000000</v>
      </c>
      <c r="J37" s="732">
        <v>1000000</v>
      </c>
      <c r="K37" s="733"/>
      <c r="L37" s="408">
        <v>0</v>
      </c>
      <c r="M37" s="408">
        <v>2000000</v>
      </c>
      <c r="N37" s="732">
        <v>2000000</v>
      </c>
      <c r="O37" s="734"/>
      <c r="P37" s="408">
        <v>0</v>
      </c>
      <c r="Q37" s="408">
        <v>0</v>
      </c>
      <c r="R37" s="732">
        <v>0</v>
      </c>
    </row>
    <row r="38" spans="1:18" s="713" customFormat="1" ht="30">
      <c r="A38" s="711">
        <v>32</v>
      </c>
      <c r="B38" s="711"/>
      <c r="C38" s="711" t="s">
        <v>2241</v>
      </c>
      <c r="D38" s="712" t="s">
        <v>2248</v>
      </c>
      <c r="E38" s="711"/>
      <c r="H38" s="408">
        <v>0</v>
      </c>
      <c r="I38" s="408">
        <v>0</v>
      </c>
      <c r="J38" s="732">
        <v>0</v>
      </c>
      <c r="K38" s="733"/>
      <c r="L38" s="408">
        <v>0</v>
      </c>
      <c r="M38" s="408">
        <v>0</v>
      </c>
      <c r="N38" s="732">
        <v>0</v>
      </c>
      <c r="O38" s="734"/>
      <c r="P38" s="408">
        <v>0</v>
      </c>
      <c r="Q38" s="408">
        <v>10000000</v>
      </c>
      <c r="R38" s="732">
        <v>10000000</v>
      </c>
    </row>
    <row r="39" spans="1:18" s="713" customFormat="1" ht="30">
      <c r="A39" s="711">
        <v>33</v>
      </c>
      <c r="B39" s="711"/>
      <c r="C39" s="711" t="s">
        <v>2241</v>
      </c>
      <c r="D39" s="712" t="s">
        <v>2249</v>
      </c>
      <c r="E39" s="711"/>
      <c r="H39" s="408">
        <v>0</v>
      </c>
      <c r="I39" s="408">
        <v>0</v>
      </c>
      <c r="J39" s="732">
        <v>0</v>
      </c>
      <c r="K39" s="733"/>
      <c r="L39" s="408">
        <v>0</v>
      </c>
      <c r="M39" s="408">
        <v>1000000</v>
      </c>
      <c r="N39" s="732">
        <v>1000000</v>
      </c>
      <c r="O39" s="734"/>
      <c r="P39" s="408">
        <v>0</v>
      </c>
      <c r="Q39" s="408">
        <v>1000000</v>
      </c>
      <c r="R39" s="732">
        <v>1000000</v>
      </c>
    </row>
    <row r="40" spans="1:18" s="713" customFormat="1">
      <c r="A40" s="711">
        <v>34</v>
      </c>
      <c r="B40" s="711"/>
      <c r="C40" s="711" t="s">
        <v>2241</v>
      </c>
      <c r="D40" s="712" t="s">
        <v>2250</v>
      </c>
      <c r="E40" s="711"/>
      <c r="H40" s="408">
        <v>0</v>
      </c>
      <c r="I40" s="408">
        <v>400000</v>
      </c>
      <c r="J40" s="732">
        <v>400000</v>
      </c>
      <c r="K40" s="733"/>
      <c r="L40" s="408">
        <v>0</v>
      </c>
      <c r="M40" s="408">
        <v>200000</v>
      </c>
      <c r="N40" s="732">
        <v>200000</v>
      </c>
      <c r="O40" s="734"/>
      <c r="P40" s="408">
        <v>0</v>
      </c>
      <c r="Q40" s="408">
        <v>0</v>
      </c>
      <c r="R40" s="732">
        <v>0</v>
      </c>
    </row>
    <row r="41" spans="1:18" s="713" customFormat="1" ht="30">
      <c r="A41" s="711">
        <v>35</v>
      </c>
      <c r="B41" s="711"/>
      <c r="C41" s="711" t="s">
        <v>2241</v>
      </c>
      <c r="D41" s="712" t="s">
        <v>2251</v>
      </c>
      <c r="E41" s="711"/>
      <c r="H41" s="408">
        <v>0</v>
      </c>
      <c r="I41" s="408">
        <v>250000</v>
      </c>
      <c r="J41" s="732">
        <v>250000</v>
      </c>
      <c r="K41" s="733"/>
      <c r="L41" s="408">
        <v>0</v>
      </c>
      <c r="M41" s="408">
        <v>250000</v>
      </c>
      <c r="N41" s="732">
        <v>250000</v>
      </c>
      <c r="O41" s="734"/>
      <c r="P41" s="408">
        <v>0</v>
      </c>
      <c r="Q41" s="408">
        <v>250000</v>
      </c>
      <c r="R41" s="732">
        <v>250000</v>
      </c>
    </row>
    <row r="42" spans="1:18" s="713" customFormat="1" ht="60">
      <c r="A42" s="711">
        <v>36</v>
      </c>
      <c r="B42" s="711"/>
      <c r="C42" s="711" t="s">
        <v>2241</v>
      </c>
      <c r="D42" s="712" t="s">
        <v>2252</v>
      </c>
      <c r="E42" s="711"/>
      <c r="H42" s="408">
        <v>0</v>
      </c>
      <c r="I42" s="408">
        <v>150000</v>
      </c>
      <c r="J42" s="732">
        <v>150000</v>
      </c>
      <c r="K42" s="733"/>
      <c r="L42" s="408">
        <v>0</v>
      </c>
      <c r="M42" s="408">
        <v>150000</v>
      </c>
      <c r="N42" s="732">
        <v>150000</v>
      </c>
      <c r="O42" s="734"/>
      <c r="P42" s="408">
        <v>0</v>
      </c>
      <c r="Q42" s="408">
        <v>150000</v>
      </c>
      <c r="R42" s="732">
        <v>150000</v>
      </c>
    </row>
    <row r="43" spans="1:18" s="713" customFormat="1" ht="30">
      <c r="A43" s="711">
        <v>37</v>
      </c>
      <c r="B43" s="711"/>
      <c r="C43" s="711" t="s">
        <v>2241</v>
      </c>
      <c r="D43" s="712" t="s">
        <v>2253</v>
      </c>
      <c r="E43" s="711"/>
      <c r="H43" s="408">
        <v>0</v>
      </c>
      <c r="I43" s="408">
        <v>350000</v>
      </c>
      <c r="J43" s="732">
        <v>350000</v>
      </c>
      <c r="K43" s="733"/>
      <c r="L43" s="408">
        <v>0</v>
      </c>
      <c r="M43" s="408">
        <v>500000</v>
      </c>
      <c r="N43" s="732">
        <v>500000</v>
      </c>
      <c r="O43" s="734"/>
      <c r="P43" s="408">
        <v>0</v>
      </c>
      <c r="Q43" s="408">
        <v>250000</v>
      </c>
      <c r="R43" s="732">
        <v>250000</v>
      </c>
    </row>
    <row r="44" spans="1:18" s="713" customFormat="1">
      <c r="A44" s="711">
        <v>38</v>
      </c>
      <c r="B44" s="711"/>
      <c r="C44" s="711" t="s">
        <v>2241</v>
      </c>
      <c r="D44" s="712" t="s">
        <v>2254</v>
      </c>
      <c r="E44" s="711"/>
      <c r="H44" s="408">
        <v>0</v>
      </c>
      <c r="I44" s="408">
        <v>750000</v>
      </c>
      <c r="J44" s="732">
        <v>750000</v>
      </c>
      <c r="K44" s="733"/>
      <c r="L44" s="408">
        <v>0</v>
      </c>
      <c r="M44" s="408">
        <v>800000</v>
      </c>
      <c r="N44" s="732">
        <v>800000</v>
      </c>
      <c r="O44" s="734"/>
      <c r="P44" s="408">
        <v>0</v>
      </c>
      <c r="Q44" s="408">
        <v>0</v>
      </c>
      <c r="R44" s="732">
        <v>0</v>
      </c>
    </row>
    <row r="45" spans="1:18" s="713" customFormat="1">
      <c r="A45" s="711">
        <v>39</v>
      </c>
      <c r="B45" s="711"/>
      <c r="C45" s="711" t="s">
        <v>2241</v>
      </c>
      <c r="D45" s="712" t="s">
        <v>2255</v>
      </c>
      <c r="E45" s="711"/>
      <c r="H45" s="408">
        <v>0</v>
      </c>
      <c r="I45" s="408">
        <v>0</v>
      </c>
      <c r="J45" s="732">
        <v>0</v>
      </c>
      <c r="K45" s="733"/>
      <c r="L45" s="408">
        <v>0</v>
      </c>
      <c r="M45" s="408">
        <v>1000000</v>
      </c>
      <c r="N45" s="732">
        <v>1000000</v>
      </c>
      <c r="O45" s="734"/>
      <c r="P45" s="408">
        <v>0</v>
      </c>
      <c r="Q45" s="408">
        <v>800000</v>
      </c>
      <c r="R45" s="732">
        <v>800000</v>
      </c>
    </row>
    <row r="46" spans="1:18" s="713" customFormat="1" ht="30">
      <c r="A46" s="711">
        <v>40</v>
      </c>
      <c r="B46" s="711"/>
      <c r="C46" s="711" t="s">
        <v>2241</v>
      </c>
      <c r="D46" s="712" t="s">
        <v>2256</v>
      </c>
      <c r="E46" s="711"/>
      <c r="H46" s="408">
        <v>0</v>
      </c>
      <c r="I46" s="408">
        <v>0</v>
      </c>
      <c r="J46" s="732">
        <v>0</v>
      </c>
      <c r="K46" s="733"/>
      <c r="L46" s="408">
        <v>0</v>
      </c>
      <c r="M46" s="408">
        <v>0</v>
      </c>
      <c r="N46" s="732">
        <v>0</v>
      </c>
      <c r="O46" s="734"/>
      <c r="P46" s="408">
        <v>0</v>
      </c>
      <c r="Q46" s="408">
        <v>50000</v>
      </c>
      <c r="R46" s="732">
        <v>50000</v>
      </c>
    </row>
    <row r="47" spans="1:18" s="713" customFormat="1" ht="30">
      <c r="A47" s="711">
        <v>41</v>
      </c>
      <c r="B47" s="711"/>
      <c r="C47" s="711" t="s">
        <v>2241</v>
      </c>
      <c r="D47" s="712" t="s">
        <v>2257</v>
      </c>
      <c r="E47" s="711"/>
      <c r="H47" s="408">
        <v>0</v>
      </c>
      <c r="I47" s="408">
        <v>200000</v>
      </c>
      <c r="J47" s="732">
        <v>200000</v>
      </c>
      <c r="K47" s="733"/>
      <c r="L47" s="408">
        <v>0</v>
      </c>
      <c r="M47" s="408">
        <v>200000</v>
      </c>
      <c r="N47" s="732">
        <v>200000</v>
      </c>
      <c r="O47" s="734"/>
      <c r="P47" s="408">
        <v>0</v>
      </c>
      <c r="Q47" s="408">
        <v>200000</v>
      </c>
      <c r="R47" s="732">
        <v>200000</v>
      </c>
    </row>
    <row r="48" spans="1:18" s="713" customFormat="1" ht="45">
      <c r="A48" s="711">
        <v>42</v>
      </c>
      <c r="B48" s="711"/>
      <c r="C48" s="711" t="s">
        <v>2241</v>
      </c>
      <c r="D48" s="712" t="s">
        <v>2258</v>
      </c>
      <c r="E48" s="711"/>
      <c r="H48" s="408">
        <v>0</v>
      </c>
      <c r="I48" s="408">
        <v>250000</v>
      </c>
      <c r="J48" s="732">
        <v>250000</v>
      </c>
      <c r="K48" s="733"/>
      <c r="L48" s="408">
        <v>0</v>
      </c>
      <c r="M48" s="408">
        <v>250000</v>
      </c>
      <c r="N48" s="732">
        <v>250000</v>
      </c>
      <c r="O48" s="734"/>
      <c r="P48" s="408">
        <v>0</v>
      </c>
      <c r="Q48" s="408">
        <v>250000</v>
      </c>
      <c r="R48" s="732">
        <v>250000</v>
      </c>
    </row>
    <row r="49" spans="1:18" s="713" customFormat="1">
      <c r="A49" s="711">
        <v>43</v>
      </c>
      <c r="B49" s="711"/>
      <c r="C49" s="711" t="s">
        <v>2241</v>
      </c>
      <c r="D49" s="712" t="s">
        <v>2259</v>
      </c>
      <c r="E49" s="711"/>
      <c r="H49" s="408">
        <v>0</v>
      </c>
      <c r="I49" s="408">
        <v>2500000</v>
      </c>
      <c r="J49" s="732">
        <v>2500000</v>
      </c>
      <c r="K49" s="733"/>
      <c r="L49" s="408">
        <v>0</v>
      </c>
      <c r="M49" s="408">
        <v>0</v>
      </c>
      <c r="N49" s="732">
        <v>0</v>
      </c>
      <c r="O49" s="734"/>
      <c r="P49" s="408">
        <v>0</v>
      </c>
      <c r="Q49" s="408">
        <v>0</v>
      </c>
      <c r="R49" s="732">
        <v>0</v>
      </c>
    </row>
    <row r="50" spans="1:18" s="713" customFormat="1">
      <c r="A50" s="711">
        <v>44</v>
      </c>
      <c r="B50" s="711"/>
      <c r="C50" s="711" t="s">
        <v>2241</v>
      </c>
      <c r="D50" s="712" t="s">
        <v>2260</v>
      </c>
      <c r="E50" s="711"/>
      <c r="H50" s="408">
        <v>0</v>
      </c>
      <c r="I50" s="408">
        <v>0</v>
      </c>
      <c r="J50" s="732">
        <v>0</v>
      </c>
      <c r="K50" s="733"/>
      <c r="L50" s="408">
        <v>0</v>
      </c>
      <c r="M50" s="408">
        <v>2500000</v>
      </c>
      <c r="N50" s="732">
        <v>2500000</v>
      </c>
      <c r="O50" s="734"/>
      <c r="P50" s="408">
        <v>0</v>
      </c>
      <c r="Q50" s="408">
        <v>0</v>
      </c>
      <c r="R50" s="732">
        <v>0</v>
      </c>
    </row>
    <row r="51" spans="1:18" s="713" customFormat="1" ht="60">
      <c r="A51" s="711">
        <v>45</v>
      </c>
      <c r="B51" s="711"/>
      <c r="C51" s="711" t="s">
        <v>2241</v>
      </c>
      <c r="D51" s="712" t="s">
        <v>2261</v>
      </c>
      <c r="E51" s="711"/>
      <c r="H51" s="408">
        <v>0</v>
      </c>
      <c r="I51" s="408">
        <v>750000</v>
      </c>
      <c r="J51" s="732">
        <v>750000</v>
      </c>
      <c r="K51" s="733"/>
      <c r="L51" s="408">
        <v>0</v>
      </c>
      <c r="M51" s="408">
        <v>750000</v>
      </c>
      <c r="N51" s="732">
        <v>750000</v>
      </c>
      <c r="O51" s="734"/>
      <c r="P51" s="408">
        <v>0</v>
      </c>
      <c r="Q51" s="408">
        <v>0</v>
      </c>
      <c r="R51" s="732">
        <v>0</v>
      </c>
    </row>
    <row r="52" spans="1:18" s="713" customFormat="1" ht="30">
      <c r="A52" s="711">
        <v>46</v>
      </c>
      <c r="B52" s="711"/>
      <c r="C52" s="711" t="s">
        <v>2241</v>
      </c>
      <c r="D52" s="712" t="s">
        <v>2262</v>
      </c>
      <c r="E52" s="711"/>
      <c r="H52" s="408">
        <v>0</v>
      </c>
      <c r="I52" s="408">
        <v>500000</v>
      </c>
      <c r="J52" s="732">
        <v>500000</v>
      </c>
      <c r="K52" s="733"/>
      <c r="L52" s="408">
        <v>0</v>
      </c>
      <c r="M52" s="408">
        <v>1000000</v>
      </c>
      <c r="N52" s="732">
        <v>1000000</v>
      </c>
      <c r="O52" s="734"/>
      <c r="P52" s="408">
        <v>0</v>
      </c>
      <c r="Q52" s="408">
        <v>1000000</v>
      </c>
      <c r="R52" s="732">
        <v>1000000</v>
      </c>
    </row>
    <row r="53" spans="1:18" s="713" customFormat="1" ht="45">
      <c r="A53" s="711">
        <v>47</v>
      </c>
      <c r="B53" s="711"/>
      <c r="C53" s="711" t="s">
        <v>2241</v>
      </c>
      <c r="D53" s="712" t="s">
        <v>2263</v>
      </c>
      <c r="E53" s="711"/>
      <c r="H53" s="408">
        <v>0</v>
      </c>
      <c r="I53" s="408">
        <v>150000</v>
      </c>
      <c r="J53" s="732">
        <v>150000</v>
      </c>
      <c r="K53" s="733"/>
      <c r="L53" s="408">
        <v>0</v>
      </c>
      <c r="M53" s="408">
        <v>250000</v>
      </c>
      <c r="N53" s="732">
        <v>250000</v>
      </c>
      <c r="O53" s="734"/>
      <c r="P53" s="408">
        <v>0</v>
      </c>
      <c r="Q53" s="408">
        <v>100000</v>
      </c>
      <c r="R53" s="732">
        <v>100000</v>
      </c>
    </row>
    <row r="54" spans="1:18" s="713" customFormat="1" ht="45">
      <c r="A54" s="711">
        <v>48</v>
      </c>
      <c r="B54" s="711"/>
      <c r="C54" s="711" t="s">
        <v>2241</v>
      </c>
      <c r="D54" s="712" t="s">
        <v>2264</v>
      </c>
      <c r="E54" s="711"/>
      <c r="H54" s="408">
        <v>0</v>
      </c>
      <c r="I54" s="408">
        <v>350000</v>
      </c>
      <c r="J54" s="732">
        <v>350000</v>
      </c>
      <c r="K54" s="733"/>
      <c r="L54" s="408">
        <v>0</v>
      </c>
      <c r="M54" s="408">
        <v>0</v>
      </c>
      <c r="N54" s="732">
        <v>0</v>
      </c>
      <c r="O54" s="734"/>
      <c r="P54" s="408">
        <v>0</v>
      </c>
      <c r="Q54" s="408">
        <v>0</v>
      </c>
      <c r="R54" s="732">
        <v>0</v>
      </c>
    </row>
    <row r="55" spans="1:18" s="713" customFormat="1" ht="30">
      <c r="A55" s="711">
        <v>49</v>
      </c>
      <c r="B55" s="711"/>
      <c r="C55" s="711" t="s">
        <v>2241</v>
      </c>
      <c r="D55" s="712" t="s">
        <v>2265</v>
      </c>
      <c r="E55" s="711"/>
      <c r="H55" s="408">
        <v>0</v>
      </c>
      <c r="I55" s="408">
        <v>357000</v>
      </c>
      <c r="J55" s="732">
        <v>357000</v>
      </c>
      <c r="K55" s="733"/>
      <c r="L55" s="408">
        <v>0</v>
      </c>
      <c r="M55" s="408">
        <v>0</v>
      </c>
      <c r="N55" s="732">
        <v>0</v>
      </c>
      <c r="O55" s="734"/>
      <c r="P55" s="408">
        <v>0</v>
      </c>
      <c r="Q55" s="408">
        <v>0</v>
      </c>
      <c r="R55" s="732">
        <v>0</v>
      </c>
    </row>
    <row r="56" spans="1:18" s="713" customFormat="1" ht="30">
      <c r="A56" s="711">
        <v>50</v>
      </c>
      <c r="B56" s="711"/>
      <c r="C56" s="711" t="s">
        <v>2241</v>
      </c>
      <c r="D56" s="712" t="s">
        <v>2266</v>
      </c>
      <c r="E56" s="711"/>
      <c r="H56" s="408">
        <v>0</v>
      </c>
      <c r="I56" s="408">
        <v>357000</v>
      </c>
      <c r="J56" s="732">
        <v>357000</v>
      </c>
      <c r="K56" s="733"/>
      <c r="L56" s="408">
        <v>0</v>
      </c>
      <c r="M56" s="408">
        <v>0</v>
      </c>
      <c r="N56" s="732">
        <v>0</v>
      </c>
      <c r="O56" s="734"/>
      <c r="P56" s="408">
        <v>0</v>
      </c>
      <c r="Q56" s="408">
        <v>0</v>
      </c>
      <c r="R56" s="732">
        <v>0</v>
      </c>
    </row>
    <row r="57" spans="1:18" s="713" customFormat="1" ht="45">
      <c r="A57" s="711">
        <v>51</v>
      </c>
      <c r="B57" s="711"/>
      <c r="C57" s="711" t="s">
        <v>2241</v>
      </c>
      <c r="D57" s="712" t="s">
        <v>2267</v>
      </c>
      <c r="E57" s="711"/>
      <c r="H57" s="408">
        <v>0</v>
      </c>
      <c r="I57" s="408">
        <v>350000</v>
      </c>
      <c r="J57" s="732">
        <v>350000</v>
      </c>
      <c r="K57" s="733"/>
      <c r="L57" s="408">
        <v>0</v>
      </c>
      <c r="M57" s="408">
        <v>0</v>
      </c>
      <c r="N57" s="732">
        <v>0</v>
      </c>
      <c r="O57" s="734"/>
      <c r="P57" s="408">
        <v>0</v>
      </c>
      <c r="Q57" s="408">
        <v>0</v>
      </c>
      <c r="R57" s="732">
        <v>0</v>
      </c>
    </row>
    <row r="58" spans="1:18" s="713" customFormat="1" ht="60">
      <c r="A58" s="711">
        <v>52</v>
      </c>
      <c r="B58" s="711"/>
      <c r="C58" s="711" t="s">
        <v>2241</v>
      </c>
      <c r="D58" s="712" t="s">
        <v>2268</v>
      </c>
      <c r="E58" s="711"/>
      <c r="H58" s="408">
        <v>0</v>
      </c>
      <c r="I58" s="408">
        <v>155000</v>
      </c>
      <c r="J58" s="732">
        <v>155000</v>
      </c>
      <c r="K58" s="733"/>
      <c r="L58" s="408">
        <v>0</v>
      </c>
      <c r="M58" s="408">
        <v>155000</v>
      </c>
      <c r="N58" s="732">
        <v>155000</v>
      </c>
      <c r="O58" s="734"/>
      <c r="P58" s="408">
        <v>0</v>
      </c>
      <c r="Q58" s="408">
        <v>0</v>
      </c>
      <c r="R58" s="732">
        <v>0</v>
      </c>
    </row>
    <row r="59" spans="1:18" s="713" customFormat="1" ht="45">
      <c r="A59" s="711">
        <v>53</v>
      </c>
      <c r="B59" s="711"/>
      <c r="C59" s="711" t="s">
        <v>2241</v>
      </c>
      <c r="D59" s="712" t="s">
        <v>2269</v>
      </c>
      <c r="E59" s="711"/>
      <c r="H59" s="408">
        <v>0</v>
      </c>
      <c r="I59" s="408">
        <v>125000</v>
      </c>
      <c r="J59" s="732">
        <v>125000</v>
      </c>
      <c r="K59" s="733"/>
      <c r="L59" s="408">
        <v>0</v>
      </c>
      <c r="M59" s="408">
        <v>375000</v>
      </c>
      <c r="N59" s="732">
        <v>375000</v>
      </c>
      <c r="O59" s="734"/>
      <c r="P59" s="408">
        <v>0</v>
      </c>
      <c r="Q59" s="408">
        <v>0</v>
      </c>
      <c r="R59" s="732">
        <v>0</v>
      </c>
    </row>
    <row r="60" spans="1:18" s="713" customFormat="1" ht="30">
      <c r="A60" s="711">
        <v>54</v>
      </c>
      <c r="B60" s="711"/>
      <c r="C60" s="711" t="s">
        <v>2241</v>
      </c>
      <c r="D60" s="712" t="s">
        <v>2270</v>
      </c>
      <c r="E60" s="711"/>
      <c r="H60" s="408">
        <v>0</v>
      </c>
      <c r="I60" s="408">
        <v>250000</v>
      </c>
      <c r="J60" s="732">
        <v>250000</v>
      </c>
      <c r="K60" s="733"/>
      <c r="L60" s="408">
        <v>0</v>
      </c>
      <c r="M60" s="408">
        <v>250000</v>
      </c>
      <c r="N60" s="732">
        <v>250000</v>
      </c>
      <c r="O60" s="734"/>
      <c r="P60" s="408">
        <v>0</v>
      </c>
      <c r="Q60" s="408">
        <v>250000</v>
      </c>
      <c r="R60" s="732">
        <v>250000</v>
      </c>
    </row>
    <row r="61" spans="1:18" s="713" customFormat="1" ht="30">
      <c r="A61" s="711">
        <v>55</v>
      </c>
      <c r="B61" s="711"/>
      <c r="C61" s="711" t="s">
        <v>2241</v>
      </c>
      <c r="D61" s="712" t="s">
        <v>2271</v>
      </c>
      <c r="E61" s="711"/>
      <c r="H61" s="408">
        <v>0</v>
      </c>
      <c r="I61" s="408">
        <v>0</v>
      </c>
      <c r="J61" s="732">
        <v>0</v>
      </c>
      <c r="K61" s="733"/>
      <c r="L61" s="408">
        <v>0</v>
      </c>
      <c r="M61" s="408">
        <v>250000</v>
      </c>
      <c r="N61" s="732">
        <v>250000</v>
      </c>
      <c r="O61" s="734"/>
      <c r="P61" s="408">
        <v>0</v>
      </c>
      <c r="Q61" s="408">
        <v>0</v>
      </c>
      <c r="R61" s="732">
        <v>0</v>
      </c>
    </row>
    <row r="62" spans="1:18" s="713" customFormat="1" ht="30">
      <c r="A62" s="711">
        <v>56</v>
      </c>
      <c r="B62" s="711"/>
      <c r="C62" s="711" t="s">
        <v>2241</v>
      </c>
      <c r="D62" s="712" t="s">
        <v>2272</v>
      </c>
      <c r="E62" s="711"/>
      <c r="H62" s="408">
        <v>0</v>
      </c>
      <c r="I62" s="408">
        <v>250000</v>
      </c>
      <c r="J62" s="732">
        <v>250000</v>
      </c>
      <c r="K62" s="733"/>
      <c r="L62" s="408">
        <v>0</v>
      </c>
      <c r="M62" s="408">
        <v>0</v>
      </c>
      <c r="N62" s="732">
        <v>0</v>
      </c>
      <c r="O62" s="734"/>
      <c r="P62" s="408">
        <v>0</v>
      </c>
      <c r="Q62" s="408">
        <v>0</v>
      </c>
      <c r="R62" s="732">
        <v>0</v>
      </c>
    </row>
    <row r="63" spans="1:18" s="713" customFormat="1" ht="30">
      <c r="A63" s="711">
        <v>57</v>
      </c>
      <c r="B63" s="711"/>
      <c r="C63" s="711" t="s">
        <v>2241</v>
      </c>
      <c r="D63" s="712" t="s">
        <v>2273</v>
      </c>
      <c r="E63" s="711"/>
      <c r="H63" s="408">
        <v>0</v>
      </c>
      <c r="I63" s="408">
        <v>100000</v>
      </c>
      <c r="J63" s="732">
        <v>100000</v>
      </c>
      <c r="K63" s="733"/>
      <c r="L63" s="408">
        <v>0</v>
      </c>
      <c r="M63" s="408">
        <v>100000</v>
      </c>
      <c r="N63" s="732">
        <v>100000</v>
      </c>
      <c r="O63" s="734"/>
      <c r="P63" s="408">
        <v>0</v>
      </c>
      <c r="Q63" s="408">
        <v>0</v>
      </c>
      <c r="R63" s="732">
        <v>0</v>
      </c>
    </row>
    <row r="64" spans="1:18" s="713" customFormat="1" ht="30">
      <c r="A64" s="711">
        <v>58</v>
      </c>
      <c r="B64" s="711"/>
      <c r="C64" s="711" t="s">
        <v>2241</v>
      </c>
      <c r="D64" s="712" t="s">
        <v>2274</v>
      </c>
      <c r="E64" s="711"/>
      <c r="H64" s="408">
        <v>0</v>
      </c>
      <c r="I64" s="408">
        <v>1000000</v>
      </c>
      <c r="J64" s="732">
        <v>1000000</v>
      </c>
      <c r="K64" s="733"/>
      <c r="L64" s="408">
        <v>0</v>
      </c>
      <c r="M64" s="408">
        <v>1000000</v>
      </c>
      <c r="N64" s="732">
        <v>1000000</v>
      </c>
      <c r="O64" s="734"/>
      <c r="P64" s="408">
        <v>0</v>
      </c>
      <c r="Q64" s="408">
        <v>1000000</v>
      </c>
      <c r="R64" s="732">
        <v>1000000</v>
      </c>
    </row>
    <row r="65" spans="1:18" s="713" customFormat="1" ht="60">
      <c r="A65" s="711">
        <v>59</v>
      </c>
      <c r="B65" s="711"/>
      <c r="C65" s="711" t="s">
        <v>2241</v>
      </c>
      <c r="D65" s="712" t="s">
        <v>2275</v>
      </c>
      <c r="E65" s="711"/>
      <c r="H65" s="408">
        <v>0</v>
      </c>
      <c r="I65" s="408">
        <v>500000</v>
      </c>
      <c r="J65" s="732">
        <v>500000</v>
      </c>
      <c r="K65" s="733"/>
      <c r="L65" s="408">
        <v>0</v>
      </c>
      <c r="M65" s="408">
        <v>500000</v>
      </c>
      <c r="N65" s="732">
        <v>500000</v>
      </c>
      <c r="O65" s="734"/>
      <c r="P65" s="408">
        <v>0</v>
      </c>
      <c r="Q65" s="408">
        <v>0</v>
      </c>
      <c r="R65" s="732">
        <v>0</v>
      </c>
    </row>
    <row r="66" spans="1:18" s="713" customFormat="1">
      <c r="A66" s="711">
        <v>60</v>
      </c>
      <c r="B66" s="711"/>
      <c r="C66" s="711" t="s">
        <v>2241</v>
      </c>
      <c r="D66" s="712" t="s">
        <v>2276</v>
      </c>
      <c r="E66" s="711"/>
      <c r="H66" s="408">
        <v>0</v>
      </c>
      <c r="I66" s="408">
        <v>200000</v>
      </c>
      <c r="J66" s="732">
        <v>200000</v>
      </c>
      <c r="K66" s="733"/>
      <c r="L66" s="408">
        <v>0</v>
      </c>
      <c r="M66" s="408">
        <v>200000</v>
      </c>
      <c r="N66" s="732">
        <v>200000</v>
      </c>
      <c r="O66" s="734"/>
      <c r="P66" s="408">
        <v>0</v>
      </c>
      <c r="Q66" s="408">
        <v>200000</v>
      </c>
      <c r="R66" s="732">
        <v>200000</v>
      </c>
    </row>
    <row r="67" spans="1:18" s="713" customFormat="1">
      <c r="A67" s="711">
        <v>61</v>
      </c>
      <c r="B67" s="711"/>
      <c r="C67" s="711" t="s">
        <v>2277</v>
      </c>
      <c r="D67" s="712" t="s">
        <v>2278</v>
      </c>
      <c r="E67" s="711"/>
      <c r="H67" s="408">
        <v>0</v>
      </c>
      <c r="I67" s="408">
        <v>13000000</v>
      </c>
      <c r="J67" s="732">
        <v>13000000</v>
      </c>
      <c r="K67" s="733"/>
      <c r="L67" s="408">
        <v>0</v>
      </c>
      <c r="M67" s="408">
        <v>6000000</v>
      </c>
      <c r="N67" s="732">
        <v>6000000</v>
      </c>
      <c r="O67" s="734"/>
      <c r="P67" s="408">
        <v>0</v>
      </c>
      <c r="Q67" s="408">
        <v>6100000</v>
      </c>
      <c r="R67" s="732">
        <v>6100000</v>
      </c>
    </row>
    <row r="68" spans="1:18" s="713" customFormat="1" ht="30">
      <c r="A68" s="711">
        <v>62</v>
      </c>
      <c r="B68" s="711"/>
      <c r="C68" s="711" t="s">
        <v>2277</v>
      </c>
      <c r="D68" s="712" t="s">
        <v>2279</v>
      </c>
      <c r="E68" s="711"/>
      <c r="H68" s="408">
        <v>0</v>
      </c>
      <c r="I68" s="408">
        <v>10000000</v>
      </c>
      <c r="J68" s="732">
        <v>10000000</v>
      </c>
      <c r="K68" s="733"/>
      <c r="L68" s="408">
        <v>0</v>
      </c>
      <c r="M68" s="408">
        <v>0</v>
      </c>
      <c r="N68" s="732">
        <v>0</v>
      </c>
      <c r="O68" s="734"/>
      <c r="P68" s="408">
        <v>0</v>
      </c>
      <c r="Q68" s="408">
        <v>0</v>
      </c>
      <c r="R68" s="732">
        <v>0</v>
      </c>
    </row>
    <row r="69" spans="1:18" s="713" customFormat="1" ht="30">
      <c r="A69" s="711">
        <v>63</v>
      </c>
      <c r="B69" s="711"/>
      <c r="C69" s="711" t="s">
        <v>2277</v>
      </c>
      <c r="D69" s="712" t="s">
        <v>2280</v>
      </c>
      <c r="E69" s="711"/>
      <c r="H69" s="408">
        <v>0</v>
      </c>
      <c r="I69" s="408">
        <v>500000</v>
      </c>
      <c r="J69" s="732">
        <v>500000</v>
      </c>
      <c r="K69" s="733"/>
      <c r="L69" s="408">
        <v>0</v>
      </c>
      <c r="M69" s="408">
        <v>0</v>
      </c>
      <c r="N69" s="732">
        <v>0</v>
      </c>
      <c r="O69" s="734"/>
      <c r="P69" s="408">
        <v>0</v>
      </c>
      <c r="Q69" s="408">
        <v>0</v>
      </c>
      <c r="R69" s="732">
        <v>0</v>
      </c>
    </row>
    <row r="70" spans="1:18" s="713" customFormat="1">
      <c r="A70" s="711">
        <v>64</v>
      </c>
      <c r="B70" s="711"/>
      <c r="C70" s="711" t="s">
        <v>2277</v>
      </c>
      <c r="D70" s="712" t="s">
        <v>2281</v>
      </c>
      <c r="E70" s="711"/>
      <c r="H70" s="408">
        <v>0</v>
      </c>
      <c r="I70" s="408">
        <v>0</v>
      </c>
      <c r="J70" s="732">
        <v>0</v>
      </c>
      <c r="K70" s="733"/>
      <c r="L70" s="408">
        <v>0</v>
      </c>
      <c r="M70" s="408">
        <v>150000</v>
      </c>
      <c r="N70" s="732">
        <v>150000</v>
      </c>
      <c r="O70" s="734"/>
      <c r="P70" s="408">
        <v>0</v>
      </c>
      <c r="Q70" s="408">
        <v>0</v>
      </c>
      <c r="R70" s="732">
        <v>0</v>
      </c>
    </row>
    <row r="71" spans="1:18" s="713" customFormat="1">
      <c r="A71" s="711">
        <v>65</v>
      </c>
      <c r="B71" s="711"/>
      <c r="C71" s="711" t="s">
        <v>2277</v>
      </c>
      <c r="D71" s="712" t="s">
        <v>2282</v>
      </c>
      <c r="E71" s="711"/>
      <c r="H71" s="408">
        <v>0</v>
      </c>
      <c r="I71" s="408">
        <v>0</v>
      </c>
      <c r="J71" s="732">
        <v>0</v>
      </c>
      <c r="K71" s="733"/>
      <c r="L71" s="408">
        <v>0</v>
      </c>
      <c r="M71" s="408">
        <v>100000</v>
      </c>
      <c r="N71" s="732">
        <v>100000</v>
      </c>
      <c r="O71" s="734"/>
      <c r="P71" s="408">
        <v>0</v>
      </c>
      <c r="Q71" s="408">
        <v>200000</v>
      </c>
      <c r="R71" s="732">
        <v>200000</v>
      </c>
    </row>
    <row r="72" spans="1:18" s="713" customFormat="1" ht="30">
      <c r="A72" s="711">
        <v>66</v>
      </c>
      <c r="B72" s="711"/>
      <c r="C72" s="711" t="s">
        <v>2277</v>
      </c>
      <c r="D72" s="712" t="s">
        <v>2283</v>
      </c>
      <c r="E72" s="711"/>
      <c r="H72" s="408">
        <v>0</v>
      </c>
      <c r="I72" s="408">
        <v>600000</v>
      </c>
      <c r="J72" s="732">
        <v>600000</v>
      </c>
      <c r="K72" s="733"/>
      <c r="L72" s="408">
        <v>0</v>
      </c>
      <c r="M72" s="408">
        <v>600000</v>
      </c>
      <c r="N72" s="732">
        <v>600000</v>
      </c>
      <c r="O72" s="734"/>
      <c r="P72" s="408">
        <v>0</v>
      </c>
      <c r="Q72" s="408" t="s">
        <v>279</v>
      </c>
      <c r="R72" s="732">
        <v>0</v>
      </c>
    </row>
    <row r="73" spans="1:18" s="713" customFormat="1" ht="45">
      <c r="A73" s="711">
        <v>67</v>
      </c>
      <c r="B73" s="711"/>
      <c r="C73" s="711" t="s">
        <v>2277</v>
      </c>
      <c r="D73" s="712" t="s">
        <v>2284</v>
      </c>
      <c r="E73" s="711"/>
      <c r="H73" s="408">
        <v>0</v>
      </c>
      <c r="I73" s="408">
        <v>375000</v>
      </c>
      <c r="J73" s="732">
        <v>375000</v>
      </c>
      <c r="K73" s="733"/>
      <c r="L73" s="408">
        <v>0</v>
      </c>
      <c r="M73" s="408">
        <v>50000</v>
      </c>
      <c r="N73" s="732">
        <v>50000</v>
      </c>
      <c r="O73" s="734"/>
      <c r="P73" s="408">
        <v>0</v>
      </c>
      <c r="Q73" s="408">
        <v>50000</v>
      </c>
      <c r="R73" s="732">
        <v>50000</v>
      </c>
    </row>
    <row r="74" spans="1:18" s="713" customFormat="1">
      <c r="A74" s="711">
        <v>68</v>
      </c>
      <c r="B74" s="711"/>
      <c r="C74" s="711" t="s">
        <v>2277</v>
      </c>
      <c r="D74" s="712" t="s">
        <v>2285</v>
      </c>
      <c r="E74" s="711"/>
      <c r="H74" s="408">
        <v>0</v>
      </c>
      <c r="I74" s="408">
        <v>200000</v>
      </c>
      <c r="J74" s="732">
        <v>200000</v>
      </c>
      <c r="K74" s="733"/>
      <c r="L74" s="408">
        <v>0</v>
      </c>
      <c r="M74" s="408">
        <v>200000</v>
      </c>
      <c r="N74" s="732">
        <v>200000</v>
      </c>
      <c r="O74" s="734"/>
      <c r="P74" s="408">
        <v>0</v>
      </c>
      <c r="Q74" s="408">
        <v>0</v>
      </c>
      <c r="R74" s="732">
        <v>0</v>
      </c>
    </row>
    <row r="75" spans="1:18" s="713" customFormat="1" ht="30">
      <c r="A75" s="711">
        <v>69</v>
      </c>
      <c r="B75" s="711"/>
      <c r="C75" s="711" t="s">
        <v>2277</v>
      </c>
      <c r="D75" s="712" t="s">
        <v>2286</v>
      </c>
      <c r="E75" s="711"/>
      <c r="H75" s="408">
        <v>0</v>
      </c>
      <c r="I75" s="408">
        <v>500000</v>
      </c>
      <c r="J75" s="732">
        <v>500000</v>
      </c>
      <c r="K75" s="733"/>
      <c r="L75" s="408">
        <v>0</v>
      </c>
      <c r="M75" s="408">
        <v>350000</v>
      </c>
      <c r="N75" s="732">
        <v>350000</v>
      </c>
      <c r="O75" s="734"/>
      <c r="P75" s="408">
        <v>0</v>
      </c>
      <c r="Q75" s="408">
        <v>250000</v>
      </c>
      <c r="R75" s="732">
        <v>250000</v>
      </c>
    </row>
    <row r="76" spans="1:18" s="713" customFormat="1">
      <c r="A76" s="711">
        <v>70</v>
      </c>
      <c r="B76" s="711"/>
      <c r="C76" s="711" t="s">
        <v>2277</v>
      </c>
      <c r="D76" s="712" t="s">
        <v>2287</v>
      </c>
      <c r="E76" s="711"/>
      <c r="H76" s="408">
        <v>0</v>
      </c>
      <c r="I76" s="408">
        <v>0</v>
      </c>
      <c r="J76" s="732">
        <v>0</v>
      </c>
      <c r="K76" s="733"/>
      <c r="L76" s="408">
        <v>0</v>
      </c>
      <c r="M76" s="408">
        <v>1750000</v>
      </c>
      <c r="N76" s="732">
        <v>1750000</v>
      </c>
      <c r="O76" s="734"/>
      <c r="P76" s="408">
        <v>0</v>
      </c>
      <c r="Q76" s="408">
        <v>1750000</v>
      </c>
      <c r="R76" s="732">
        <v>1750000</v>
      </c>
    </row>
    <row r="77" spans="1:18" s="713" customFormat="1" ht="30">
      <c r="A77" s="711">
        <v>71</v>
      </c>
      <c r="B77" s="711"/>
      <c r="C77" s="711" t="s">
        <v>2277</v>
      </c>
      <c r="D77" s="712" t="s">
        <v>2288</v>
      </c>
      <c r="E77" s="711"/>
      <c r="H77" s="408">
        <v>0</v>
      </c>
      <c r="I77" s="408">
        <v>750000</v>
      </c>
      <c r="J77" s="732">
        <v>750000</v>
      </c>
      <c r="K77" s="733"/>
      <c r="L77" s="408">
        <v>0</v>
      </c>
      <c r="M77" s="408">
        <v>0</v>
      </c>
      <c r="N77" s="732">
        <v>0</v>
      </c>
      <c r="O77" s="734"/>
      <c r="P77" s="408">
        <v>0</v>
      </c>
      <c r="Q77" s="408" t="s">
        <v>279</v>
      </c>
      <c r="R77" s="732">
        <v>0</v>
      </c>
    </row>
    <row r="78" spans="1:18" s="713" customFormat="1" ht="30">
      <c r="A78" s="711">
        <v>72</v>
      </c>
      <c r="B78" s="711"/>
      <c r="C78" s="711" t="s">
        <v>2277</v>
      </c>
      <c r="D78" s="712" t="s">
        <v>2289</v>
      </c>
      <c r="E78" s="711"/>
      <c r="H78" s="408">
        <v>0</v>
      </c>
      <c r="I78" s="408">
        <v>50000</v>
      </c>
      <c r="J78" s="732">
        <v>50000</v>
      </c>
      <c r="K78" s="733"/>
      <c r="L78" s="408">
        <v>0</v>
      </c>
      <c r="M78" s="408">
        <v>50000</v>
      </c>
      <c r="N78" s="732">
        <v>50000</v>
      </c>
      <c r="O78" s="734"/>
      <c r="P78" s="408">
        <v>0</v>
      </c>
      <c r="Q78" s="408">
        <v>50000</v>
      </c>
      <c r="R78" s="732">
        <v>50000</v>
      </c>
    </row>
    <row r="79" spans="1:18" s="713" customFormat="1">
      <c r="A79" s="711">
        <v>73</v>
      </c>
      <c r="B79" s="711"/>
      <c r="C79" s="711" t="s">
        <v>2277</v>
      </c>
      <c r="D79" s="712" t="s">
        <v>2290</v>
      </c>
      <c r="E79" s="711"/>
      <c r="H79" s="408">
        <v>0</v>
      </c>
      <c r="I79" s="408">
        <v>150000</v>
      </c>
      <c r="J79" s="732">
        <v>150000</v>
      </c>
      <c r="K79" s="733"/>
      <c r="L79" s="408">
        <v>0</v>
      </c>
      <c r="M79" s="408">
        <v>150000</v>
      </c>
      <c r="N79" s="732">
        <v>150000</v>
      </c>
      <c r="O79" s="734"/>
      <c r="P79" s="408">
        <v>0</v>
      </c>
      <c r="Q79" s="408">
        <v>175000</v>
      </c>
      <c r="R79" s="732">
        <v>175000</v>
      </c>
    </row>
    <row r="80" spans="1:18" s="713" customFormat="1" ht="30">
      <c r="A80" s="711">
        <v>74</v>
      </c>
      <c r="B80" s="711"/>
      <c r="C80" s="711" t="s">
        <v>2277</v>
      </c>
      <c r="D80" s="712" t="s">
        <v>2291</v>
      </c>
      <c r="E80" s="711"/>
      <c r="H80" s="408">
        <v>0</v>
      </c>
      <c r="I80" s="408">
        <v>1000000</v>
      </c>
      <c r="J80" s="732">
        <v>1000000</v>
      </c>
      <c r="K80" s="733"/>
      <c r="L80" s="408">
        <v>0</v>
      </c>
      <c r="M80" s="408">
        <v>1000000</v>
      </c>
      <c r="N80" s="732">
        <v>1000000</v>
      </c>
      <c r="O80" s="734"/>
      <c r="P80" s="408">
        <v>0</v>
      </c>
      <c r="Q80" s="408">
        <v>1000000</v>
      </c>
      <c r="R80" s="732">
        <v>1000000</v>
      </c>
    </row>
    <row r="81" spans="1:18" s="713" customFormat="1" ht="30">
      <c r="A81" s="711">
        <v>75</v>
      </c>
      <c r="B81" s="711"/>
      <c r="C81" s="711" t="s">
        <v>2277</v>
      </c>
      <c r="D81" s="712" t="s">
        <v>2292</v>
      </c>
      <c r="E81" s="711"/>
      <c r="H81" s="408">
        <v>0</v>
      </c>
      <c r="I81" s="408">
        <v>1000000</v>
      </c>
      <c r="J81" s="732">
        <v>1000000</v>
      </c>
      <c r="K81" s="733"/>
      <c r="L81" s="408">
        <v>0</v>
      </c>
      <c r="M81" s="408">
        <v>500000</v>
      </c>
      <c r="N81" s="732">
        <v>500000</v>
      </c>
      <c r="O81" s="734"/>
      <c r="P81" s="408">
        <v>0</v>
      </c>
      <c r="Q81" s="408">
        <v>500000</v>
      </c>
      <c r="R81" s="732">
        <v>500000</v>
      </c>
    </row>
    <row r="82" spans="1:18" s="713" customFormat="1" ht="30">
      <c r="A82" s="711">
        <v>76</v>
      </c>
      <c r="B82" s="711"/>
      <c r="C82" s="711" t="s">
        <v>2277</v>
      </c>
      <c r="D82" s="712" t="s">
        <v>2293</v>
      </c>
      <c r="E82" s="711"/>
      <c r="H82" s="408">
        <v>0</v>
      </c>
      <c r="I82" s="408">
        <v>385000</v>
      </c>
      <c r="J82" s="732">
        <v>385000</v>
      </c>
      <c r="K82" s="733"/>
      <c r="L82" s="408">
        <v>0</v>
      </c>
      <c r="M82" s="408">
        <v>0</v>
      </c>
      <c r="N82" s="732">
        <v>0</v>
      </c>
      <c r="O82" s="734"/>
      <c r="P82" s="408">
        <v>0</v>
      </c>
      <c r="Q82" s="408">
        <v>0</v>
      </c>
      <c r="R82" s="732">
        <v>0</v>
      </c>
    </row>
    <row r="83" spans="1:18" s="713" customFormat="1" ht="45">
      <c r="A83" s="711">
        <v>77</v>
      </c>
      <c r="B83" s="711"/>
      <c r="C83" s="711" t="s">
        <v>2277</v>
      </c>
      <c r="D83" s="712" t="s">
        <v>2294</v>
      </c>
      <c r="E83" s="711"/>
      <c r="H83" s="408">
        <v>0</v>
      </c>
      <c r="I83" s="408">
        <v>0</v>
      </c>
      <c r="J83" s="732">
        <v>0</v>
      </c>
      <c r="K83" s="733"/>
      <c r="L83" s="408">
        <v>0</v>
      </c>
      <c r="M83" s="408" t="s">
        <v>279</v>
      </c>
      <c r="N83" s="732">
        <v>0</v>
      </c>
      <c r="O83" s="734"/>
      <c r="P83" s="408">
        <v>0</v>
      </c>
      <c r="Q83" s="408">
        <v>400000</v>
      </c>
      <c r="R83" s="732">
        <v>400000</v>
      </c>
    </row>
    <row r="84" spans="1:18" s="713" customFormat="1">
      <c r="A84" s="711">
        <v>78</v>
      </c>
      <c r="B84" s="711"/>
      <c r="C84" s="711" t="s">
        <v>2277</v>
      </c>
      <c r="D84" s="712" t="s">
        <v>2295</v>
      </c>
      <c r="E84" s="711"/>
      <c r="H84" s="408">
        <v>0</v>
      </c>
      <c r="I84" s="408">
        <v>110000</v>
      </c>
      <c r="J84" s="732">
        <v>110000</v>
      </c>
      <c r="K84" s="733"/>
      <c r="L84" s="408">
        <v>0</v>
      </c>
      <c r="M84" s="408" t="s">
        <v>279</v>
      </c>
      <c r="N84" s="732">
        <v>0</v>
      </c>
      <c r="O84" s="734"/>
      <c r="P84" s="408">
        <v>0</v>
      </c>
      <c r="Q84" s="408">
        <v>110000</v>
      </c>
      <c r="R84" s="732">
        <v>110000</v>
      </c>
    </row>
    <row r="85" spans="1:18" s="713" customFormat="1">
      <c r="A85" s="711">
        <v>79</v>
      </c>
      <c r="B85" s="711"/>
      <c r="C85" s="711" t="s">
        <v>2277</v>
      </c>
      <c r="D85" s="712" t="s">
        <v>2296</v>
      </c>
      <c r="E85" s="711"/>
      <c r="H85" s="408">
        <v>0</v>
      </c>
      <c r="I85" s="408">
        <v>0</v>
      </c>
      <c r="J85" s="732">
        <v>0</v>
      </c>
      <c r="K85" s="733"/>
      <c r="L85" s="408">
        <v>0</v>
      </c>
      <c r="M85" s="408" t="s">
        <v>279</v>
      </c>
      <c r="N85" s="732">
        <v>0</v>
      </c>
      <c r="O85" s="734"/>
      <c r="P85" s="408">
        <v>0</v>
      </c>
      <c r="Q85" s="408">
        <v>250000</v>
      </c>
      <c r="R85" s="732">
        <v>250000</v>
      </c>
    </row>
    <row r="86" spans="1:18" s="713" customFormat="1">
      <c r="A86" s="711">
        <v>80</v>
      </c>
      <c r="B86" s="711"/>
      <c r="C86" s="711" t="s">
        <v>2277</v>
      </c>
      <c r="D86" s="712" t="s">
        <v>2297</v>
      </c>
      <c r="E86" s="711"/>
      <c r="H86" s="408">
        <v>0</v>
      </c>
      <c r="I86" s="408">
        <v>0</v>
      </c>
      <c r="J86" s="732">
        <v>0</v>
      </c>
      <c r="K86" s="733"/>
      <c r="L86" s="408">
        <v>0</v>
      </c>
      <c r="M86" s="408">
        <v>175000</v>
      </c>
      <c r="N86" s="732">
        <v>175000</v>
      </c>
      <c r="O86" s="734"/>
      <c r="P86" s="408">
        <v>0</v>
      </c>
      <c r="Q86" s="408">
        <v>100000</v>
      </c>
      <c r="R86" s="732">
        <v>100000</v>
      </c>
    </row>
    <row r="87" spans="1:18" s="713" customFormat="1" ht="30">
      <c r="A87" s="711">
        <v>81</v>
      </c>
      <c r="B87" s="711"/>
      <c r="C87" s="711" t="s">
        <v>2277</v>
      </c>
      <c r="D87" s="712" t="s">
        <v>2298</v>
      </c>
      <c r="E87" s="711"/>
      <c r="H87" s="408">
        <v>0</v>
      </c>
      <c r="I87" s="408">
        <v>0</v>
      </c>
      <c r="J87" s="732">
        <v>0</v>
      </c>
      <c r="K87" s="733"/>
      <c r="L87" s="408">
        <v>0</v>
      </c>
      <c r="M87" s="408">
        <v>250000</v>
      </c>
      <c r="N87" s="732">
        <v>250000</v>
      </c>
      <c r="O87" s="734"/>
      <c r="P87" s="408">
        <v>0</v>
      </c>
      <c r="Q87" s="408">
        <v>250000</v>
      </c>
      <c r="R87" s="732">
        <v>250000</v>
      </c>
    </row>
    <row r="88" spans="1:18" s="713" customFormat="1" ht="30">
      <c r="A88" s="711">
        <v>82</v>
      </c>
      <c r="B88" s="711"/>
      <c r="C88" s="711" t="s">
        <v>2277</v>
      </c>
      <c r="D88" s="712" t="s">
        <v>2299</v>
      </c>
      <c r="E88" s="711"/>
      <c r="H88" s="408">
        <v>0</v>
      </c>
      <c r="I88" s="408">
        <v>0</v>
      </c>
      <c r="J88" s="732">
        <v>0</v>
      </c>
      <c r="K88" s="733"/>
      <c r="L88" s="408">
        <v>0</v>
      </c>
      <c r="M88" s="408">
        <v>1000000</v>
      </c>
      <c r="N88" s="732">
        <v>1000000</v>
      </c>
      <c r="O88" s="734"/>
      <c r="P88" s="408">
        <v>0</v>
      </c>
      <c r="Q88" s="408">
        <v>3000000</v>
      </c>
      <c r="R88" s="732">
        <v>3000000</v>
      </c>
    </row>
    <row r="89" spans="1:18" s="713" customFormat="1">
      <c r="A89" s="711">
        <v>83</v>
      </c>
      <c r="B89" s="711"/>
      <c r="C89" s="711" t="s">
        <v>2277</v>
      </c>
      <c r="D89" s="712" t="s">
        <v>2300</v>
      </c>
      <c r="E89" s="711"/>
      <c r="H89" s="408">
        <v>0</v>
      </c>
      <c r="I89" s="408">
        <v>200000</v>
      </c>
      <c r="J89" s="732">
        <v>200000</v>
      </c>
      <c r="K89" s="733"/>
      <c r="L89" s="408">
        <v>0</v>
      </c>
      <c r="M89" s="408">
        <v>50000</v>
      </c>
      <c r="N89" s="732">
        <v>50000</v>
      </c>
      <c r="O89" s="734"/>
      <c r="P89" s="408">
        <v>0</v>
      </c>
      <c r="Q89" s="408">
        <v>200000</v>
      </c>
      <c r="R89" s="732">
        <v>200000</v>
      </c>
    </row>
    <row r="90" spans="1:18" s="713" customFormat="1" ht="45">
      <c r="A90" s="711">
        <v>84</v>
      </c>
      <c r="B90" s="711"/>
      <c r="C90" s="711" t="s">
        <v>2277</v>
      </c>
      <c r="D90" s="712" t="s">
        <v>2301</v>
      </c>
      <c r="E90" s="711"/>
      <c r="H90" s="408">
        <v>0</v>
      </c>
      <c r="I90" s="408">
        <v>75000</v>
      </c>
      <c r="J90" s="732">
        <v>75000</v>
      </c>
      <c r="K90" s="733"/>
      <c r="L90" s="408">
        <v>0</v>
      </c>
      <c r="M90" s="408">
        <v>75000</v>
      </c>
      <c r="N90" s="732">
        <v>75000</v>
      </c>
      <c r="O90" s="734"/>
      <c r="P90" s="408">
        <v>0</v>
      </c>
      <c r="Q90" s="408">
        <v>75000</v>
      </c>
      <c r="R90" s="732">
        <v>75000</v>
      </c>
    </row>
    <row r="91" spans="1:18" s="713" customFormat="1">
      <c r="A91" s="711">
        <v>85</v>
      </c>
      <c r="B91" s="711"/>
      <c r="C91" s="711" t="s">
        <v>2277</v>
      </c>
      <c r="D91" s="712" t="s">
        <v>2302</v>
      </c>
      <c r="E91" s="711"/>
      <c r="H91" s="408">
        <v>0</v>
      </c>
      <c r="I91" s="408">
        <v>60000</v>
      </c>
      <c r="J91" s="732">
        <v>60000</v>
      </c>
      <c r="K91" s="733"/>
      <c r="L91" s="408">
        <v>0</v>
      </c>
      <c r="M91" s="408" t="s">
        <v>279</v>
      </c>
      <c r="N91" s="732">
        <v>0</v>
      </c>
      <c r="O91" s="734"/>
      <c r="P91" s="408">
        <v>0</v>
      </c>
      <c r="Q91" s="408" t="s">
        <v>279</v>
      </c>
      <c r="R91" s="732">
        <v>0</v>
      </c>
    </row>
    <row r="92" spans="1:18" s="713" customFormat="1" ht="30">
      <c r="A92" s="711">
        <v>86</v>
      </c>
      <c r="B92" s="711"/>
      <c r="C92" s="711" t="s">
        <v>2277</v>
      </c>
      <c r="D92" s="712" t="s">
        <v>2303</v>
      </c>
      <c r="E92" s="711"/>
      <c r="H92" s="408">
        <v>0</v>
      </c>
      <c r="I92" s="408">
        <v>0</v>
      </c>
      <c r="J92" s="732">
        <v>0</v>
      </c>
      <c r="K92" s="733"/>
      <c r="L92" s="408">
        <v>0</v>
      </c>
      <c r="M92" s="408">
        <v>500000</v>
      </c>
      <c r="N92" s="732">
        <v>500000</v>
      </c>
      <c r="O92" s="734"/>
      <c r="P92" s="408">
        <v>0</v>
      </c>
      <c r="Q92" s="408">
        <v>1500000</v>
      </c>
      <c r="R92" s="732">
        <v>1500000</v>
      </c>
    </row>
    <row r="93" spans="1:18" s="713" customFormat="1" ht="30">
      <c r="A93" s="711">
        <v>87</v>
      </c>
      <c r="B93" s="711"/>
      <c r="C93" s="711" t="s">
        <v>2277</v>
      </c>
      <c r="D93" s="712" t="s">
        <v>2304</v>
      </c>
      <c r="E93" s="711"/>
      <c r="H93" s="408">
        <v>0</v>
      </c>
      <c r="I93" s="408">
        <v>500000</v>
      </c>
      <c r="J93" s="732">
        <v>500000</v>
      </c>
      <c r="K93" s="733"/>
      <c r="L93" s="408">
        <v>0</v>
      </c>
      <c r="M93" s="408">
        <v>3000000</v>
      </c>
      <c r="N93" s="732">
        <v>3000000</v>
      </c>
      <c r="O93" s="734"/>
      <c r="P93" s="408">
        <v>0</v>
      </c>
      <c r="Q93" s="408">
        <v>11500000</v>
      </c>
      <c r="R93" s="732">
        <v>11500000</v>
      </c>
    </row>
    <row r="94" spans="1:18" s="713" customFormat="1">
      <c r="A94" s="711">
        <v>88</v>
      </c>
      <c r="B94" s="711"/>
      <c r="C94" s="711" t="s">
        <v>2277</v>
      </c>
      <c r="D94" s="712" t="s">
        <v>2305</v>
      </c>
      <c r="E94" s="711"/>
      <c r="H94" s="408">
        <v>0</v>
      </c>
      <c r="I94" s="408">
        <v>0</v>
      </c>
      <c r="J94" s="732">
        <v>0</v>
      </c>
      <c r="K94" s="733"/>
      <c r="L94" s="408">
        <v>0</v>
      </c>
      <c r="M94" s="408">
        <v>2500000</v>
      </c>
      <c r="N94" s="732">
        <v>2500000</v>
      </c>
      <c r="O94" s="734"/>
      <c r="P94" s="408">
        <v>0</v>
      </c>
      <c r="Q94" s="408">
        <v>0</v>
      </c>
      <c r="R94" s="732">
        <v>0</v>
      </c>
    </row>
    <row r="95" spans="1:18" s="713" customFormat="1">
      <c r="A95" s="711">
        <v>89</v>
      </c>
      <c r="B95" s="711"/>
      <c r="C95" s="711" t="s">
        <v>2277</v>
      </c>
      <c r="D95" s="712" t="s">
        <v>2306</v>
      </c>
      <c r="E95" s="711"/>
      <c r="H95" s="408">
        <v>0</v>
      </c>
      <c r="I95" s="408">
        <v>0</v>
      </c>
      <c r="J95" s="732">
        <v>0</v>
      </c>
      <c r="K95" s="733"/>
      <c r="L95" s="408">
        <v>0</v>
      </c>
      <c r="M95" s="408">
        <v>2500000</v>
      </c>
      <c r="N95" s="732">
        <v>2500000</v>
      </c>
      <c r="O95" s="734"/>
      <c r="P95" s="408">
        <v>0</v>
      </c>
      <c r="Q95" s="408">
        <v>0</v>
      </c>
      <c r="R95" s="732">
        <v>0</v>
      </c>
    </row>
    <row r="96" spans="1:18" s="713" customFormat="1" ht="30">
      <c r="A96" s="711">
        <v>90</v>
      </c>
      <c r="B96" s="711"/>
      <c r="C96" s="711" t="s">
        <v>2277</v>
      </c>
      <c r="D96" s="712" t="s">
        <v>2307</v>
      </c>
      <c r="E96" s="711"/>
      <c r="H96" s="408">
        <v>0</v>
      </c>
      <c r="I96" s="408">
        <v>1000000</v>
      </c>
      <c r="J96" s="732">
        <v>1000000</v>
      </c>
      <c r="K96" s="733"/>
      <c r="L96" s="408">
        <v>0</v>
      </c>
      <c r="M96" s="408">
        <v>1000000</v>
      </c>
      <c r="N96" s="732">
        <v>1000000</v>
      </c>
      <c r="O96" s="734"/>
      <c r="P96" s="408">
        <v>0</v>
      </c>
      <c r="Q96" s="408">
        <v>1000000</v>
      </c>
      <c r="R96" s="732">
        <v>1000000</v>
      </c>
    </row>
    <row r="97" spans="1:18" s="713" customFormat="1">
      <c r="A97" s="711">
        <v>91</v>
      </c>
      <c r="B97" s="711"/>
      <c r="C97" s="711" t="s">
        <v>2277</v>
      </c>
      <c r="D97" s="712" t="s">
        <v>2308</v>
      </c>
      <c r="E97" s="711"/>
      <c r="H97" s="408">
        <v>0</v>
      </c>
      <c r="I97" s="408">
        <v>150000</v>
      </c>
      <c r="J97" s="732">
        <v>150000</v>
      </c>
      <c r="K97" s="733"/>
      <c r="L97" s="408">
        <v>0</v>
      </c>
      <c r="M97" s="408">
        <v>300000</v>
      </c>
      <c r="N97" s="732">
        <v>300000</v>
      </c>
      <c r="O97" s="734"/>
      <c r="P97" s="408">
        <v>0</v>
      </c>
      <c r="Q97" s="408">
        <v>1500000</v>
      </c>
      <c r="R97" s="732">
        <v>1500000</v>
      </c>
    </row>
    <row r="98" spans="1:18" s="713" customFormat="1">
      <c r="A98" s="711">
        <v>92</v>
      </c>
      <c r="B98" s="711"/>
      <c r="C98" s="711" t="s">
        <v>2277</v>
      </c>
      <c r="D98" s="712" t="s">
        <v>2309</v>
      </c>
      <c r="E98" s="711"/>
      <c r="H98" s="408">
        <v>0</v>
      </c>
      <c r="I98" s="408">
        <v>250000</v>
      </c>
      <c r="J98" s="732">
        <v>250000</v>
      </c>
      <c r="K98" s="733"/>
      <c r="L98" s="408">
        <v>0</v>
      </c>
      <c r="M98" s="408">
        <v>2000000</v>
      </c>
      <c r="N98" s="732">
        <v>2000000</v>
      </c>
      <c r="O98" s="734"/>
      <c r="P98" s="408">
        <v>0</v>
      </c>
      <c r="Q98" s="408" t="s">
        <v>279</v>
      </c>
      <c r="R98" s="732">
        <v>0</v>
      </c>
    </row>
    <row r="99" spans="1:18" s="713" customFormat="1" ht="30">
      <c r="A99" s="711">
        <v>93</v>
      </c>
      <c r="B99" s="711"/>
      <c r="C99" s="711" t="s">
        <v>2277</v>
      </c>
      <c r="D99" s="712" t="s">
        <v>2310</v>
      </c>
      <c r="E99" s="711"/>
      <c r="H99" s="408">
        <v>0</v>
      </c>
      <c r="I99" s="408">
        <v>100000</v>
      </c>
      <c r="J99" s="732">
        <v>100000</v>
      </c>
      <c r="K99" s="733"/>
      <c r="L99" s="408">
        <v>0</v>
      </c>
      <c r="M99" s="408" t="s">
        <v>279</v>
      </c>
      <c r="N99" s="732">
        <v>0</v>
      </c>
      <c r="O99" s="734"/>
      <c r="P99" s="408">
        <v>0</v>
      </c>
      <c r="Q99" s="408" t="s">
        <v>279</v>
      </c>
      <c r="R99" s="732">
        <v>0</v>
      </c>
    </row>
    <row r="100" spans="1:18" s="713" customFormat="1" ht="30">
      <c r="A100" s="711">
        <v>94</v>
      </c>
      <c r="B100" s="711"/>
      <c r="C100" s="711" t="s">
        <v>2277</v>
      </c>
      <c r="D100" s="712" t="s">
        <v>2311</v>
      </c>
      <c r="E100" s="711"/>
      <c r="H100" s="408">
        <v>0</v>
      </c>
      <c r="I100" s="408">
        <v>0</v>
      </c>
      <c r="J100" s="732">
        <v>0</v>
      </c>
      <c r="K100" s="733"/>
      <c r="L100" s="408">
        <v>0</v>
      </c>
      <c r="M100" s="408">
        <v>400000</v>
      </c>
      <c r="N100" s="732">
        <v>400000</v>
      </c>
      <c r="O100" s="734"/>
      <c r="P100" s="408">
        <v>0</v>
      </c>
      <c r="Q100" s="408">
        <v>250000</v>
      </c>
      <c r="R100" s="732">
        <v>250000</v>
      </c>
    </row>
    <row r="101" spans="1:18" s="713" customFormat="1" ht="30">
      <c r="A101" s="711">
        <v>95</v>
      </c>
      <c r="B101" s="711"/>
      <c r="C101" s="711" t="s">
        <v>2277</v>
      </c>
      <c r="D101" s="712" t="s">
        <v>2312</v>
      </c>
      <c r="E101" s="711"/>
      <c r="H101" s="408">
        <v>0</v>
      </c>
      <c r="I101" s="408">
        <v>150000</v>
      </c>
      <c r="J101" s="732">
        <v>150000</v>
      </c>
      <c r="K101" s="733"/>
      <c r="L101" s="408">
        <v>0</v>
      </c>
      <c r="M101" s="408">
        <v>300000</v>
      </c>
      <c r="N101" s="732">
        <v>300000</v>
      </c>
      <c r="O101" s="734"/>
      <c r="P101" s="408">
        <v>0</v>
      </c>
      <c r="Q101" s="408" t="s">
        <v>279</v>
      </c>
      <c r="R101" s="732">
        <v>0</v>
      </c>
    </row>
    <row r="102" spans="1:18" s="713" customFormat="1" ht="45">
      <c r="A102" s="711">
        <v>96</v>
      </c>
      <c r="B102" s="711"/>
      <c r="C102" s="711" t="s">
        <v>2277</v>
      </c>
      <c r="D102" s="712" t="s">
        <v>2313</v>
      </c>
      <c r="E102" s="711"/>
      <c r="H102" s="408">
        <v>0</v>
      </c>
      <c r="I102" s="408">
        <v>100000</v>
      </c>
      <c r="J102" s="732">
        <v>100000</v>
      </c>
      <c r="K102" s="733"/>
      <c r="L102" s="408">
        <v>0</v>
      </c>
      <c r="M102" s="408">
        <v>300000</v>
      </c>
      <c r="N102" s="732">
        <v>300000</v>
      </c>
      <c r="O102" s="734"/>
      <c r="P102" s="408">
        <v>0</v>
      </c>
      <c r="Q102" s="408" t="s">
        <v>279</v>
      </c>
      <c r="R102" s="732">
        <v>0</v>
      </c>
    </row>
    <row r="103" spans="1:18" s="713" customFormat="1" ht="30">
      <c r="A103" s="711">
        <v>97</v>
      </c>
      <c r="B103" s="711"/>
      <c r="C103" s="711" t="s">
        <v>2277</v>
      </c>
      <c r="D103" s="712" t="s">
        <v>2314</v>
      </c>
      <c r="E103" s="711"/>
      <c r="H103" s="408">
        <v>0</v>
      </c>
      <c r="I103" s="408">
        <v>150000</v>
      </c>
      <c r="J103" s="732">
        <v>150000</v>
      </c>
      <c r="K103" s="733"/>
      <c r="L103" s="408">
        <v>0</v>
      </c>
      <c r="M103" s="408">
        <v>50000</v>
      </c>
      <c r="N103" s="732">
        <v>50000</v>
      </c>
      <c r="O103" s="734"/>
      <c r="P103" s="408">
        <v>0</v>
      </c>
      <c r="Q103" s="408">
        <v>1500000</v>
      </c>
      <c r="R103" s="732">
        <v>1500000</v>
      </c>
    </row>
    <row r="104" spans="1:18" s="713" customFormat="1" ht="30">
      <c r="A104" s="711">
        <v>98</v>
      </c>
      <c r="B104" s="711"/>
      <c r="C104" s="711" t="s">
        <v>2277</v>
      </c>
      <c r="D104" s="712" t="s">
        <v>2315</v>
      </c>
      <c r="E104" s="711"/>
      <c r="H104" s="408">
        <v>0</v>
      </c>
      <c r="I104" s="408">
        <v>200000</v>
      </c>
      <c r="J104" s="732">
        <v>200000</v>
      </c>
      <c r="K104" s="733"/>
      <c r="L104" s="408">
        <v>0</v>
      </c>
      <c r="M104" s="408">
        <v>500000</v>
      </c>
      <c r="N104" s="732">
        <v>500000</v>
      </c>
      <c r="O104" s="734"/>
      <c r="P104" s="408">
        <v>0</v>
      </c>
      <c r="Q104" s="408" t="s">
        <v>279</v>
      </c>
      <c r="R104" s="732">
        <v>0</v>
      </c>
    </row>
    <row r="105" spans="1:18" s="713" customFormat="1" ht="30">
      <c r="A105" s="711">
        <v>99</v>
      </c>
      <c r="B105" s="711"/>
      <c r="C105" s="711" t="s">
        <v>2277</v>
      </c>
      <c r="D105" s="712" t="s">
        <v>2316</v>
      </c>
      <c r="E105" s="711"/>
      <c r="H105" s="408">
        <v>0</v>
      </c>
      <c r="I105" s="408">
        <v>150000</v>
      </c>
      <c r="J105" s="732">
        <v>150000</v>
      </c>
      <c r="K105" s="733"/>
      <c r="L105" s="408">
        <v>0</v>
      </c>
      <c r="M105" s="408">
        <v>150000</v>
      </c>
      <c r="N105" s="732">
        <v>150000</v>
      </c>
      <c r="O105" s="734"/>
      <c r="P105" s="408">
        <v>0</v>
      </c>
      <c r="Q105" s="408">
        <v>300000</v>
      </c>
      <c r="R105" s="732">
        <v>300000</v>
      </c>
    </row>
    <row r="106" spans="1:18" s="713" customFormat="1" ht="30">
      <c r="A106" s="711">
        <v>100</v>
      </c>
      <c r="B106" s="711"/>
      <c r="C106" s="711" t="s">
        <v>2277</v>
      </c>
      <c r="D106" s="712" t="s">
        <v>2317</v>
      </c>
      <c r="E106" s="711"/>
      <c r="H106" s="408">
        <v>0</v>
      </c>
      <c r="I106" s="408">
        <v>100000</v>
      </c>
      <c r="J106" s="732">
        <v>100000</v>
      </c>
      <c r="K106" s="733"/>
      <c r="L106" s="408">
        <v>0</v>
      </c>
      <c r="M106" s="408">
        <v>400000</v>
      </c>
      <c r="N106" s="732">
        <v>400000</v>
      </c>
      <c r="O106" s="734"/>
      <c r="P106" s="408">
        <v>0</v>
      </c>
      <c r="Q106" s="408" t="s">
        <v>279</v>
      </c>
      <c r="R106" s="732">
        <v>0</v>
      </c>
    </row>
    <row r="107" spans="1:18" s="713" customFormat="1" ht="30">
      <c r="A107" s="711">
        <v>101</v>
      </c>
      <c r="B107" s="711"/>
      <c r="C107" s="711" t="s">
        <v>2277</v>
      </c>
      <c r="D107" s="712" t="s">
        <v>2318</v>
      </c>
      <c r="E107" s="711"/>
      <c r="H107" s="408">
        <v>0</v>
      </c>
      <c r="I107" s="408">
        <v>50000</v>
      </c>
      <c r="J107" s="732">
        <v>50000</v>
      </c>
      <c r="K107" s="733"/>
      <c r="L107" s="408">
        <v>0</v>
      </c>
      <c r="M107" s="408">
        <v>150000</v>
      </c>
      <c r="N107" s="732">
        <v>150000</v>
      </c>
      <c r="O107" s="734"/>
      <c r="P107" s="408">
        <v>0</v>
      </c>
      <c r="Q107" s="408" t="s">
        <v>279</v>
      </c>
      <c r="R107" s="732">
        <v>0</v>
      </c>
    </row>
    <row r="108" spans="1:18" s="713" customFormat="1">
      <c r="A108" s="711">
        <v>102</v>
      </c>
      <c r="B108" s="711"/>
      <c r="C108" s="711" t="s">
        <v>2277</v>
      </c>
      <c r="D108" s="712" t="s">
        <v>2319</v>
      </c>
      <c r="E108" s="711"/>
      <c r="H108" s="408">
        <v>0</v>
      </c>
      <c r="I108" s="408">
        <v>150000</v>
      </c>
      <c r="J108" s="732">
        <v>150000</v>
      </c>
      <c r="K108" s="733"/>
      <c r="L108" s="408">
        <v>0</v>
      </c>
      <c r="M108" s="408" t="s">
        <v>279</v>
      </c>
      <c r="N108" s="732">
        <v>0</v>
      </c>
      <c r="O108" s="734"/>
      <c r="P108" s="408">
        <v>0</v>
      </c>
      <c r="Q108" s="408">
        <v>600000</v>
      </c>
      <c r="R108" s="732">
        <v>600000</v>
      </c>
    </row>
    <row r="109" spans="1:18" s="713" customFormat="1" ht="30">
      <c r="A109" s="711">
        <v>103</v>
      </c>
      <c r="B109" s="711"/>
      <c r="C109" s="711" t="s">
        <v>2277</v>
      </c>
      <c r="D109" s="712" t="s">
        <v>2320</v>
      </c>
      <c r="E109" s="711"/>
      <c r="H109" s="408">
        <v>0</v>
      </c>
      <c r="I109" s="408">
        <v>1000000</v>
      </c>
      <c r="J109" s="732">
        <v>1000000</v>
      </c>
      <c r="K109" s="733"/>
      <c r="L109" s="408">
        <v>0</v>
      </c>
      <c r="M109" s="408" t="s">
        <v>279</v>
      </c>
      <c r="N109" s="732">
        <v>0</v>
      </c>
      <c r="O109" s="734"/>
      <c r="P109" s="408">
        <v>0</v>
      </c>
      <c r="Q109" s="408" t="s">
        <v>279</v>
      </c>
      <c r="R109" s="732">
        <v>0</v>
      </c>
    </row>
    <row r="110" spans="1:18" s="713" customFormat="1" ht="30">
      <c r="A110" s="711">
        <v>104</v>
      </c>
      <c r="B110" s="711"/>
      <c r="C110" s="711" t="s">
        <v>2277</v>
      </c>
      <c r="D110" s="712" t="s">
        <v>2321</v>
      </c>
      <c r="E110" s="711"/>
      <c r="H110" s="408">
        <v>0</v>
      </c>
      <c r="I110" s="408">
        <v>60000</v>
      </c>
      <c r="J110" s="732">
        <v>60000</v>
      </c>
      <c r="K110" s="733"/>
      <c r="L110" s="408">
        <v>0</v>
      </c>
      <c r="M110" s="408">
        <v>140000</v>
      </c>
      <c r="N110" s="732">
        <v>140000</v>
      </c>
      <c r="O110" s="734"/>
      <c r="P110" s="408">
        <v>0</v>
      </c>
      <c r="Q110" s="408">
        <v>200000</v>
      </c>
      <c r="R110" s="732">
        <v>200000</v>
      </c>
    </row>
    <row r="111" spans="1:18" s="713" customFormat="1" ht="30">
      <c r="A111" s="711">
        <v>105</v>
      </c>
      <c r="B111" s="711"/>
      <c r="C111" s="711" t="s">
        <v>2277</v>
      </c>
      <c r="D111" s="712" t="s">
        <v>2322</v>
      </c>
      <c r="E111" s="711"/>
      <c r="H111" s="408">
        <v>0</v>
      </c>
      <c r="I111" s="408">
        <v>480000</v>
      </c>
      <c r="J111" s="732">
        <v>480000</v>
      </c>
      <c r="K111" s="733"/>
      <c r="L111" s="408">
        <v>0</v>
      </c>
      <c r="M111" s="408" t="s">
        <v>279</v>
      </c>
      <c r="N111" s="732">
        <v>0</v>
      </c>
      <c r="O111" s="734"/>
      <c r="P111" s="408">
        <v>0</v>
      </c>
      <c r="Q111" s="408" t="s">
        <v>279</v>
      </c>
      <c r="R111" s="732">
        <v>0</v>
      </c>
    </row>
    <row r="112" spans="1:18" s="713" customFormat="1">
      <c r="A112" s="711">
        <v>106</v>
      </c>
      <c r="B112" s="711"/>
      <c r="C112" s="711" t="s">
        <v>2277</v>
      </c>
      <c r="D112" s="712" t="s">
        <v>2323</v>
      </c>
      <c r="E112" s="711"/>
      <c r="H112" s="408">
        <v>0</v>
      </c>
      <c r="I112" s="408">
        <v>332769</v>
      </c>
      <c r="J112" s="732">
        <v>332769</v>
      </c>
      <c r="K112" s="733"/>
      <c r="L112" s="408">
        <v>0</v>
      </c>
      <c r="M112" s="408">
        <v>0</v>
      </c>
      <c r="N112" s="732">
        <v>0</v>
      </c>
      <c r="O112" s="734"/>
      <c r="P112" s="408">
        <v>0</v>
      </c>
      <c r="Q112" s="408">
        <v>0</v>
      </c>
      <c r="R112" s="732">
        <v>0</v>
      </c>
    </row>
    <row r="113" spans="1:18" s="713" customFormat="1">
      <c r="A113" s="711">
        <v>107</v>
      </c>
      <c r="B113" s="711"/>
      <c r="C113" s="711" t="s">
        <v>2277</v>
      </c>
      <c r="D113" s="712" t="s">
        <v>2324</v>
      </c>
      <c r="E113" s="711"/>
      <c r="H113" s="408">
        <v>0</v>
      </c>
      <c r="I113" s="408">
        <v>75000</v>
      </c>
      <c r="J113" s="732">
        <v>75000</v>
      </c>
      <c r="K113" s="733"/>
      <c r="L113" s="408">
        <v>0</v>
      </c>
      <c r="M113" s="408">
        <v>0</v>
      </c>
      <c r="N113" s="732">
        <v>0</v>
      </c>
      <c r="O113" s="734"/>
      <c r="P113" s="408">
        <v>0</v>
      </c>
      <c r="Q113" s="408">
        <v>0</v>
      </c>
      <c r="R113" s="732">
        <v>0</v>
      </c>
    </row>
    <row r="114" spans="1:18" s="713" customFormat="1">
      <c r="A114" s="711">
        <v>108</v>
      </c>
      <c r="B114" s="711"/>
      <c r="C114" s="711" t="s">
        <v>2277</v>
      </c>
      <c r="D114" s="712" t="s">
        <v>2325</v>
      </c>
      <c r="E114" s="711"/>
      <c r="H114" s="408">
        <v>0</v>
      </c>
      <c r="I114" s="408">
        <v>50000</v>
      </c>
      <c r="J114" s="732">
        <v>50000</v>
      </c>
      <c r="K114" s="733"/>
      <c r="L114" s="408">
        <v>0</v>
      </c>
      <c r="M114" s="408">
        <v>0</v>
      </c>
      <c r="N114" s="732">
        <v>0</v>
      </c>
      <c r="O114" s="734"/>
      <c r="P114" s="408">
        <v>0</v>
      </c>
      <c r="Q114" s="408">
        <v>0</v>
      </c>
      <c r="R114" s="732">
        <v>0</v>
      </c>
    </row>
    <row r="115" spans="1:18" s="713" customFormat="1" ht="30">
      <c r="A115" s="711">
        <v>109</v>
      </c>
      <c r="B115" s="711"/>
      <c r="C115" s="711" t="s">
        <v>2277</v>
      </c>
      <c r="D115" s="712" t="s">
        <v>2326</v>
      </c>
      <c r="E115" s="711"/>
      <c r="H115" s="408">
        <v>0</v>
      </c>
      <c r="I115" s="408">
        <v>100000</v>
      </c>
      <c r="J115" s="732">
        <v>100000</v>
      </c>
      <c r="K115" s="733"/>
      <c r="L115" s="408">
        <v>0</v>
      </c>
      <c r="M115" s="408">
        <v>500000</v>
      </c>
      <c r="N115" s="732">
        <v>500000</v>
      </c>
      <c r="O115" s="734"/>
      <c r="P115" s="408">
        <v>0</v>
      </c>
      <c r="Q115" s="408">
        <v>500000</v>
      </c>
      <c r="R115" s="732">
        <v>500000</v>
      </c>
    </row>
    <row r="116" spans="1:18" s="713" customFormat="1" ht="30">
      <c r="A116" s="711">
        <v>110</v>
      </c>
      <c r="B116" s="711"/>
      <c r="C116" s="711" t="s">
        <v>2277</v>
      </c>
      <c r="D116" s="712" t="s">
        <v>2327</v>
      </c>
      <c r="E116" s="711"/>
      <c r="H116" s="408">
        <v>0</v>
      </c>
      <c r="I116" s="408">
        <v>500000</v>
      </c>
      <c r="J116" s="732">
        <v>500000</v>
      </c>
      <c r="K116" s="733"/>
      <c r="L116" s="408">
        <v>0</v>
      </c>
      <c r="M116" s="408" t="s">
        <v>279</v>
      </c>
      <c r="N116" s="732">
        <v>0</v>
      </c>
      <c r="O116" s="734"/>
      <c r="P116" s="408">
        <v>0</v>
      </c>
      <c r="Q116" s="408">
        <v>500000</v>
      </c>
      <c r="R116" s="732">
        <v>500000</v>
      </c>
    </row>
    <row r="117" spans="1:18" s="713" customFormat="1">
      <c r="A117" s="711">
        <v>111</v>
      </c>
      <c r="B117" s="711"/>
      <c r="C117" s="711" t="s">
        <v>2277</v>
      </c>
      <c r="D117" s="712" t="s">
        <v>2328</v>
      </c>
      <c r="E117" s="711"/>
      <c r="H117" s="408">
        <v>0</v>
      </c>
      <c r="I117" s="408">
        <v>20000000</v>
      </c>
      <c r="J117" s="732">
        <v>20000000</v>
      </c>
      <c r="K117" s="733"/>
      <c r="L117" s="408">
        <v>0</v>
      </c>
      <c r="M117" s="408">
        <v>60000000</v>
      </c>
      <c r="N117" s="732">
        <v>60000000</v>
      </c>
      <c r="O117" s="734"/>
      <c r="P117" s="408">
        <v>0</v>
      </c>
      <c r="Q117" s="408">
        <v>45000000</v>
      </c>
      <c r="R117" s="732">
        <v>45000000</v>
      </c>
    </row>
    <row r="118" spans="1:18" s="713" customFormat="1" ht="30">
      <c r="A118" s="711">
        <v>112</v>
      </c>
      <c r="B118" s="711"/>
      <c r="C118" s="711" t="s">
        <v>2277</v>
      </c>
      <c r="D118" s="712" t="s">
        <v>2329</v>
      </c>
      <c r="E118" s="711"/>
      <c r="H118" s="408">
        <v>0</v>
      </c>
      <c r="I118" s="408">
        <v>1100000</v>
      </c>
      <c r="J118" s="732">
        <v>1100000</v>
      </c>
      <c r="K118" s="733"/>
      <c r="L118" s="408">
        <v>0</v>
      </c>
      <c r="M118" s="408">
        <v>1400000</v>
      </c>
      <c r="N118" s="732">
        <v>1400000</v>
      </c>
      <c r="O118" s="734"/>
      <c r="P118" s="408">
        <v>0</v>
      </c>
      <c r="Q118" s="408">
        <v>0</v>
      </c>
      <c r="R118" s="732">
        <v>0</v>
      </c>
    </row>
    <row r="119" spans="1:18" s="713" customFormat="1" ht="30">
      <c r="A119" s="711">
        <v>113</v>
      </c>
      <c r="B119" s="711"/>
      <c r="C119" s="711" t="s">
        <v>2330</v>
      </c>
      <c r="D119" s="712" t="s">
        <v>2331</v>
      </c>
      <c r="E119" s="711"/>
      <c r="H119" s="408">
        <v>0</v>
      </c>
      <c r="I119" s="408">
        <v>100000</v>
      </c>
      <c r="J119" s="732">
        <v>100000</v>
      </c>
      <c r="K119" s="733"/>
      <c r="L119" s="408">
        <v>0</v>
      </c>
      <c r="M119" s="408">
        <v>100000</v>
      </c>
      <c r="N119" s="732">
        <v>100000</v>
      </c>
      <c r="O119" s="734"/>
      <c r="P119" s="408">
        <v>0</v>
      </c>
      <c r="Q119" s="408" t="s">
        <v>279</v>
      </c>
      <c r="R119" s="732">
        <v>0</v>
      </c>
    </row>
    <row r="120" spans="1:18" s="713" customFormat="1">
      <c r="A120" s="711">
        <v>114</v>
      </c>
      <c r="B120" s="711"/>
      <c r="C120" s="711" t="s">
        <v>2330</v>
      </c>
      <c r="D120" s="712" t="s">
        <v>2332</v>
      </c>
      <c r="E120" s="711"/>
      <c r="H120" s="408">
        <v>0</v>
      </c>
      <c r="I120" s="408">
        <v>375000</v>
      </c>
      <c r="J120" s="732">
        <v>375000</v>
      </c>
      <c r="K120" s="733"/>
      <c r="L120" s="408">
        <v>0</v>
      </c>
      <c r="M120" s="408">
        <v>1000000</v>
      </c>
      <c r="N120" s="732">
        <v>1000000</v>
      </c>
      <c r="O120" s="734"/>
      <c r="P120" s="408">
        <v>0</v>
      </c>
      <c r="Q120" s="408">
        <v>500000</v>
      </c>
      <c r="R120" s="732">
        <v>500000</v>
      </c>
    </row>
    <row r="121" spans="1:18" s="713" customFormat="1" ht="30">
      <c r="A121" s="711">
        <v>115</v>
      </c>
      <c r="B121" s="711"/>
      <c r="C121" s="711" t="s">
        <v>2330</v>
      </c>
      <c r="D121" s="712" t="s">
        <v>2251</v>
      </c>
      <c r="E121" s="711"/>
      <c r="H121" s="408">
        <v>0</v>
      </c>
      <c r="I121" s="408">
        <v>500000</v>
      </c>
      <c r="J121" s="732">
        <v>500000</v>
      </c>
      <c r="K121" s="733"/>
      <c r="L121" s="408">
        <v>0</v>
      </c>
      <c r="M121" s="408">
        <v>250000</v>
      </c>
      <c r="N121" s="732">
        <v>250000</v>
      </c>
      <c r="O121" s="734"/>
      <c r="P121" s="408">
        <v>0</v>
      </c>
      <c r="Q121" s="408">
        <v>250000</v>
      </c>
      <c r="R121" s="732">
        <v>250000</v>
      </c>
    </row>
    <row r="122" spans="1:18" s="713" customFormat="1">
      <c r="A122" s="711">
        <v>116</v>
      </c>
      <c r="B122" s="711"/>
      <c r="C122" s="711" t="s">
        <v>2330</v>
      </c>
      <c r="D122" s="712" t="s">
        <v>2333</v>
      </c>
      <c r="E122" s="711"/>
      <c r="H122" s="408">
        <v>0</v>
      </c>
      <c r="I122" s="408">
        <v>150000</v>
      </c>
      <c r="J122" s="732">
        <v>150000</v>
      </c>
      <c r="K122" s="733"/>
      <c r="L122" s="408">
        <v>0</v>
      </c>
      <c r="M122" s="408" t="s">
        <v>279</v>
      </c>
      <c r="N122" s="732">
        <v>0</v>
      </c>
      <c r="O122" s="734"/>
      <c r="P122" s="408">
        <v>0</v>
      </c>
      <c r="Q122" s="408" t="s">
        <v>279</v>
      </c>
      <c r="R122" s="732">
        <v>0</v>
      </c>
    </row>
    <row r="123" spans="1:18" s="713" customFormat="1">
      <c r="A123" s="711">
        <v>117</v>
      </c>
      <c r="B123" s="711"/>
      <c r="C123" s="711" t="s">
        <v>2330</v>
      </c>
      <c r="D123" s="712" t="s">
        <v>2334</v>
      </c>
      <c r="E123" s="711"/>
      <c r="H123" s="408">
        <v>0</v>
      </c>
      <c r="I123" s="408">
        <v>750000</v>
      </c>
      <c r="J123" s="732">
        <v>750000</v>
      </c>
      <c r="K123" s="733"/>
      <c r="L123" s="408">
        <v>0</v>
      </c>
      <c r="M123" s="408">
        <v>2300000</v>
      </c>
      <c r="N123" s="732">
        <v>2300000</v>
      </c>
      <c r="O123" s="734"/>
      <c r="P123" s="408">
        <v>0</v>
      </c>
      <c r="Q123" s="408" t="s">
        <v>279</v>
      </c>
      <c r="R123" s="732">
        <v>0</v>
      </c>
    </row>
    <row r="124" spans="1:18" s="713" customFormat="1" ht="30">
      <c r="A124" s="711">
        <v>118</v>
      </c>
      <c r="B124" s="711"/>
      <c r="C124" s="711" t="s">
        <v>2330</v>
      </c>
      <c r="D124" s="712" t="s">
        <v>2335</v>
      </c>
      <c r="E124" s="711"/>
      <c r="H124" s="408">
        <v>0</v>
      </c>
      <c r="I124" s="408">
        <v>1000000</v>
      </c>
      <c r="J124" s="732">
        <v>1000000</v>
      </c>
      <c r="K124" s="733"/>
      <c r="L124" s="408">
        <v>0</v>
      </c>
      <c r="M124" s="408">
        <v>1000000</v>
      </c>
      <c r="N124" s="732">
        <v>1000000</v>
      </c>
      <c r="O124" s="734"/>
      <c r="P124" s="408">
        <v>0</v>
      </c>
      <c r="Q124" s="408">
        <v>1000000</v>
      </c>
      <c r="R124" s="732">
        <v>1000000</v>
      </c>
    </row>
    <row r="125" spans="1:18" s="713" customFormat="1">
      <c r="A125" s="711">
        <v>119</v>
      </c>
      <c r="B125" s="711"/>
      <c r="C125" s="711" t="s">
        <v>2330</v>
      </c>
      <c r="D125" s="712" t="s">
        <v>2336</v>
      </c>
      <c r="E125" s="711"/>
      <c r="H125" s="408">
        <v>0</v>
      </c>
      <c r="I125" s="408">
        <v>0</v>
      </c>
      <c r="J125" s="732">
        <v>0</v>
      </c>
      <c r="K125" s="733"/>
      <c r="L125" s="408">
        <v>0</v>
      </c>
      <c r="M125" s="408">
        <v>992250</v>
      </c>
      <c r="N125" s="732">
        <v>992250</v>
      </c>
      <c r="O125" s="734"/>
      <c r="P125" s="408">
        <v>0</v>
      </c>
      <c r="Q125" s="408" t="s">
        <v>279</v>
      </c>
      <c r="R125" s="732">
        <v>0</v>
      </c>
    </row>
    <row r="126" spans="1:18" s="713" customFormat="1">
      <c r="A126" s="711">
        <v>120</v>
      </c>
      <c r="B126" s="711"/>
      <c r="C126" s="711" t="s">
        <v>2330</v>
      </c>
      <c r="D126" s="712" t="s">
        <v>2337</v>
      </c>
      <c r="E126" s="711"/>
      <c r="H126" s="408">
        <v>0</v>
      </c>
      <c r="I126" s="408">
        <v>150000</v>
      </c>
      <c r="J126" s="732">
        <v>150000</v>
      </c>
      <c r="K126" s="733"/>
      <c r="L126" s="408">
        <v>0</v>
      </c>
      <c r="M126" s="408">
        <v>155000</v>
      </c>
      <c r="N126" s="732">
        <v>155000</v>
      </c>
      <c r="O126" s="734"/>
      <c r="P126" s="408">
        <v>0</v>
      </c>
      <c r="Q126" s="408">
        <v>160000</v>
      </c>
      <c r="R126" s="732">
        <v>160000</v>
      </c>
    </row>
    <row r="127" spans="1:18" s="713" customFormat="1">
      <c r="A127" s="711">
        <v>121</v>
      </c>
      <c r="B127" s="711"/>
      <c r="C127" s="711" t="s">
        <v>2330</v>
      </c>
      <c r="D127" s="712" t="s">
        <v>2338</v>
      </c>
      <c r="E127" s="711"/>
      <c r="H127" s="408">
        <v>0</v>
      </c>
      <c r="I127" s="408">
        <v>100000</v>
      </c>
      <c r="J127" s="732">
        <v>100000</v>
      </c>
      <c r="K127" s="733"/>
      <c r="L127" s="408">
        <v>0</v>
      </c>
      <c r="M127" s="408">
        <v>100000</v>
      </c>
      <c r="N127" s="732">
        <v>100000</v>
      </c>
      <c r="O127" s="734"/>
      <c r="P127" s="408">
        <v>0</v>
      </c>
      <c r="Q127" s="408">
        <v>100000</v>
      </c>
      <c r="R127" s="732">
        <v>100000</v>
      </c>
    </row>
    <row r="128" spans="1:18" s="713" customFormat="1">
      <c r="A128" s="711">
        <v>122</v>
      </c>
      <c r="B128" s="711"/>
      <c r="C128" s="711" t="s">
        <v>2330</v>
      </c>
      <c r="D128" s="712" t="s">
        <v>2339</v>
      </c>
      <c r="E128" s="711"/>
      <c r="H128" s="408">
        <v>0</v>
      </c>
      <c r="I128" s="408">
        <v>250000</v>
      </c>
      <c r="J128" s="732">
        <v>250000</v>
      </c>
      <c r="K128" s="733"/>
      <c r="L128" s="408">
        <v>0</v>
      </c>
      <c r="M128" s="408">
        <v>100000</v>
      </c>
      <c r="N128" s="732">
        <v>100000</v>
      </c>
      <c r="O128" s="734"/>
      <c r="P128" s="408">
        <v>0</v>
      </c>
      <c r="Q128" s="408">
        <v>100000</v>
      </c>
      <c r="R128" s="732">
        <v>100000</v>
      </c>
    </row>
    <row r="129" spans="1:18" s="713" customFormat="1">
      <c r="A129" s="711">
        <v>123</v>
      </c>
      <c r="B129" s="711"/>
      <c r="C129" s="711" t="s">
        <v>2330</v>
      </c>
      <c r="D129" s="712" t="s">
        <v>2340</v>
      </c>
      <c r="E129" s="711"/>
      <c r="H129" s="408">
        <v>0</v>
      </c>
      <c r="I129" s="408">
        <v>262500</v>
      </c>
      <c r="J129" s="732">
        <v>262500</v>
      </c>
      <c r="K129" s="733"/>
      <c r="L129" s="408">
        <v>0</v>
      </c>
      <c r="M129" s="408">
        <v>275625</v>
      </c>
      <c r="N129" s="732">
        <v>275625</v>
      </c>
      <c r="O129" s="734"/>
      <c r="P129" s="408">
        <v>0</v>
      </c>
      <c r="Q129" s="408" t="s">
        <v>279</v>
      </c>
      <c r="R129" s="732">
        <v>0</v>
      </c>
    </row>
    <row r="130" spans="1:18" s="713" customFormat="1">
      <c r="A130" s="711">
        <v>124</v>
      </c>
      <c r="B130" s="711"/>
      <c r="C130" s="711" t="s">
        <v>2330</v>
      </c>
      <c r="D130" s="712" t="s">
        <v>2341</v>
      </c>
      <c r="E130" s="711"/>
      <c r="H130" s="408">
        <v>0</v>
      </c>
      <c r="I130" s="408">
        <v>52500</v>
      </c>
      <c r="J130" s="732">
        <v>52500</v>
      </c>
      <c r="K130" s="733"/>
      <c r="L130" s="408">
        <v>0</v>
      </c>
      <c r="M130" s="408">
        <v>55125</v>
      </c>
      <c r="N130" s="732">
        <v>55125</v>
      </c>
      <c r="O130" s="734"/>
      <c r="P130" s="408">
        <v>0</v>
      </c>
      <c r="Q130" s="408" t="s">
        <v>279</v>
      </c>
      <c r="R130" s="732">
        <v>0</v>
      </c>
    </row>
    <row r="131" spans="1:18" s="713" customFormat="1">
      <c r="A131" s="711">
        <v>125</v>
      </c>
      <c r="B131" s="711"/>
      <c r="C131" s="711" t="s">
        <v>2330</v>
      </c>
      <c r="D131" s="712" t="s">
        <v>2342</v>
      </c>
      <c r="E131" s="711"/>
      <c r="H131" s="408">
        <v>0</v>
      </c>
      <c r="I131" s="408">
        <v>350000</v>
      </c>
      <c r="J131" s="732">
        <v>350000</v>
      </c>
      <c r="K131" s="733"/>
      <c r="L131" s="408">
        <v>0</v>
      </c>
      <c r="M131" s="408">
        <v>400000</v>
      </c>
      <c r="N131" s="732">
        <v>400000</v>
      </c>
      <c r="O131" s="734"/>
      <c r="P131" s="408">
        <v>0</v>
      </c>
      <c r="Q131" s="408" t="s">
        <v>279</v>
      </c>
      <c r="R131" s="732">
        <v>0</v>
      </c>
    </row>
    <row r="132" spans="1:18" s="713" customFormat="1">
      <c r="A132" s="711">
        <v>126</v>
      </c>
      <c r="B132" s="711"/>
      <c r="C132" s="711" t="s">
        <v>2330</v>
      </c>
      <c r="D132" s="712" t="s">
        <v>2343</v>
      </c>
      <c r="E132" s="711"/>
      <c r="H132" s="408">
        <v>0</v>
      </c>
      <c r="I132" s="408">
        <v>341250</v>
      </c>
      <c r="J132" s="732">
        <v>341250</v>
      </c>
      <c r="K132" s="733"/>
      <c r="L132" s="408">
        <v>0</v>
      </c>
      <c r="M132" s="408" t="s">
        <v>279</v>
      </c>
      <c r="N132" s="732">
        <v>0</v>
      </c>
      <c r="O132" s="734"/>
      <c r="P132" s="408">
        <v>0</v>
      </c>
      <c r="Q132" s="408" t="s">
        <v>279</v>
      </c>
      <c r="R132" s="732">
        <v>0</v>
      </c>
    </row>
    <row r="133" spans="1:18" s="713" customFormat="1">
      <c r="A133" s="711">
        <v>127</v>
      </c>
      <c r="B133" s="711"/>
      <c r="C133" s="711" t="s">
        <v>2330</v>
      </c>
      <c r="D133" s="712" t="s">
        <v>2344</v>
      </c>
      <c r="E133" s="711"/>
      <c r="H133" s="408">
        <v>0</v>
      </c>
      <c r="I133" s="408">
        <v>2000000</v>
      </c>
      <c r="J133" s="732">
        <v>2000000</v>
      </c>
      <c r="K133" s="733"/>
      <c r="L133" s="408">
        <v>0</v>
      </c>
      <c r="M133" s="408">
        <v>0</v>
      </c>
      <c r="N133" s="732">
        <v>0</v>
      </c>
      <c r="O133" s="734"/>
      <c r="P133" s="408">
        <v>0</v>
      </c>
      <c r="Q133" s="408">
        <v>2000000</v>
      </c>
      <c r="R133" s="732">
        <v>2000000</v>
      </c>
    </row>
    <row r="134" spans="1:18" s="713" customFormat="1">
      <c r="A134" s="711">
        <v>128</v>
      </c>
      <c r="B134" s="711"/>
      <c r="C134" s="711" t="s">
        <v>2330</v>
      </c>
      <c r="D134" s="712" t="s">
        <v>2345</v>
      </c>
      <c r="E134" s="711"/>
      <c r="H134" s="408">
        <v>0</v>
      </c>
      <c r="I134" s="408">
        <v>0</v>
      </c>
      <c r="J134" s="732">
        <v>0</v>
      </c>
      <c r="K134" s="733"/>
      <c r="L134" s="408">
        <v>0</v>
      </c>
      <c r="M134" s="408">
        <v>3000000</v>
      </c>
      <c r="N134" s="732">
        <v>3000000</v>
      </c>
      <c r="O134" s="734"/>
      <c r="P134" s="408">
        <v>0</v>
      </c>
      <c r="Q134" s="408">
        <v>0</v>
      </c>
      <c r="R134" s="732">
        <v>0</v>
      </c>
    </row>
    <row r="135" spans="1:18" s="713" customFormat="1">
      <c r="A135" s="711">
        <v>129</v>
      </c>
      <c r="B135" s="711"/>
      <c r="C135" s="711" t="s">
        <v>2330</v>
      </c>
      <c r="D135" s="712" t="s">
        <v>2346</v>
      </c>
      <c r="E135" s="711"/>
      <c r="H135" s="408">
        <v>0</v>
      </c>
      <c r="I135" s="408">
        <v>220000</v>
      </c>
      <c r="J135" s="732">
        <v>220000</v>
      </c>
      <c r="K135" s="733"/>
      <c r="L135" s="408">
        <v>0</v>
      </c>
      <c r="M135" s="408">
        <v>220000</v>
      </c>
      <c r="N135" s="732">
        <v>220000</v>
      </c>
      <c r="O135" s="734"/>
      <c r="P135" s="408">
        <v>0</v>
      </c>
      <c r="Q135" s="408" t="s">
        <v>279</v>
      </c>
      <c r="R135" s="732">
        <v>0</v>
      </c>
    </row>
    <row r="136" spans="1:18" s="713" customFormat="1">
      <c r="A136" s="711">
        <v>130</v>
      </c>
      <c r="B136" s="711"/>
      <c r="C136" s="711" t="s">
        <v>2330</v>
      </c>
      <c r="D136" s="712" t="s">
        <v>2347</v>
      </c>
      <c r="E136" s="711"/>
      <c r="H136" s="408">
        <v>0</v>
      </c>
      <c r="I136" s="408">
        <v>150000</v>
      </c>
      <c r="J136" s="732">
        <v>150000</v>
      </c>
      <c r="K136" s="733"/>
      <c r="L136" s="408">
        <v>0</v>
      </c>
      <c r="M136" s="408">
        <v>150000</v>
      </c>
      <c r="N136" s="732">
        <v>150000</v>
      </c>
      <c r="O136" s="734"/>
      <c r="P136" s="408">
        <v>0</v>
      </c>
      <c r="Q136" s="408" t="s">
        <v>279</v>
      </c>
      <c r="R136" s="732">
        <v>0</v>
      </c>
    </row>
    <row r="137" spans="1:18" s="713" customFormat="1" ht="30">
      <c r="A137" s="711">
        <v>131</v>
      </c>
      <c r="B137" s="711"/>
      <c r="C137" s="711" t="s">
        <v>2330</v>
      </c>
      <c r="D137" s="712" t="s">
        <v>2348</v>
      </c>
      <c r="E137" s="711"/>
      <c r="H137" s="408">
        <v>0</v>
      </c>
      <c r="I137" s="408">
        <v>100000</v>
      </c>
      <c r="J137" s="732">
        <v>100000</v>
      </c>
      <c r="K137" s="733"/>
      <c r="L137" s="408">
        <v>0</v>
      </c>
      <c r="M137" s="408">
        <v>0</v>
      </c>
      <c r="N137" s="732">
        <v>0</v>
      </c>
      <c r="O137" s="734"/>
      <c r="P137" s="408">
        <v>0</v>
      </c>
      <c r="Q137" s="408">
        <v>0</v>
      </c>
      <c r="R137" s="732">
        <v>0</v>
      </c>
    </row>
    <row r="138" spans="1:18" s="713" customFormat="1">
      <c r="A138" s="711">
        <v>132</v>
      </c>
      <c r="B138" s="711"/>
      <c r="C138" s="711" t="s">
        <v>2330</v>
      </c>
      <c r="D138" s="712" t="s">
        <v>2349</v>
      </c>
      <c r="E138" s="711"/>
      <c r="H138" s="408">
        <v>0</v>
      </c>
      <c r="I138" s="408">
        <v>250000</v>
      </c>
      <c r="J138" s="732">
        <v>250000</v>
      </c>
      <c r="K138" s="733"/>
      <c r="L138" s="408">
        <v>0</v>
      </c>
      <c r="M138" s="408">
        <v>50000</v>
      </c>
      <c r="N138" s="732">
        <v>50000</v>
      </c>
      <c r="O138" s="734"/>
      <c r="P138" s="408">
        <v>0</v>
      </c>
      <c r="Q138" s="408">
        <v>50000</v>
      </c>
      <c r="R138" s="732">
        <v>50000</v>
      </c>
    </row>
    <row r="139" spans="1:18" s="713" customFormat="1" ht="30">
      <c r="A139" s="711">
        <v>133</v>
      </c>
      <c r="B139" s="711"/>
      <c r="C139" s="711" t="s">
        <v>2330</v>
      </c>
      <c r="D139" s="712" t="s">
        <v>2350</v>
      </c>
      <c r="E139" s="711"/>
      <c r="H139" s="408">
        <v>0</v>
      </c>
      <c r="I139" s="408">
        <v>600000</v>
      </c>
      <c r="J139" s="732">
        <v>600000</v>
      </c>
      <c r="K139" s="733"/>
      <c r="L139" s="408">
        <v>0</v>
      </c>
      <c r="M139" s="408">
        <v>100000</v>
      </c>
      <c r="N139" s="732">
        <v>100000</v>
      </c>
      <c r="O139" s="734"/>
      <c r="P139" s="408">
        <v>0</v>
      </c>
      <c r="Q139" s="408">
        <v>100000</v>
      </c>
      <c r="R139" s="732">
        <v>100000</v>
      </c>
    </row>
    <row r="140" spans="1:18" s="713" customFormat="1" ht="30">
      <c r="A140" s="711">
        <v>134</v>
      </c>
      <c r="B140" s="711"/>
      <c r="C140" s="711" t="s">
        <v>2330</v>
      </c>
      <c r="D140" s="712" t="s">
        <v>2351</v>
      </c>
      <c r="E140" s="711"/>
      <c r="H140" s="408">
        <v>0</v>
      </c>
      <c r="I140" s="408">
        <v>0</v>
      </c>
      <c r="J140" s="732">
        <v>0</v>
      </c>
      <c r="K140" s="733"/>
      <c r="L140" s="408">
        <v>0</v>
      </c>
      <c r="M140" s="408">
        <v>50000</v>
      </c>
      <c r="N140" s="732">
        <v>50000</v>
      </c>
      <c r="O140" s="734"/>
      <c r="P140" s="408">
        <v>0</v>
      </c>
      <c r="Q140" s="408">
        <v>50000</v>
      </c>
      <c r="R140" s="732">
        <v>50000</v>
      </c>
    </row>
    <row r="141" spans="1:18" s="713" customFormat="1">
      <c r="A141" s="711">
        <v>135</v>
      </c>
      <c r="B141" s="711"/>
      <c r="C141" s="711" t="s">
        <v>2330</v>
      </c>
      <c r="D141" s="712" t="s">
        <v>2352</v>
      </c>
      <c r="E141" s="711"/>
      <c r="H141" s="408">
        <v>0</v>
      </c>
      <c r="I141" s="408">
        <v>75000</v>
      </c>
      <c r="J141" s="732">
        <v>75000</v>
      </c>
      <c r="K141" s="733"/>
      <c r="L141" s="408">
        <v>0</v>
      </c>
      <c r="M141" s="408">
        <v>75000</v>
      </c>
      <c r="N141" s="732">
        <v>75000</v>
      </c>
      <c r="O141" s="734"/>
      <c r="P141" s="408">
        <v>0</v>
      </c>
      <c r="Q141" s="408" t="s">
        <v>279</v>
      </c>
      <c r="R141" s="732">
        <v>0</v>
      </c>
    </row>
    <row r="142" spans="1:18" s="713" customFormat="1" ht="30">
      <c r="A142" s="711">
        <v>136</v>
      </c>
      <c r="B142" s="711"/>
      <c r="C142" s="711" t="s">
        <v>2330</v>
      </c>
      <c r="D142" s="712" t="s">
        <v>2353</v>
      </c>
      <c r="E142" s="711"/>
      <c r="H142" s="408">
        <v>0</v>
      </c>
      <c r="I142" s="408">
        <v>75000</v>
      </c>
      <c r="J142" s="732">
        <v>75000</v>
      </c>
      <c r="K142" s="733"/>
      <c r="L142" s="408">
        <v>0</v>
      </c>
      <c r="M142" s="408">
        <v>75000</v>
      </c>
      <c r="N142" s="732">
        <v>75000</v>
      </c>
      <c r="O142" s="734"/>
      <c r="P142" s="408">
        <v>0</v>
      </c>
      <c r="Q142" s="408" t="s">
        <v>279</v>
      </c>
      <c r="R142" s="732">
        <v>0</v>
      </c>
    </row>
    <row r="143" spans="1:18" s="713" customFormat="1" ht="30">
      <c r="A143" s="711">
        <v>137</v>
      </c>
      <c r="B143" s="711"/>
      <c r="C143" s="711" t="s">
        <v>2120</v>
      </c>
      <c r="D143" s="712" t="s">
        <v>2354</v>
      </c>
      <c r="E143" s="711"/>
      <c r="H143" s="408">
        <v>0</v>
      </c>
      <c r="I143" s="408">
        <v>0</v>
      </c>
      <c r="J143" s="732">
        <v>0</v>
      </c>
      <c r="K143" s="733"/>
      <c r="L143" s="408">
        <v>0</v>
      </c>
      <c r="M143" s="408">
        <v>1000000</v>
      </c>
      <c r="N143" s="732">
        <v>1000000</v>
      </c>
      <c r="O143" s="734"/>
      <c r="P143" s="408">
        <v>0</v>
      </c>
      <c r="Q143" s="408">
        <v>3000000</v>
      </c>
      <c r="R143" s="732">
        <v>3000000</v>
      </c>
    </row>
    <row r="144" spans="1:18" s="713" customFormat="1" ht="30">
      <c r="A144" s="711">
        <v>138</v>
      </c>
      <c r="B144" s="711"/>
      <c r="C144" s="711" t="s">
        <v>2120</v>
      </c>
      <c r="D144" s="712" t="s">
        <v>2355</v>
      </c>
      <c r="E144" s="711"/>
      <c r="H144" s="408">
        <v>0</v>
      </c>
      <c r="I144" s="408">
        <v>0</v>
      </c>
      <c r="J144" s="732">
        <v>0</v>
      </c>
      <c r="K144" s="733"/>
      <c r="L144" s="408">
        <v>0</v>
      </c>
      <c r="M144" s="408">
        <v>0</v>
      </c>
      <c r="N144" s="732">
        <v>0</v>
      </c>
      <c r="O144" s="734"/>
      <c r="P144" s="408">
        <v>0</v>
      </c>
      <c r="Q144" s="408">
        <v>3000000</v>
      </c>
      <c r="R144" s="732">
        <v>3000000</v>
      </c>
    </row>
    <row r="145" spans="1:18" s="713" customFormat="1" ht="30">
      <c r="A145" s="711">
        <v>139</v>
      </c>
      <c r="B145" s="711"/>
      <c r="C145" s="711" t="s">
        <v>2120</v>
      </c>
      <c r="D145" s="712" t="s">
        <v>2356</v>
      </c>
      <c r="E145" s="711"/>
      <c r="H145" s="408">
        <v>0</v>
      </c>
      <c r="I145" s="408">
        <v>1000000</v>
      </c>
      <c r="J145" s="732">
        <v>1000000</v>
      </c>
      <c r="K145" s="733"/>
      <c r="L145" s="408">
        <v>0</v>
      </c>
      <c r="M145" s="408">
        <v>1000000</v>
      </c>
      <c r="N145" s="732">
        <v>1000000</v>
      </c>
      <c r="O145" s="734"/>
      <c r="P145" s="408">
        <v>0</v>
      </c>
      <c r="Q145" s="408">
        <v>2000000</v>
      </c>
      <c r="R145" s="732">
        <v>2000000</v>
      </c>
    </row>
    <row r="146" spans="1:18" s="713" customFormat="1">
      <c r="A146" s="711">
        <v>140</v>
      </c>
      <c r="B146" s="711"/>
      <c r="C146" s="711" t="s">
        <v>2120</v>
      </c>
      <c r="D146" s="712" t="s">
        <v>2357</v>
      </c>
      <c r="E146" s="711"/>
      <c r="H146" s="408">
        <v>0</v>
      </c>
      <c r="I146" s="408">
        <v>450000</v>
      </c>
      <c r="J146" s="732">
        <v>450000</v>
      </c>
      <c r="K146" s="733"/>
      <c r="L146" s="408">
        <v>0</v>
      </c>
      <c r="M146" s="408">
        <v>450000</v>
      </c>
      <c r="N146" s="732">
        <v>450000</v>
      </c>
      <c r="O146" s="734"/>
      <c r="P146" s="408">
        <v>0</v>
      </c>
      <c r="Q146" s="408">
        <v>0</v>
      </c>
      <c r="R146" s="732">
        <v>0</v>
      </c>
    </row>
    <row r="147" spans="1:18" s="713" customFormat="1" ht="30">
      <c r="A147" s="711">
        <v>141</v>
      </c>
      <c r="B147" s="711"/>
      <c r="C147" s="711" t="s">
        <v>2120</v>
      </c>
      <c r="D147" s="712" t="s">
        <v>2358</v>
      </c>
      <c r="E147" s="711"/>
      <c r="H147" s="408">
        <v>0</v>
      </c>
      <c r="I147" s="408">
        <v>0</v>
      </c>
      <c r="J147" s="732">
        <v>0</v>
      </c>
      <c r="K147" s="733"/>
      <c r="L147" s="408">
        <v>0</v>
      </c>
      <c r="M147" s="408">
        <v>500000</v>
      </c>
      <c r="N147" s="732">
        <v>500000</v>
      </c>
      <c r="O147" s="734"/>
      <c r="P147" s="408">
        <v>0</v>
      </c>
      <c r="Q147" s="408">
        <v>1000000</v>
      </c>
      <c r="R147" s="732">
        <v>1000000</v>
      </c>
    </row>
    <row r="148" spans="1:18" s="713" customFormat="1" ht="30">
      <c r="A148" s="711">
        <v>142</v>
      </c>
      <c r="B148" s="711"/>
      <c r="C148" s="711" t="s">
        <v>2120</v>
      </c>
      <c r="D148" s="712" t="s">
        <v>2359</v>
      </c>
      <c r="E148" s="711"/>
      <c r="H148" s="408">
        <v>0</v>
      </c>
      <c r="I148" s="408">
        <v>0</v>
      </c>
      <c r="J148" s="732">
        <v>0</v>
      </c>
      <c r="K148" s="733"/>
      <c r="L148" s="408">
        <v>0</v>
      </c>
      <c r="M148" s="408">
        <v>500000</v>
      </c>
      <c r="N148" s="732">
        <v>500000</v>
      </c>
      <c r="O148" s="734"/>
      <c r="P148" s="408">
        <v>0</v>
      </c>
      <c r="Q148" s="408">
        <v>1000000</v>
      </c>
      <c r="R148" s="732">
        <v>1000000</v>
      </c>
    </row>
    <row r="149" spans="1:18" s="713" customFormat="1" ht="45">
      <c r="A149" s="711">
        <v>143</v>
      </c>
      <c r="B149" s="711"/>
      <c r="C149" s="711" t="s">
        <v>2120</v>
      </c>
      <c r="D149" s="712" t="s">
        <v>2360</v>
      </c>
      <c r="E149" s="711"/>
      <c r="H149" s="408">
        <v>0</v>
      </c>
      <c r="I149" s="408">
        <v>175000</v>
      </c>
      <c r="J149" s="732">
        <v>175000</v>
      </c>
      <c r="K149" s="733"/>
      <c r="L149" s="408">
        <v>0</v>
      </c>
      <c r="M149" s="408">
        <v>175000</v>
      </c>
      <c r="N149" s="732">
        <v>175000</v>
      </c>
      <c r="O149" s="734"/>
      <c r="P149" s="408">
        <v>0</v>
      </c>
      <c r="Q149" s="408">
        <v>0</v>
      </c>
      <c r="R149" s="732">
        <v>0</v>
      </c>
    </row>
    <row r="150" spans="1:18" s="713" customFormat="1" ht="30">
      <c r="A150" s="711">
        <v>144</v>
      </c>
      <c r="B150" s="711"/>
      <c r="C150" s="711" t="s">
        <v>2120</v>
      </c>
      <c r="D150" s="712" t="s">
        <v>2361</v>
      </c>
      <c r="E150" s="711"/>
      <c r="H150" s="408">
        <v>0</v>
      </c>
      <c r="I150" s="408">
        <v>0</v>
      </c>
      <c r="J150" s="732">
        <v>0</v>
      </c>
      <c r="K150" s="733"/>
      <c r="L150" s="408">
        <v>0</v>
      </c>
      <c r="M150" s="408">
        <v>375000</v>
      </c>
      <c r="N150" s="732">
        <v>375000</v>
      </c>
      <c r="O150" s="734"/>
      <c r="P150" s="408">
        <v>0</v>
      </c>
      <c r="Q150" s="408">
        <v>0</v>
      </c>
      <c r="R150" s="732">
        <v>0</v>
      </c>
    </row>
    <row r="151" spans="1:18" s="713" customFormat="1">
      <c r="A151" s="711">
        <v>145</v>
      </c>
      <c r="B151" s="711"/>
      <c r="C151" s="711" t="s">
        <v>2120</v>
      </c>
      <c r="D151" s="712" t="s">
        <v>2362</v>
      </c>
      <c r="E151" s="711"/>
      <c r="H151" s="408">
        <v>0</v>
      </c>
      <c r="I151" s="408">
        <v>375000</v>
      </c>
      <c r="J151" s="732">
        <v>375000</v>
      </c>
      <c r="K151" s="733"/>
      <c r="L151" s="408">
        <v>0</v>
      </c>
      <c r="M151" s="408">
        <v>0</v>
      </c>
      <c r="N151" s="732">
        <v>0</v>
      </c>
      <c r="O151" s="734"/>
      <c r="P151" s="408">
        <v>0</v>
      </c>
      <c r="Q151" s="408">
        <v>0</v>
      </c>
      <c r="R151" s="732">
        <v>0</v>
      </c>
    </row>
    <row r="152" spans="1:18" s="713" customFormat="1">
      <c r="A152" s="711">
        <v>146</v>
      </c>
      <c r="B152" s="711"/>
      <c r="C152" s="711" t="s">
        <v>2120</v>
      </c>
      <c r="D152" s="712" t="s">
        <v>2363</v>
      </c>
      <c r="E152" s="711"/>
      <c r="H152" s="408">
        <v>0</v>
      </c>
      <c r="I152" s="408">
        <v>1600000</v>
      </c>
      <c r="J152" s="732">
        <v>1600000</v>
      </c>
      <c r="K152" s="733"/>
      <c r="L152" s="408">
        <v>0</v>
      </c>
      <c r="M152" s="408">
        <v>0</v>
      </c>
      <c r="N152" s="732">
        <v>0</v>
      </c>
      <c r="O152" s="734"/>
      <c r="P152" s="408">
        <v>0</v>
      </c>
      <c r="Q152" s="408">
        <v>0</v>
      </c>
      <c r="R152" s="732">
        <v>0</v>
      </c>
    </row>
    <row r="153" spans="1:18" s="713" customFormat="1" ht="30">
      <c r="A153" s="711">
        <v>147</v>
      </c>
      <c r="B153" s="711"/>
      <c r="C153" s="711" t="s">
        <v>2120</v>
      </c>
      <c r="D153" s="712" t="s">
        <v>2364</v>
      </c>
      <c r="E153" s="711"/>
      <c r="H153" s="408">
        <v>0</v>
      </c>
      <c r="I153" s="408">
        <v>4000000</v>
      </c>
      <c r="J153" s="732">
        <v>4000000</v>
      </c>
      <c r="K153" s="733"/>
      <c r="L153" s="408">
        <v>0</v>
      </c>
      <c r="M153" s="408">
        <v>3254125.83</v>
      </c>
      <c r="N153" s="732">
        <v>3254125.83</v>
      </c>
      <c r="O153" s="734"/>
      <c r="P153" s="408">
        <v>0</v>
      </c>
      <c r="Q153" s="408">
        <v>0</v>
      </c>
      <c r="R153" s="732">
        <v>0</v>
      </c>
    </row>
    <row r="154" spans="1:18" s="713" customFormat="1" ht="30">
      <c r="A154" s="711">
        <v>148</v>
      </c>
      <c r="B154" s="711"/>
      <c r="C154" s="711" t="s">
        <v>2120</v>
      </c>
      <c r="D154" s="712" t="s">
        <v>2365</v>
      </c>
      <c r="E154" s="711"/>
      <c r="H154" s="408">
        <v>0</v>
      </c>
      <c r="I154" s="408">
        <v>3000000</v>
      </c>
      <c r="J154" s="732">
        <v>3000000</v>
      </c>
      <c r="K154" s="733"/>
      <c r="L154" s="408">
        <v>0</v>
      </c>
      <c r="M154" s="408">
        <v>4000000</v>
      </c>
      <c r="N154" s="732">
        <v>4000000</v>
      </c>
      <c r="O154" s="734"/>
      <c r="P154" s="408">
        <v>0</v>
      </c>
      <c r="Q154" s="408">
        <v>0</v>
      </c>
      <c r="R154" s="732">
        <v>0</v>
      </c>
    </row>
    <row r="155" spans="1:18" s="713" customFormat="1" ht="30">
      <c r="A155" s="711">
        <v>149</v>
      </c>
      <c r="B155" s="711"/>
      <c r="C155" s="711" t="s">
        <v>2120</v>
      </c>
      <c r="D155" s="712" t="s">
        <v>2366</v>
      </c>
      <c r="E155" s="711"/>
      <c r="H155" s="408">
        <v>0</v>
      </c>
      <c r="I155" s="408">
        <v>275000</v>
      </c>
      <c r="J155" s="732">
        <v>275000</v>
      </c>
      <c r="K155" s="733"/>
      <c r="L155" s="408">
        <v>0</v>
      </c>
      <c r="M155" s="408">
        <v>150000</v>
      </c>
      <c r="N155" s="732">
        <v>150000</v>
      </c>
      <c r="O155" s="734"/>
      <c r="P155" s="408">
        <v>0</v>
      </c>
      <c r="Q155" s="408">
        <v>0</v>
      </c>
      <c r="R155" s="732">
        <v>0</v>
      </c>
    </row>
    <row r="156" spans="1:18" s="713" customFormat="1">
      <c r="A156" s="711">
        <v>150</v>
      </c>
      <c r="B156" s="711"/>
      <c r="C156" s="711" t="s">
        <v>2120</v>
      </c>
      <c r="D156" s="712" t="s">
        <v>2367</v>
      </c>
      <c r="E156" s="711"/>
      <c r="H156" s="408">
        <v>0</v>
      </c>
      <c r="I156" s="408">
        <v>0</v>
      </c>
      <c r="J156" s="732">
        <v>0</v>
      </c>
      <c r="K156" s="733"/>
      <c r="L156" s="408">
        <v>0</v>
      </c>
      <c r="M156" s="408">
        <v>0</v>
      </c>
      <c r="N156" s="732">
        <v>0</v>
      </c>
      <c r="O156" s="734"/>
      <c r="P156" s="408">
        <v>0</v>
      </c>
      <c r="Q156" s="408">
        <v>375000</v>
      </c>
      <c r="R156" s="732">
        <v>375000</v>
      </c>
    </row>
    <row r="157" spans="1:18" s="713" customFormat="1">
      <c r="A157" s="711">
        <v>151</v>
      </c>
      <c r="B157" s="711"/>
      <c r="C157" s="711" t="s">
        <v>2120</v>
      </c>
      <c r="D157" s="712" t="s">
        <v>2368</v>
      </c>
      <c r="E157" s="711"/>
      <c r="H157" s="408">
        <v>0</v>
      </c>
      <c r="I157" s="408">
        <v>0</v>
      </c>
      <c r="J157" s="732">
        <v>0</v>
      </c>
      <c r="K157" s="733"/>
      <c r="L157" s="408">
        <v>0</v>
      </c>
      <c r="M157" s="408">
        <v>1600000</v>
      </c>
      <c r="N157" s="732">
        <v>1600000</v>
      </c>
      <c r="O157" s="734"/>
      <c r="P157" s="408">
        <v>0</v>
      </c>
      <c r="Q157" s="408">
        <v>0</v>
      </c>
      <c r="R157" s="732">
        <v>0</v>
      </c>
    </row>
    <row r="158" spans="1:18" s="713" customFormat="1">
      <c r="A158" s="711">
        <v>152</v>
      </c>
      <c r="B158" s="711"/>
      <c r="C158" s="711" t="s">
        <v>2120</v>
      </c>
      <c r="D158" s="712" t="s">
        <v>2369</v>
      </c>
      <c r="E158" s="711"/>
      <c r="H158" s="408">
        <v>0</v>
      </c>
      <c r="I158" s="408">
        <v>2500000</v>
      </c>
      <c r="J158" s="732">
        <v>2500000</v>
      </c>
      <c r="K158" s="733"/>
      <c r="L158" s="408">
        <v>0</v>
      </c>
      <c r="M158" s="408">
        <v>0</v>
      </c>
      <c r="N158" s="732">
        <v>0</v>
      </c>
      <c r="O158" s="734"/>
      <c r="P158" s="408">
        <v>0</v>
      </c>
      <c r="Q158" s="408">
        <v>0</v>
      </c>
      <c r="R158" s="732">
        <v>0</v>
      </c>
    </row>
    <row r="159" spans="1:18" s="713" customFormat="1" ht="30">
      <c r="A159" s="711">
        <v>153</v>
      </c>
      <c r="B159" s="711"/>
      <c r="C159" s="711" t="s">
        <v>2120</v>
      </c>
      <c r="D159" s="712" t="s">
        <v>2370</v>
      </c>
      <c r="E159" s="711"/>
      <c r="H159" s="408">
        <v>0</v>
      </c>
      <c r="I159" s="408">
        <v>2000000</v>
      </c>
      <c r="J159" s="732">
        <v>2000000</v>
      </c>
      <c r="K159" s="733"/>
      <c r="L159" s="408">
        <v>0</v>
      </c>
      <c r="M159" s="408">
        <v>0</v>
      </c>
      <c r="N159" s="732">
        <v>0</v>
      </c>
      <c r="O159" s="734"/>
      <c r="P159" s="408">
        <v>0</v>
      </c>
      <c r="Q159" s="408">
        <v>0</v>
      </c>
      <c r="R159" s="732">
        <v>0</v>
      </c>
    </row>
    <row r="160" spans="1:18" s="713" customFormat="1">
      <c r="A160" s="711">
        <v>154</v>
      </c>
      <c r="B160" s="711"/>
      <c r="C160" s="711" t="s">
        <v>2120</v>
      </c>
      <c r="D160" s="712" t="s">
        <v>2371</v>
      </c>
      <c r="E160" s="711"/>
      <c r="H160" s="408">
        <v>0</v>
      </c>
      <c r="I160" s="408">
        <v>6000000</v>
      </c>
      <c r="J160" s="732">
        <v>6000000</v>
      </c>
      <c r="K160" s="733"/>
      <c r="L160" s="408">
        <v>0</v>
      </c>
      <c r="M160" s="408">
        <v>0</v>
      </c>
      <c r="N160" s="732">
        <v>0</v>
      </c>
      <c r="O160" s="734"/>
      <c r="P160" s="408">
        <v>0</v>
      </c>
      <c r="Q160" s="408">
        <v>0</v>
      </c>
      <c r="R160" s="732">
        <v>0</v>
      </c>
    </row>
    <row r="161" spans="1:18" s="713" customFormat="1" ht="30">
      <c r="A161" s="711">
        <v>155</v>
      </c>
      <c r="B161" s="711"/>
      <c r="C161" s="711" t="s">
        <v>2120</v>
      </c>
      <c r="D161" s="712" t="s">
        <v>2372</v>
      </c>
      <c r="E161" s="711"/>
      <c r="H161" s="408">
        <v>0</v>
      </c>
      <c r="I161" s="408">
        <v>5500000</v>
      </c>
      <c r="J161" s="732">
        <v>5500000</v>
      </c>
      <c r="K161" s="733"/>
      <c r="L161" s="408">
        <v>0</v>
      </c>
      <c r="M161" s="408">
        <v>0</v>
      </c>
      <c r="N161" s="732">
        <v>0</v>
      </c>
      <c r="O161" s="734"/>
      <c r="P161" s="408">
        <v>0</v>
      </c>
      <c r="Q161" s="408">
        <v>0</v>
      </c>
      <c r="R161" s="732">
        <v>0</v>
      </c>
    </row>
    <row r="162" spans="1:18" s="713" customFormat="1">
      <c r="A162" s="711">
        <v>156</v>
      </c>
      <c r="B162" s="711"/>
      <c r="C162" s="711" t="s">
        <v>2120</v>
      </c>
      <c r="D162" s="712" t="s">
        <v>2373</v>
      </c>
      <c r="E162" s="711"/>
      <c r="H162" s="408">
        <v>0</v>
      </c>
      <c r="I162" s="408">
        <v>0</v>
      </c>
      <c r="J162" s="732">
        <v>0</v>
      </c>
      <c r="K162" s="733"/>
      <c r="L162" s="408">
        <v>0</v>
      </c>
      <c r="M162" s="408">
        <v>12000000</v>
      </c>
      <c r="N162" s="732">
        <v>12000000</v>
      </c>
      <c r="O162" s="734"/>
      <c r="P162" s="408">
        <v>0</v>
      </c>
      <c r="Q162" s="408">
        <v>0</v>
      </c>
      <c r="R162" s="732">
        <v>0</v>
      </c>
    </row>
    <row r="163" spans="1:18" s="713" customFormat="1" ht="30">
      <c r="A163" s="711">
        <v>157</v>
      </c>
      <c r="B163" s="711"/>
      <c r="C163" s="711" t="s">
        <v>2120</v>
      </c>
      <c r="D163" s="712" t="s">
        <v>2374</v>
      </c>
      <c r="E163" s="711"/>
      <c r="H163" s="408">
        <v>0</v>
      </c>
      <c r="I163" s="408">
        <v>1000000</v>
      </c>
      <c r="J163" s="732">
        <v>1000000</v>
      </c>
      <c r="K163" s="733"/>
      <c r="L163" s="408">
        <v>0</v>
      </c>
      <c r="M163" s="408">
        <v>1000000</v>
      </c>
      <c r="N163" s="732">
        <v>1000000</v>
      </c>
      <c r="O163" s="734"/>
      <c r="P163" s="408">
        <v>0</v>
      </c>
      <c r="Q163" s="408">
        <v>0</v>
      </c>
      <c r="R163" s="732">
        <v>0</v>
      </c>
    </row>
    <row r="164" spans="1:18" s="713" customFormat="1" ht="30">
      <c r="A164" s="711">
        <v>158</v>
      </c>
      <c r="B164" s="711"/>
      <c r="C164" s="711" t="s">
        <v>2120</v>
      </c>
      <c r="D164" s="712" t="s">
        <v>2375</v>
      </c>
      <c r="E164" s="711"/>
      <c r="H164" s="408">
        <v>0</v>
      </c>
      <c r="I164" s="408">
        <v>200000</v>
      </c>
      <c r="J164" s="732">
        <v>200000</v>
      </c>
      <c r="K164" s="733"/>
      <c r="L164" s="408">
        <v>0</v>
      </c>
      <c r="M164" s="408">
        <v>200000</v>
      </c>
      <c r="N164" s="732">
        <v>200000</v>
      </c>
      <c r="O164" s="734"/>
      <c r="P164" s="408">
        <v>0</v>
      </c>
      <c r="Q164" s="408">
        <v>200000</v>
      </c>
      <c r="R164" s="732">
        <v>200000</v>
      </c>
    </row>
    <row r="165" spans="1:18" s="713" customFormat="1">
      <c r="A165" s="711">
        <v>159</v>
      </c>
      <c r="B165" s="711"/>
      <c r="C165" s="711" t="s">
        <v>2120</v>
      </c>
      <c r="D165" s="712" t="s">
        <v>2376</v>
      </c>
      <c r="E165" s="711"/>
      <c r="H165" s="408">
        <v>0</v>
      </c>
      <c r="I165" s="408">
        <v>50000</v>
      </c>
      <c r="J165" s="732">
        <v>50000</v>
      </c>
      <c r="K165" s="733"/>
      <c r="L165" s="408">
        <v>0</v>
      </c>
      <c r="M165" s="408">
        <v>50000</v>
      </c>
      <c r="N165" s="732">
        <v>50000</v>
      </c>
      <c r="O165" s="734"/>
      <c r="P165" s="408">
        <v>0</v>
      </c>
      <c r="Q165" s="408">
        <v>0</v>
      </c>
      <c r="R165" s="732">
        <v>0</v>
      </c>
    </row>
    <row r="166" spans="1:18" s="713" customFormat="1" ht="30">
      <c r="A166" s="711">
        <v>160</v>
      </c>
      <c r="B166" s="711"/>
      <c r="C166" s="711" t="s">
        <v>2120</v>
      </c>
      <c r="D166" s="712" t="s">
        <v>2377</v>
      </c>
      <c r="E166" s="711"/>
      <c r="H166" s="408">
        <v>0</v>
      </c>
      <c r="I166" s="408">
        <v>1000000</v>
      </c>
      <c r="J166" s="732">
        <v>1000000</v>
      </c>
      <c r="K166" s="733"/>
      <c r="L166" s="408">
        <v>0</v>
      </c>
      <c r="M166" s="408">
        <v>1000000</v>
      </c>
      <c r="N166" s="732">
        <v>1000000</v>
      </c>
      <c r="O166" s="734"/>
      <c r="P166" s="408">
        <v>0</v>
      </c>
      <c r="Q166" s="408">
        <v>0</v>
      </c>
      <c r="R166" s="732">
        <v>0</v>
      </c>
    </row>
    <row r="167" spans="1:18" s="713" customFormat="1">
      <c r="A167" s="711">
        <v>161</v>
      </c>
      <c r="B167" s="711"/>
      <c r="C167" s="711" t="s">
        <v>2120</v>
      </c>
      <c r="D167" s="712" t="s">
        <v>2378</v>
      </c>
      <c r="E167" s="711"/>
      <c r="H167" s="408">
        <v>0</v>
      </c>
      <c r="I167" s="408">
        <v>600000</v>
      </c>
      <c r="J167" s="732">
        <v>600000</v>
      </c>
      <c r="K167" s="733"/>
      <c r="L167" s="408">
        <v>0</v>
      </c>
      <c r="M167" s="408">
        <v>100000</v>
      </c>
      <c r="N167" s="732">
        <v>100000</v>
      </c>
      <c r="O167" s="734"/>
      <c r="P167" s="408">
        <v>0</v>
      </c>
      <c r="Q167" s="408">
        <v>0</v>
      </c>
      <c r="R167" s="732">
        <v>0</v>
      </c>
    </row>
    <row r="168" spans="1:18" s="713" customFormat="1" ht="30">
      <c r="A168" s="711">
        <v>162</v>
      </c>
      <c r="B168" s="711"/>
      <c r="C168" s="711" t="s">
        <v>2120</v>
      </c>
      <c r="D168" s="712" t="s">
        <v>2379</v>
      </c>
      <c r="E168" s="711"/>
      <c r="H168" s="408">
        <v>0</v>
      </c>
      <c r="I168" s="408">
        <v>0</v>
      </c>
      <c r="J168" s="732">
        <v>0</v>
      </c>
      <c r="K168" s="733"/>
      <c r="L168" s="408">
        <v>0</v>
      </c>
      <c r="M168" s="408">
        <v>250000</v>
      </c>
      <c r="N168" s="732">
        <v>250000</v>
      </c>
      <c r="O168" s="734"/>
      <c r="P168" s="408">
        <v>0</v>
      </c>
      <c r="Q168" s="408">
        <v>0</v>
      </c>
      <c r="R168" s="732">
        <v>0</v>
      </c>
    </row>
    <row r="169" spans="1:18" s="713" customFormat="1">
      <c r="A169" s="711">
        <v>163</v>
      </c>
      <c r="B169" s="711"/>
      <c r="C169" s="711" t="s">
        <v>2120</v>
      </c>
      <c r="D169" s="712" t="s">
        <v>2380</v>
      </c>
      <c r="E169" s="711"/>
      <c r="H169" s="408">
        <v>0</v>
      </c>
      <c r="I169" s="408">
        <v>1500000</v>
      </c>
      <c r="J169" s="732">
        <v>1500000</v>
      </c>
      <c r="K169" s="733"/>
      <c r="L169" s="408">
        <v>0</v>
      </c>
      <c r="M169" s="408">
        <v>1500000</v>
      </c>
      <c r="N169" s="732">
        <v>1500000</v>
      </c>
      <c r="O169" s="734"/>
      <c r="P169" s="408">
        <v>0</v>
      </c>
      <c r="Q169" s="408">
        <v>1500000</v>
      </c>
      <c r="R169" s="732">
        <v>1500000</v>
      </c>
    </row>
    <row r="170" spans="1:18" s="713" customFormat="1">
      <c r="A170" s="711">
        <v>164</v>
      </c>
      <c r="B170" s="711"/>
      <c r="C170" s="711" t="s">
        <v>2120</v>
      </c>
      <c r="D170" s="712" t="s">
        <v>2381</v>
      </c>
      <c r="E170" s="711"/>
      <c r="H170" s="408">
        <v>0</v>
      </c>
      <c r="I170" s="408">
        <v>200000</v>
      </c>
      <c r="J170" s="732">
        <v>200000</v>
      </c>
      <c r="K170" s="733"/>
      <c r="L170" s="408">
        <v>0</v>
      </c>
      <c r="M170" s="408">
        <v>0</v>
      </c>
      <c r="N170" s="732">
        <v>0</v>
      </c>
      <c r="O170" s="734"/>
      <c r="P170" s="408">
        <v>0</v>
      </c>
      <c r="Q170" s="408">
        <v>0</v>
      </c>
      <c r="R170" s="732">
        <v>0</v>
      </c>
    </row>
    <row r="171" spans="1:18" s="713" customFormat="1">
      <c r="A171" s="711">
        <v>165</v>
      </c>
      <c r="B171" s="711"/>
      <c r="C171" s="711" t="s">
        <v>2120</v>
      </c>
      <c r="D171" s="712" t="s">
        <v>2382</v>
      </c>
      <c r="E171" s="711"/>
      <c r="H171" s="408">
        <v>0</v>
      </c>
      <c r="I171" s="408">
        <v>100000</v>
      </c>
      <c r="J171" s="732">
        <v>100000</v>
      </c>
      <c r="K171" s="733"/>
      <c r="L171" s="408">
        <v>0</v>
      </c>
      <c r="M171" s="408">
        <v>0</v>
      </c>
      <c r="N171" s="732">
        <v>0</v>
      </c>
      <c r="O171" s="734"/>
      <c r="P171" s="408">
        <v>0</v>
      </c>
      <c r="Q171" s="408">
        <v>0</v>
      </c>
      <c r="R171" s="732">
        <v>0</v>
      </c>
    </row>
    <row r="172" spans="1:18" s="713" customFormat="1">
      <c r="A172" s="711">
        <v>166</v>
      </c>
      <c r="B172" s="711"/>
      <c r="C172" s="711" t="s">
        <v>2120</v>
      </c>
      <c r="D172" s="712" t="s">
        <v>2383</v>
      </c>
      <c r="E172" s="711"/>
      <c r="H172" s="408">
        <v>0</v>
      </c>
      <c r="I172" s="408">
        <v>1500000</v>
      </c>
      <c r="J172" s="732">
        <v>1500000</v>
      </c>
      <c r="K172" s="733"/>
      <c r="L172" s="408">
        <v>0</v>
      </c>
      <c r="M172" s="408">
        <v>2200000</v>
      </c>
      <c r="N172" s="732">
        <v>2200000</v>
      </c>
      <c r="O172" s="734"/>
      <c r="P172" s="408">
        <v>0</v>
      </c>
      <c r="Q172" s="408">
        <v>1000000</v>
      </c>
      <c r="R172" s="732">
        <v>1000000</v>
      </c>
    </row>
    <row r="173" spans="1:18" s="713" customFormat="1" ht="30">
      <c r="A173" s="711">
        <v>167</v>
      </c>
      <c r="B173" s="711"/>
      <c r="C173" s="711" t="s">
        <v>2120</v>
      </c>
      <c r="D173" s="712" t="s">
        <v>2384</v>
      </c>
      <c r="E173" s="711"/>
      <c r="H173" s="408">
        <v>0</v>
      </c>
      <c r="I173" s="408">
        <v>750000</v>
      </c>
      <c r="J173" s="732">
        <v>750000</v>
      </c>
      <c r="K173" s="733"/>
      <c r="L173" s="408">
        <v>0</v>
      </c>
      <c r="M173" s="408">
        <v>750000</v>
      </c>
      <c r="N173" s="732">
        <v>750000</v>
      </c>
      <c r="O173" s="734"/>
      <c r="P173" s="408">
        <v>0</v>
      </c>
      <c r="Q173" s="408">
        <v>0</v>
      </c>
      <c r="R173" s="732">
        <v>0</v>
      </c>
    </row>
    <row r="174" spans="1:18" s="713" customFormat="1">
      <c r="A174" s="711">
        <v>168</v>
      </c>
      <c r="B174" s="711"/>
      <c r="C174" s="711" t="s">
        <v>2120</v>
      </c>
      <c r="D174" s="712" t="s">
        <v>2385</v>
      </c>
      <c r="E174" s="711"/>
      <c r="H174" s="408">
        <v>0</v>
      </c>
      <c r="I174" s="408">
        <v>192000</v>
      </c>
      <c r="J174" s="732">
        <v>192000</v>
      </c>
      <c r="K174" s="733"/>
      <c r="L174" s="408">
        <v>0</v>
      </c>
      <c r="M174" s="408">
        <v>0</v>
      </c>
      <c r="N174" s="732">
        <v>0</v>
      </c>
      <c r="O174" s="734"/>
      <c r="P174" s="408">
        <v>0</v>
      </c>
      <c r="Q174" s="408">
        <v>0</v>
      </c>
      <c r="R174" s="732">
        <v>0</v>
      </c>
    </row>
    <row r="175" spans="1:18" s="713" customFormat="1" ht="30">
      <c r="A175" s="711">
        <v>169</v>
      </c>
      <c r="B175" s="711"/>
      <c r="C175" s="711" t="s">
        <v>2120</v>
      </c>
      <c r="D175" s="712" t="s">
        <v>2386</v>
      </c>
      <c r="E175" s="711"/>
      <c r="H175" s="408">
        <v>0</v>
      </c>
      <c r="I175" s="408">
        <v>0</v>
      </c>
      <c r="J175" s="732">
        <v>0</v>
      </c>
      <c r="K175" s="733"/>
      <c r="L175" s="408">
        <v>0</v>
      </c>
      <c r="M175" s="408">
        <v>0</v>
      </c>
      <c r="N175" s="732">
        <v>0</v>
      </c>
      <c r="O175" s="734"/>
      <c r="P175" s="408">
        <v>0</v>
      </c>
      <c r="Q175" s="408">
        <v>600000</v>
      </c>
      <c r="R175" s="732">
        <v>600000</v>
      </c>
    </row>
    <row r="176" spans="1:18" s="713" customFormat="1" ht="30">
      <c r="A176" s="711">
        <v>170</v>
      </c>
      <c r="B176" s="711"/>
      <c r="C176" s="711" t="s">
        <v>2120</v>
      </c>
      <c r="D176" s="712" t="s">
        <v>2387</v>
      </c>
      <c r="E176" s="711"/>
      <c r="H176" s="408">
        <v>0</v>
      </c>
      <c r="I176" s="408">
        <v>250000</v>
      </c>
      <c r="J176" s="732">
        <v>250000</v>
      </c>
      <c r="K176" s="733"/>
      <c r="L176" s="408">
        <v>0</v>
      </c>
      <c r="M176" s="408">
        <v>0</v>
      </c>
      <c r="N176" s="732">
        <v>0</v>
      </c>
      <c r="O176" s="734"/>
      <c r="P176" s="408">
        <v>0</v>
      </c>
      <c r="Q176" s="408">
        <v>0</v>
      </c>
      <c r="R176" s="732">
        <v>0</v>
      </c>
    </row>
    <row r="177" spans="1:18" s="713" customFormat="1">
      <c r="A177" s="711">
        <v>171</v>
      </c>
      <c r="B177" s="711"/>
      <c r="C177" s="711" t="s">
        <v>2120</v>
      </c>
      <c r="D177" s="712" t="s">
        <v>2388</v>
      </c>
      <c r="E177" s="711"/>
      <c r="H177" s="408">
        <v>0</v>
      </c>
      <c r="I177" s="408">
        <v>0</v>
      </c>
      <c r="J177" s="732">
        <v>0</v>
      </c>
      <c r="K177" s="733"/>
      <c r="L177" s="408">
        <v>0</v>
      </c>
      <c r="M177" s="408">
        <v>1000000</v>
      </c>
      <c r="N177" s="732">
        <v>1000000</v>
      </c>
      <c r="O177" s="734"/>
      <c r="P177" s="408">
        <v>0</v>
      </c>
      <c r="Q177" s="408">
        <v>2000000</v>
      </c>
      <c r="R177" s="732">
        <v>2000000</v>
      </c>
    </row>
    <row r="178" spans="1:18" s="713" customFormat="1" ht="30">
      <c r="A178" s="711">
        <v>172</v>
      </c>
      <c r="B178" s="711"/>
      <c r="C178" s="711" t="s">
        <v>2120</v>
      </c>
      <c r="D178" s="712" t="s">
        <v>2389</v>
      </c>
      <c r="E178" s="711"/>
      <c r="H178" s="408">
        <v>0</v>
      </c>
      <c r="I178" s="408">
        <v>50000</v>
      </c>
      <c r="J178" s="732">
        <v>50000</v>
      </c>
      <c r="K178" s="733"/>
      <c r="L178" s="408">
        <v>0</v>
      </c>
      <c r="M178" s="408">
        <v>60000</v>
      </c>
      <c r="N178" s="732">
        <v>60000</v>
      </c>
      <c r="O178" s="734"/>
      <c r="P178" s="408">
        <v>0</v>
      </c>
      <c r="Q178" s="408">
        <v>72000</v>
      </c>
      <c r="R178" s="732">
        <v>72000</v>
      </c>
    </row>
    <row r="179" spans="1:18" s="713" customFormat="1" ht="30">
      <c r="A179" s="711">
        <v>173</v>
      </c>
      <c r="B179" s="711"/>
      <c r="C179" s="711" t="s">
        <v>2120</v>
      </c>
      <c r="D179" s="712" t="s">
        <v>2390</v>
      </c>
      <c r="E179" s="711"/>
      <c r="H179" s="408">
        <v>0</v>
      </c>
      <c r="I179" s="408">
        <v>50000</v>
      </c>
      <c r="J179" s="732">
        <v>50000</v>
      </c>
      <c r="K179" s="733"/>
      <c r="L179" s="408">
        <v>0</v>
      </c>
      <c r="M179" s="408">
        <v>60000</v>
      </c>
      <c r="N179" s="732">
        <v>60000</v>
      </c>
      <c r="O179" s="734"/>
      <c r="P179" s="408">
        <v>0</v>
      </c>
      <c r="Q179" s="408">
        <v>72000</v>
      </c>
      <c r="R179" s="732">
        <v>72000</v>
      </c>
    </row>
    <row r="180" spans="1:18" s="713" customFormat="1" ht="45">
      <c r="A180" s="711">
        <v>174</v>
      </c>
      <c r="B180" s="711"/>
      <c r="C180" s="711" t="s">
        <v>2120</v>
      </c>
      <c r="D180" s="712" t="s">
        <v>2391</v>
      </c>
      <c r="E180" s="711"/>
      <c r="H180" s="408">
        <v>0</v>
      </c>
      <c r="I180" s="408">
        <v>100000</v>
      </c>
      <c r="J180" s="732">
        <v>100000</v>
      </c>
      <c r="K180" s="733"/>
      <c r="L180" s="408">
        <v>0</v>
      </c>
      <c r="M180" s="408">
        <v>0</v>
      </c>
      <c r="N180" s="732">
        <v>0</v>
      </c>
      <c r="O180" s="734"/>
      <c r="P180" s="408">
        <v>0</v>
      </c>
      <c r="Q180" s="408">
        <v>0</v>
      </c>
      <c r="R180" s="732">
        <v>0</v>
      </c>
    </row>
    <row r="181" spans="1:18" s="713" customFormat="1" ht="30">
      <c r="A181" s="711">
        <v>175</v>
      </c>
      <c r="B181" s="711"/>
      <c r="C181" s="711" t="s">
        <v>2120</v>
      </c>
      <c r="D181" s="712" t="s">
        <v>2392</v>
      </c>
      <c r="E181" s="711"/>
      <c r="H181" s="408">
        <v>0</v>
      </c>
      <c r="I181" s="408">
        <v>60000</v>
      </c>
      <c r="J181" s="732">
        <v>60000</v>
      </c>
      <c r="K181" s="733"/>
      <c r="L181" s="408">
        <v>0</v>
      </c>
      <c r="M181" s="408">
        <v>0</v>
      </c>
      <c r="N181" s="732">
        <v>0</v>
      </c>
      <c r="O181" s="734"/>
      <c r="P181" s="408">
        <v>0</v>
      </c>
      <c r="Q181" s="408">
        <v>0</v>
      </c>
      <c r="R181" s="732">
        <v>0</v>
      </c>
    </row>
    <row r="182" spans="1:18" s="713" customFormat="1">
      <c r="A182" s="711">
        <v>176</v>
      </c>
      <c r="B182" s="711"/>
      <c r="C182" s="711" t="s">
        <v>2120</v>
      </c>
      <c r="D182" s="712" t="s">
        <v>2393</v>
      </c>
      <c r="E182" s="711"/>
      <c r="H182" s="408">
        <v>0</v>
      </c>
      <c r="I182" s="408">
        <v>375000</v>
      </c>
      <c r="J182" s="732">
        <v>375000</v>
      </c>
      <c r="K182" s="733"/>
      <c r="L182" s="408">
        <v>0</v>
      </c>
      <c r="M182" s="408">
        <v>250000</v>
      </c>
      <c r="N182" s="732">
        <v>250000</v>
      </c>
      <c r="O182" s="734"/>
      <c r="P182" s="408">
        <v>0</v>
      </c>
      <c r="Q182" s="408">
        <v>120000</v>
      </c>
      <c r="R182" s="732">
        <v>120000</v>
      </c>
    </row>
    <row r="183" spans="1:18" s="713" customFormat="1">
      <c r="A183" s="711">
        <v>177</v>
      </c>
      <c r="B183" s="711"/>
      <c r="C183" s="711" t="s">
        <v>2120</v>
      </c>
      <c r="D183" s="712" t="s">
        <v>2394</v>
      </c>
      <c r="E183" s="711"/>
      <c r="H183" s="408">
        <v>0</v>
      </c>
      <c r="I183" s="408">
        <v>2900000</v>
      </c>
      <c r="J183" s="732">
        <v>2900000</v>
      </c>
      <c r="K183" s="733"/>
      <c r="L183" s="408">
        <v>0</v>
      </c>
      <c r="M183" s="408">
        <v>2600000</v>
      </c>
      <c r="N183" s="732">
        <v>2600000</v>
      </c>
      <c r="O183" s="734"/>
      <c r="P183" s="408">
        <v>0</v>
      </c>
      <c r="Q183" s="408">
        <v>400000</v>
      </c>
      <c r="R183" s="732">
        <v>400000</v>
      </c>
    </row>
    <row r="184" spans="1:18" s="713" customFormat="1">
      <c r="A184" s="711">
        <v>178</v>
      </c>
      <c r="B184" s="711"/>
      <c r="C184" s="711" t="s">
        <v>2120</v>
      </c>
      <c r="D184" s="712" t="s">
        <v>2395</v>
      </c>
      <c r="E184" s="711"/>
      <c r="H184" s="408">
        <v>0</v>
      </c>
      <c r="I184" s="408">
        <v>0</v>
      </c>
      <c r="J184" s="732">
        <v>0</v>
      </c>
      <c r="K184" s="733"/>
      <c r="L184" s="408">
        <v>0</v>
      </c>
      <c r="M184" s="408">
        <v>0</v>
      </c>
      <c r="N184" s="732">
        <v>0</v>
      </c>
      <c r="O184" s="734"/>
      <c r="P184" s="408">
        <v>0</v>
      </c>
      <c r="Q184" s="408">
        <v>2420400</v>
      </c>
      <c r="R184" s="732">
        <v>2420400</v>
      </c>
    </row>
    <row r="185" spans="1:18" s="713" customFormat="1" ht="30">
      <c r="A185" s="711">
        <v>179</v>
      </c>
      <c r="B185" s="711"/>
      <c r="C185" s="711" t="s">
        <v>2120</v>
      </c>
      <c r="D185" s="712" t="s">
        <v>2396</v>
      </c>
      <c r="E185" s="711"/>
      <c r="H185" s="408">
        <v>0</v>
      </c>
      <c r="I185" s="408">
        <v>620000</v>
      </c>
      <c r="J185" s="732">
        <v>620000</v>
      </c>
      <c r="K185" s="733"/>
      <c r="L185" s="408">
        <v>0</v>
      </c>
      <c r="M185" s="408">
        <v>150000</v>
      </c>
      <c r="N185" s="732">
        <v>150000</v>
      </c>
      <c r="O185" s="734"/>
      <c r="P185" s="408">
        <v>0</v>
      </c>
      <c r="Q185" s="408">
        <v>150000</v>
      </c>
      <c r="R185" s="732">
        <v>150000</v>
      </c>
    </row>
    <row r="186" spans="1:18" s="713" customFormat="1" ht="30">
      <c r="A186" s="711">
        <v>180</v>
      </c>
      <c r="B186" s="711"/>
      <c r="C186" s="711" t="s">
        <v>2120</v>
      </c>
      <c r="D186" s="712" t="s">
        <v>2397</v>
      </c>
      <c r="E186" s="711"/>
      <c r="H186" s="408">
        <v>0</v>
      </c>
      <c r="I186" s="408">
        <v>500000</v>
      </c>
      <c r="J186" s="732">
        <v>500000</v>
      </c>
      <c r="K186" s="733"/>
      <c r="L186" s="408">
        <v>0</v>
      </c>
      <c r="M186" s="408">
        <v>1000000</v>
      </c>
      <c r="N186" s="732">
        <v>1000000</v>
      </c>
      <c r="O186" s="734"/>
      <c r="P186" s="408">
        <v>0</v>
      </c>
      <c r="Q186" s="408">
        <v>1000000</v>
      </c>
      <c r="R186" s="732">
        <v>1000000</v>
      </c>
    </row>
    <row r="187" spans="1:18" s="713" customFormat="1" ht="30">
      <c r="A187" s="711">
        <v>181</v>
      </c>
      <c r="B187" s="711"/>
      <c r="C187" s="711" t="s">
        <v>2120</v>
      </c>
      <c r="D187" s="712" t="s">
        <v>2398</v>
      </c>
      <c r="E187" s="711"/>
      <c r="H187" s="408">
        <v>0</v>
      </c>
      <c r="I187" s="408">
        <v>0</v>
      </c>
      <c r="J187" s="732">
        <v>0</v>
      </c>
      <c r="K187" s="733"/>
      <c r="L187" s="408">
        <v>0</v>
      </c>
      <c r="M187" s="408">
        <v>350000</v>
      </c>
      <c r="N187" s="732">
        <v>350000</v>
      </c>
      <c r="O187" s="734"/>
      <c r="P187" s="408">
        <v>0</v>
      </c>
      <c r="Q187" s="408">
        <v>0</v>
      </c>
      <c r="R187" s="732">
        <v>0</v>
      </c>
    </row>
    <row r="188" spans="1:18" s="713" customFormat="1" ht="30">
      <c r="A188" s="711">
        <v>182</v>
      </c>
      <c r="B188" s="711"/>
      <c r="C188" s="711" t="s">
        <v>2120</v>
      </c>
      <c r="D188" s="712" t="s">
        <v>2399</v>
      </c>
      <c r="E188" s="711"/>
      <c r="H188" s="408">
        <v>0</v>
      </c>
      <c r="I188" s="408">
        <v>500000</v>
      </c>
      <c r="J188" s="732">
        <v>500000</v>
      </c>
      <c r="K188" s="733"/>
      <c r="L188" s="408">
        <v>0</v>
      </c>
      <c r="M188" s="408">
        <v>2000000</v>
      </c>
      <c r="N188" s="732">
        <v>2000000</v>
      </c>
      <c r="O188" s="734"/>
      <c r="P188" s="408">
        <v>0</v>
      </c>
      <c r="Q188" s="408">
        <v>2200000</v>
      </c>
      <c r="R188" s="732">
        <v>2200000</v>
      </c>
    </row>
    <row r="189" spans="1:18" s="713" customFormat="1" ht="30">
      <c r="A189" s="711">
        <v>183</v>
      </c>
      <c r="B189" s="711"/>
      <c r="C189" s="711" t="s">
        <v>2120</v>
      </c>
      <c r="D189" s="712" t="s">
        <v>2400</v>
      </c>
      <c r="E189" s="711"/>
      <c r="H189" s="408">
        <v>0</v>
      </c>
      <c r="I189" s="408">
        <v>535000</v>
      </c>
      <c r="J189" s="732">
        <v>535000</v>
      </c>
      <c r="K189" s="733"/>
      <c r="L189" s="408">
        <v>0</v>
      </c>
      <c r="M189" s="408">
        <v>0</v>
      </c>
      <c r="N189" s="732">
        <v>0</v>
      </c>
      <c r="O189" s="734"/>
      <c r="P189" s="408">
        <v>0</v>
      </c>
      <c r="Q189" s="408">
        <v>0</v>
      </c>
      <c r="R189" s="732">
        <v>0</v>
      </c>
    </row>
    <row r="190" spans="1:18" s="713" customFormat="1" ht="30">
      <c r="A190" s="711">
        <v>184</v>
      </c>
      <c r="B190" s="711"/>
      <c r="C190" s="711" t="s">
        <v>2120</v>
      </c>
      <c r="D190" s="712" t="s">
        <v>2401</v>
      </c>
      <c r="E190" s="711"/>
      <c r="H190" s="408">
        <v>0</v>
      </c>
      <c r="I190" s="408">
        <v>250000</v>
      </c>
      <c r="J190" s="732">
        <v>250000</v>
      </c>
      <c r="K190" s="733"/>
      <c r="L190" s="408">
        <v>0</v>
      </c>
      <c r="M190" s="408">
        <v>250000</v>
      </c>
      <c r="N190" s="732">
        <v>250000</v>
      </c>
      <c r="O190" s="734"/>
      <c r="P190" s="408">
        <v>0</v>
      </c>
      <c r="Q190" s="408">
        <v>0</v>
      </c>
      <c r="R190" s="732">
        <v>0</v>
      </c>
    </row>
    <row r="191" spans="1:18" s="713" customFormat="1" ht="30">
      <c r="A191" s="711">
        <v>185</v>
      </c>
      <c r="B191" s="711"/>
      <c r="C191" s="711" t="s">
        <v>2120</v>
      </c>
      <c r="D191" s="712" t="s">
        <v>2402</v>
      </c>
      <c r="E191" s="711"/>
      <c r="H191" s="408">
        <v>0</v>
      </c>
      <c r="I191" s="408">
        <v>759000</v>
      </c>
      <c r="J191" s="732">
        <v>759000</v>
      </c>
      <c r="K191" s="733"/>
      <c r="L191" s="408">
        <v>0</v>
      </c>
      <c r="M191" s="408">
        <v>0</v>
      </c>
      <c r="N191" s="732">
        <v>0</v>
      </c>
      <c r="O191" s="734"/>
      <c r="P191" s="408">
        <v>0</v>
      </c>
      <c r="Q191" s="408">
        <v>0</v>
      </c>
      <c r="R191" s="732">
        <v>0</v>
      </c>
    </row>
    <row r="192" spans="1:18" s="713" customFormat="1" ht="30">
      <c r="A192" s="711">
        <v>186</v>
      </c>
      <c r="B192" s="711"/>
      <c r="C192" s="711" t="s">
        <v>2120</v>
      </c>
      <c r="D192" s="712" t="s">
        <v>2403</v>
      </c>
      <c r="E192" s="711"/>
      <c r="H192" s="408">
        <v>0</v>
      </c>
      <c r="I192" s="408">
        <v>0</v>
      </c>
      <c r="J192" s="732">
        <v>0</v>
      </c>
      <c r="K192" s="733"/>
      <c r="L192" s="408">
        <v>0</v>
      </c>
      <c r="M192" s="408">
        <v>903099</v>
      </c>
      <c r="N192" s="732">
        <v>903099</v>
      </c>
      <c r="O192" s="734"/>
      <c r="P192" s="408">
        <v>0</v>
      </c>
      <c r="Q192" s="408">
        <v>0</v>
      </c>
      <c r="R192" s="732">
        <v>0</v>
      </c>
    </row>
    <row r="193" spans="1:18" s="713" customFormat="1" ht="30">
      <c r="A193" s="711">
        <v>187</v>
      </c>
      <c r="B193" s="711"/>
      <c r="C193" s="711" t="s">
        <v>2120</v>
      </c>
      <c r="D193" s="712" t="s">
        <v>2404</v>
      </c>
      <c r="E193" s="711"/>
      <c r="H193" s="408">
        <v>0</v>
      </c>
      <c r="I193" s="408">
        <v>1100000</v>
      </c>
      <c r="J193" s="732">
        <v>1100000</v>
      </c>
      <c r="K193" s="733"/>
      <c r="L193" s="408">
        <v>0</v>
      </c>
      <c r="M193" s="408">
        <v>1400000</v>
      </c>
      <c r="N193" s="732">
        <v>1400000</v>
      </c>
      <c r="O193" s="734"/>
      <c r="P193" s="408">
        <v>0</v>
      </c>
      <c r="Q193" s="408">
        <v>0</v>
      </c>
      <c r="R193" s="732">
        <v>0</v>
      </c>
    </row>
    <row r="194" spans="1:18" s="713" customFormat="1">
      <c r="A194" s="711">
        <v>188</v>
      </c>
      <c r="B194" s="711"/>
      <c r="C194" s="711" t="s">
        <v>2121</v>
      </c>
      <c r="D194" s="712" t="s">
        <v>2405</v>
      </c>
      <c r="E194" s="711"/>
      <c r="H194" s="408">
        <v>0</v>
      </c>
      <c r="I194" s="408">
        <v>1000000</v>
      </c>
      <c r="J194" s="732">
        <v>1000000</v>
      </c>
      <c r="K194" s="733"/>
      <c r="L194" s="408">
        <v>0</v>
      </c>
      <c r="M194" s="408">
        <v>1000000</v>
      </c>
      <c r="N194" s="732">
        <v>1000000</v>
      </c>
      <c r="O194" s="734"/>
      <c r="P194" s="408">
        <v>0</v>
      </c>
      <c r="Q194" s="408">
        <v>1000000</v>
      </c>
      <c r="R194" s="732">
        <v>1000000</v>
      </c>
    </row>
    <row r="195" spans="1:18" s="713" customFormat="1" ht="75">
      <c r="A195" s="711">
        <v>189</v>
      </c>
      <c r="B195" s="711"/>
      <c r="C195" s="711" t="s">
        <v>2121</v>
      </c>
      <c r="D195" s="712" t="s">
        <v>2406</v>
      </c>
      <c r="E195" s="711"/>
      <c r="H195" s="408">
        <v>0</v>
      </c>
      <c r="I195" s="408">
        <v>3750000</v>
      </c>
      <c r="J195" s="732">
        <v>3750000</v>
      </c>
      <c r="K195" s="733"/>
      <c r="L195" s="408">
        <v>0</v>
      </c>
      <c r="M195" s="408">
        <v>2250000</v>
      </c>
      <c r="N195" s="732">
        <v>2250000</v>
      </c>
      <c r="O195" s="734"/>
      <c r="P195" s="408">
        <v>0</v>
      </c>
      <c r="Q195" s="408">
        <v>0</v>
      </c>
      <c r="R195" s="732">
        <v>0</v>
      </c>
    </row>
    <row r="196" spans="1:18" s="713" customFormat="1" ht="75">
      <c r="A196" s="711">
        <v>190</v>
      </c>
      <c r="B196" s="711"/>
      <c r="C196" s="711" t="s">
        <v>2121</v>
      </c>
      <c r="D196" s="712" t="s">
        <v>2407</v>
      </c>
      <c r="E196" s="711"/>
      <c r="H196" s="408">
        <v>0</v>
      </c>
      <c r="I196" s="408">
        <v>6500000</v>
      </c>
      <c r="J196" s="732">
        <v>6500000</v>
      </c>
      <c r="K196" s="733"/>
      <c r="L196" s="408">
        <v>0</v>
      </c>
      <c r="M196" s="408">
        <v>0</v>
      </c>
      <c r="N196" s="732">
        <v>0</v>
      </c>
      <c r="O196" s="734"/>
      <c r="P196" s="408">
        <v>0</v>
      </c>
      <c r="Q196" s="408">
        <v>0</v>
      </c>
      <c r="R196" s="732">
        <v>0</v>
      </c>
    </row>
    <row r="197" spans="1:18" s="713" customFormat="1" ht="75">
      <c r="A197" s="711">
        <v>191</v>
      </c>
      <c r="B197" s="711"/>
      <c r="C197" s="711" t="s">
        <v>2121</v>
      </c>
      <c r="D197" s="712" t="s">
        <v>2408</v>
      </c>
      <c r="E197" s="711"/>
      <c r="H197" s="408">
        <v>0</v>
      </c>
      <c r="I197" s="408">
        <v>2000000</v>
      </c>
      <c r="J197" s="732">
        <v>2000000</v>
      </c>
      <c r="K197" s="733"/>
      <c r="L197" s="408">
        <v>0</v>
      </c>
      <c r="M197" s="408">
        <v>4500000</v>
      </c>
      <c r="N197" s="732">
        <v>4500000</v>
      </c>
      <c r="O197" s="734"/>
      <c r="P197" s="408">
        <v>0</v>
      </c>
      <c r="Q197" s="408">
        <v>0</v>
      </c>
      <c r="R197" s="732">
        <v>0</v>
      </c>
    </row>
    <row r="198" spans="1:18" s="713" customFormat="1" ht="45">
      <c r="A198" s="711">
        <v>192</v>
      </c>
      <c r="B198" s="711"/>
      <c r="C198" s="711" t="s">
        <v>2121</v>
      </c>
      <c r="D198" s="712" t="s">
        <v>2409</v>
      </c>
      <c r="E198" s="711"/>
      <c r="H198" s="408">
        <v>0</v>
      </c>
      <c r="I198" s="408">
        <v>750000</v>
      </c>
      <c r="J198" s="732">
        <v>750000</v>
      </c>
      <c r="K198" s="733"/>
      <c r="L198" s="408">
        <v>0</v>
      </c>
      <c r="M198" s="408">
        <v>500000</v>
      </c>
      <c r="N198" s="732">
        <v>500000</v>
      </c>
      <c r="O198" s="734"/>
      <c r="P198" s="408">
        <v>0</v>
      </c>
      <c r="Q198" s="408">
        <v>750000</v>
      </c>
      <c r="R198" s="732">
        <v>750000</v>
      </c>
    </row>
    <row r="199" spans="1:18" s="713" customFormat="1" ht="45">
      <c r="A199" s="711">
        <v>193</v>
      </c>
      <c r="B199" s="711"/>
      <c r="C199" s="711" t="s">
        <v>2121</v>
      </c>
      <c r="D199" s="712" t="s">
        <v>2410</v>
      </c>
      <c r="E199" s="711"/>
      <c r="H199" s="408">
        <v>0</v>
      </c>
      <c r="I199" s="408">
        <v>1000000</v>
      </c>
      <c r="J199" s="732">
        <v>1000000</v>
      </c>
      <c r="K199" s="733"/>
      <c r="L199" s="408">
        <v>0</v>
      </c>
      <c r="M199" s="408">
        <v>1000000</v>
      </c>
      <c r="N199" s="732">
        <v>1000000</v>
      </c>
      <c r="O199" s="734"/>
      <c r="P199" s="408">
        <v>0</v>
      </c>
      <c r="Q199" s="408">
        <v>500000</v>
      </c>
      <c r="R199" s="732">
        <v>500000</v>
      </c>
    </row>
    <row r="200" spans="1:18" s="713" customFormat="1">
      <c r="A200" s="711">
        <v>194</v>
      </c>
      <c r="B200" s="711"/>
      <c r="C200" s="711" t="s">
        <v>2121</v>
      </c>
      <c r="D200" s="712" t="s">
        <v>2380</v>
      </c>
      <c r="E200" s="711"/>
      <c r="H200" s="408">
        <v>0</v>
      </c>
      <c r="I200" s="408">
        <v>1000000</v>
      </c>
      <c r="J200" s="732">
        <v>1000000</v>
      </c>
      <c r="K200" s="733"/>
      <c r="L200" s="408">
        <v>0</v>
      </c>
      <c r="M200" s="408">
        <v>1000000</v>
      </c>
      <c r="N200" s="732">
        <v>1000000</v>
      </c>
      <c r="O200" s="734"/>
      <c r="P200" s="408">
        <v>0</v>
      </c>
      <c r="Q200" s="408">
        <v>1000000</v>
      </c>
      <c r="R200" s="732">
        <v>1000000</v>
      </c>
    </row>
    <row r="201" spans="1:18" s="713" customFormat="1" ht="30">
      <c r="A201" s="711">
        <v>195</v>
      </c>
      <c r="B201" s="711"/>
      <c r="C201" s="711" t="s">
        <v>2121</v>
      </c>
      <c r="D201" s="712" t="s">
        <v>2411</v>
      </c>
      <c r="E201" s="711"/>
      <c r="H201" s="408">
        <v>0</v>
      </c>
      <c r="I201" s="408">
        <v>150000</v>
      </c>
      <c r="J201" s="732">
        <v>150000</v>
      </c>
      <c r="K201" s="733"/>
      <c r="L201" s="408">
        <v>0</v>
      </c>
      <c r="M201" s="408">
        <v>150000</v>
      </c>
      <c r="N201" s="732">
        <v>150000</v>
      </c>
      <c r="O201" s="734"/>
      <c r="P201" s="408">
        <v>0</v>
      </c>
      <c r="Q201" s="408">
        <v>0</v>
      </c>
      <c r="R201" s="732">
        <v>0</v>
      </c>
    </row>
    <row r="202" spans="1:18" s="713" customFormat="1" ht="30">
      <c r="A202" s="711">
        <v>196</v>
      </c>
      <c r="B202" s="711"/>
      <c r="C202" s="711" t="s">
        <v>2121</v>
      </c>
      <c r="D202" s="712" t="s">
        <v>2412</v>
      </c>
      <c r="E202" s="711"/>
      <c r="H202" s="408">
        <v>0</v>
      </c>
      <c r="I202" s="408">
        <v>100000</v>
      </c>
      <c r="J202" s="732">
        <v>100000</v>
      </c>
      <c r="K202" s="733"/>
      <c r="L202" s="408">
        <v>0</v>
      </c>
      <c r="M202" s="408">
        <v>50000</v>
      </c>
      <c r="N202" s="732">
        <v>50000</v>
      </c>
      <c r="O202" s="734"/>
      <c r="P202" s="408">
        <v>0</v>
      </c>
      <c r="Q202" s="408">
        <v>0</v>
      </c>
      <c r="R202" s="732">
        <v>0</v>
      </c>
    </row>
    <row r="203" spans="1:18" s="713" customFormat="1">
      <c r="A203" s="711">
        <v>197</v>
      </c>
      <c r="B203" s="711"/>
      <c r="C203" s="711" t="s">
        <v>2121</v>
      </c>
      <c r="D203" s="712" t="s">
        <v>2413</v>
      </c>
      <c r="E203" s="711"/>
      <c r="H203" s="408">
        <v>0</v>
      </c>
      <c r="I203" s="408">
        <v>400000</v>
      </c>
      <c r="J203" s="732">
        <v>400000</v>
      </c>
      <c r="K203" s="733"/>
      <c r="L203" s="408">
        <v>0</v>
      </c>
      <c r="M203" s="408">
        <v>400000</v>
      </c>
      <c r="N203" s="732">
        <v>400000</v>
      </c>
      <c r="O203" s="734"/>
      <c r="P203" s="408">
        <v>0</v>
      </c>
      <c r="Q203" s="408">
        <v>0</v>
      </c>
      <c r="R203" s="732">
        <v>0</v>
      </c>
    </row>
    <row r="204" spans="1:18" s="713" customFormat="1" ht="30">
      <c r="A204" s="711">
        <v>198</v>
      </c>
      <c r="B204" s="711"/>
      <c r="C204" s="711" t="s">
        <v>2121</v>
      </c>
      <c r="D204" s="712" t="s">
        <v>2414</v>
      </c>
      <c r="E204" s="711"/>
      <c r="H204" s="408">
        <v>0</v>
      </c>
      <c r="I204" s="408">
        <v>750000</v>
      </c>
      <c r="J204" s="732">
        <v>750000</v>
      </c>
      <c r="K204" s="733"/>
      <c r="L204" s="408">
        <v>0</v>
      </c>
      <c r="M204" s="408">
        <v>350000</v>
      </c>
      <c r="N204" s="732">
        <v>350000</v>
      </c>
      <c r="O204" s="734"/>
      <c r="P204" s="408">
        <v>0</v>
      </c>
      <c r="Q204" s="408">
        <v>250000</v>
      </c>
      <c r="R204" s="732">
        <v>250000</v>
      </c>
    </row>
    <row r="205" spans="1:18" s="713" customFormat="1">
      <c r="A205" s="711">
        <v>199</v>
      </c>
      <c r="B205" s="711"/>
      <c r="C205" s="711" t="s">
        <v>2121</v>
      </c>
      <c r="D205" s="712" t="s">
        <v>2415</v>
      </c>
      <c r="E205" s="711"/>
      <c r="H205" s="408">
        <v>0</v>
      </c>
      <c r="I205" s="408">
        <v>200000</v>
      </c>
      <c r="J205" s="732">
        <v>200000</v>
      </c>
      <c r="K205" s="733"/>
      <c r="L205" s="408">
        <v>0</v>
      </c>
      <c r="M205" s="408">
        <v>200000</v>
      </c>
      <c r="N205" s="732">
        <v>200000</v>
      </c>
      <c r="O205" s="734"/>
      <c r="P205" s="408">
        <v>0</v>
      </c>
      <c r="Q205" s="408">
        <v>200000</v>
      </c>
      <c r="R205" s="732">
        <v>200000</v>
      </c>
    </row>
    <row r="206" spans="1:18" s="713" customFormat="1" ht="30">
      <c r="A206" s="711">
        <v>200</v>
      </c>
      <c r="B206" s="711"/>
      <c r="C206" s="711" t="s">
        <v>2121</v>
      </c>
      <c r="D206" s="712" t="s">
        <v>2416</v>
      </c>
      <c r="E206" s="711"/>
      <c r="H206" s="408">
        <v>0</v>
      </c>
      <c r="I206" s="408">
        <v>300000</v>
      </c>
      <c r="J206" s="732">
        <v>300000</v>
      </c>
      <c r="K206" s="733"/>
      <c r="L206" s="408">
        <v>0</v>
      </c>
      <c r="M206" s="408" t="s">
        <v>279</v>
      </c>
      <c r="N206" s="732">
        <v>0</v>
      </c>
      <c r="O206" s="734"/>
      <c r="P206" s="408">
        <v>0</v>
      </c>
      <c r="Q206" s="408">
        <v>0</v>
      </c>
      <c r="R206" s="732">
        <v>0</v>
      </c>
    </row>
    <row r="207" spans="1:18" s="713" customFormat="1" ht="30">
      <c r="A207" s="711">
        <v>201</v>
      </c>
      <c r="B207" s="711"/>
      <c r="C207" s="711" t="s">
        <v>2122</v>
      </c>
      <c r="D207" s="712" t="s">
        <v>2417</v>
      </c>
      <c r="E207" s="711"/>
      <c r="H207" s="408">
        <v>0</v>
      </c>
      <c r="I207" s="408">
        <v>655000</v>
      </c>
      <c r="J207" s="732">
        <v>655000</v>
      </c>
      <c r="K207" s="733"/>
      <c r="L207" s="408">
        <v>0</v>
      </c>
      <c r="M207" s="408">
        <v>0</v>
      </c>
      <c r="N207" s="732">
        <v>0</v>
      </c>
      <c r="O207" s="734"/>
      <c r="P207" s="408">
        <v>0</v>
      </c>
      <c r="Q207" s="408">
        <v>0</v>
      </c>
      <c r="R207" s="732">
        <v>0</v>
      </c>
    </row>
    <row r="208" spans="1:18" s="713" customFormat="1">
      <c r="A208" s="711">
        <v>202</v>
      </c>
      <c r="B208" s="711"/>
      <c r="C208" s="711" t="s">
        <v>2122</v>
      </c>
      <c r="D208" s="712" t="s">
        <v>2418</v>
      </c>
      <c r="E208" s="711"/>
      <c r="H208" s="408">
        <v>0</v>
      </c>
      <c r="I208" s="408">
        <v>7000000</v>
      </c>
      <c r="J208" s="732">
        <v>7000000</v>
      </c>
      <c r="K208" s="733"/>
      <c r="L208" s="408">
        <v>0</v>
      </c>
      <c r="M208" s="408">
        <v>0</v>
      </c>
      <c r="N208" s="732">
        <v>0</v>
      </c>
      <c r="O208" s="734"/>
      <c r="P208" s="408">
        <v>0</v>
      </c>
      <c r="Q208" s="408">
        <v>0</v>
      </c>
      <c r="R208" s="732">
        <v>0</v>
      </c>
    </row>
    <row r="209" spans="1:18" s="713" customFormat="1">
      <c r="A209" s="711">
        <v>203</v>
      </c>
      <c r="B209" s="711"/>
      <c r="C209" s="711" t="s">
        <v>2122</v>
      </c>
      <c r="D209" s="712" t="s">
        <v>2419</v>
      </c>
      <c r="E209" s="711"/>
      <c r="H209" s="408">
        <v>0</v>
      </c>
      <c r="I209" s="408">
        <v>0</v>
      </c>
      <c r="J209" s="732">
        <v>0</v>
      </c>
      <c r="K209" s="733"/>
      <c r="L209" s="408">
        <v>0</v>
      </c>
      <c r="M209" s="408">
        <v>7000000</v>
      </c>
      <c r="N209" s="732">
        <v>7000000</v>
      </c>
      <c r="O209" s="734"/>
      <c r="P209" s="408">
        <v>0</v>
      </c>
      <c r="Q209" s="408">
        <v>0</v>
      </c>
      <c r="R209" s="732">
        <v>0</v>
      </c>
    </row>
    <row r="210" spans="1:18" s="713" customFormat="1">
      <c r="A210" s="711">
        <v>204</v>
      </c>
      <c r="B210" s="711"/>
      <c r="C210" s="711" t="s">
        <v>2122</v>
      </c>
      <c r="D210" s="712" t="s">
        <v>2420</v>
      </c>
      <c r="E210" s="711"/>
      <c r="H210" s="408">
        <v>0</v>
      </c>
      <c r="I210" s="408">
        <v>0</v>
      </c>
      <c r="J210" s="732">
        <v>0</v>
      </c>
      <c r="K210" s="733"/>
      <c r="L210" s="408">
        <v>0</v>
      </c>
      <c r="M210" s="408">
        <v>7500000</v>
      </c>
      <c r="N210" s="732">
        <v>7500000</v>
      </c>
      <c r="O210" s="734"/>
      <c r="P210" s="408">
        <v>0</v>
      </c>
      <c r="Q210" s="408">
        <v>0</v>
      </c>
      <c r="R210" s="732">
        <v>0</v>
      </c>
    </row>
    <row r="211" spans="1:18" s="713" customFormat="1">
      <c r="A211" s="711">
        <v>205</v>
      </c>
      <c r="B211" s="711"/>
      <c r="C211" s="711" t="s">
        <v>2122</v>
      </c>
      <c r="D211" s="712" t="s">
        <v>2421</v>
      </c>
      <c r="E211" s="711"/>
      <c r="H211" s="408">
        <v>0</v>
      </c>
      <c r="I211" s="408">
        <v>7000000</v>
      </c>
      <c r="J211" s="732">
        <v>7000000</v>
      </c>
      <c r="K211" s="733"/>
      <c r="L211" s="408">
        <v>0</v>
      </c>
      <c r="M211" s="408">
        <v>0</v>
      </c>
      <c r="N211" s="732">
        <v>0</v>
      </c>
      <c r="O211" s="734"/>
      <c r="P211" s="408">
        <v>0</v>
      </c>
      <c r="Q211" s="408">
        <v>0</v>
      </c>
      <c r="R211" s="732">
        <v>0</v>
      </c>
    </row>
    <row r="212" spans="1:18" s="713" customFormat="1">
      <c r="A212" s="711">
        <v>206</v>
      </c>
      <c r="B212" s="711"/>
      <c r="C212" s="711" t="s">
        <v>2122</v>
      </c>
      <c r="D212" s="712" t="s">
        <v>2422</v>
      </c>
      <c r="E212" s="711"/>
      <c r="H212" s="408">
        <v>0</v>
      </c>
      <c r="I212" s="408">
        <v>0</v>
      </c>
      <c r="J212" s="732">
        <v>0</v>
      </c>
      <c r="K212" s="733"/>
      <c r="L212" s="408">
        <v>0</v>
      </c>
      <c r="M212" s="408">
        <v>0</v>
      </c>
      <c r="N212" s="732">
        <v>0</v>
      </c>
      <c r="O212" s="734"/>
      <c r="P212" s="408">
        <v>0</v>
      </c>
      <c r="Q212" s="408">
        <v>7000000</v>
      </c>
      <c r="R212" s="732">
        <v>7000000</v>
      </c>
    </row>
    <row r="213" spans="1:18" s="713" customFormat="1">
      <c r="A213" s="711">
        <v>207</v>
      </c>
      <c r="B213" s="711"/>
      <c r="C213" s="711" t="s">
        <v>2122</v>
      </c>
      <c r="D213" s="712" t="s">
        <v>2423</v>
      </c>
      <c r="E213" s="711"/>
      <c r="H213" s="408">
        <v>0</v>
      </c>
      <c r="I213" s="408">
        <v>0</v>
      </c>
      <c r="J213" s="732">
        <v>0</v>
      </c>
      <c r="K213" s="733"/>
      <c r="L213" s="408">
        <v>0</v>
      </c>
      <c r="M213" s="408">
        <v>0</v>
      </c>
      <c r="N213" s="732">
        <v>0</v>
      </c>
      <c r="O213" s="734"/>
      <c r="P213" s="408">
        <v>0</v>
      </c>
      <c r="Q213" s="408">
        <v>7000000</v>
      </c>
      <c r="R213" s="732">
        <v>7000000</v>
      </c>
    </row>
    <row r="214" spans="1:18" s="713" customFormat="1">
      <c r="A214" s="711">
        <v>208</v>
      </c>
      <c r="B214" s="711"/>
      <c r="C214" s="711" t="s">
        <v>2122</v>
      </c>
      <c r="D214" s="712" t="s">
        <v>2424</v>
      </c>
      <c r="E214" s="711"/>
      <c r="H214" s="408">
        <v>0</v>
      </c>
      <c r="I214" s="408">
        <v>0</v>
      </c>
      <c r="J214" s="732">
        <v>0</v>
      </c>
      <c r="K214" s="733"/>
      <c r="L214" s="408">
        <v>0</v>
      </c>
      <c r="M214" s="408">
        <v>0</v>
      </c>
      <c r="N214" s="732">
        <v>0</v>
      </c>
      <c r="O214" s="734"/>
      <c r="P214" s="408">
        <v>0</v>
      </c>
      <c r="Q214" s="408">
        <v>7000000</v>
      </c>
      <c r="R214" s="732">
        <v>7000000</v>
      </c>
    </row>
    <row r="215" spans="1:18" s="713" customFormat="1">
      <c r="A215" s="711">
        <v>209</v>
      </c>
      <c r="B215" s="711"/>
      <c r="C215" s="711" t="s">
        <v>2122</v>
      </c>
      <c r="D215" s="712" t="s">
        <v>2425</v>
      </c>
      <c r="E215" s="711"/>
      <c r="H215" s="408">
        <v>0</v>
      </c>
      <c r="I215" s="408">
        <v>1000000</v>
      </c>
      <c r="J215" s="732">
        <v>1000000</v>
      </c>
      <c r="K215" s="733"/>
      <c r="L215" s="408">
        <v>0</v>
      </c>
      <c r="M215" s="408">
        <v>3500000</v>
      </c>
      <c r="N215" s="732">
        <v>3500000</v>
      </c>
      <c r="O215" s="734"/>
      <c r="P215" s="408">
        <v>0</v>
      </c>
      <c r="Q215" s="408">
        <v>0</v>
      </c>
      <c r="R215" s="732">
        <v>0</v>
      </c>
    </row>
    <row r="216" spans="1:18" s="713" customFormat="1" ht="30">
      <c r="A216" s="711">
        <v>210</v>
      </c>
      <c r="B216" s="711"/>
      <c r="C216" s="711" t="s">
        <v>2122</v>
      </c>
      <c r="D216" s="712" t="s">
        <v>2426</v>
      </c>
      <c r="E216" s="711"/>
      <c r="H216" s="408">
        <v>0</v>
      </c>
      <c r="I216" s="408">
        <v>125000</v>
      </c>
      <c r="J216" s="732">
        <v>125000</v>
      </c>
      <c r="K216" s="733"/>
      <c r="L216" s="408">
        <v>0</v>
      </c>
      <c r="M216" s="408">
        <v>125000</v>
      </c>
      <c r="N216" s="732">
        <v>125000</v>
      </c>
      <c r="O216" s="734"/>
      <c r="P216" s="408">
        <v>0</v>
      </c>
      <c r="Q216" s="408">
        <v>125000</v>
      </c>
      <c r="R216" s="732">
        <v>125000</v>
      </c>
    </row>
    <row r="217" spans="1:18" s="713" customFormat="1" ht="30">
      <c r="A217" s="711">
        <v>211</v>
      </c>
      <c r="B217" s="711"/>
      <c r="C217" s="711" t="s">
        <v>2123</v>
      </c>
      <c r="D217" s="712" t="s">
        <v>2427</v>
      </c>
      <c r="E217" s="711"/>
      <c r="H217" s="408">
        <v>0</v>
      </c>
      <c r="I217" s="408">
        <v>29000000</v>
      </c>
      <c r="J217" s="732">
        <v>29000000</v>
      </c>
      <c r="K217" s="733"/>
      <c r="L217" s="408">
        <v>0</v>
      </c>
      <c r="M217" s="408">
        <v>2000000</v>
      </c>
      <c r="N217" s="732">
        <v>2000000</v>
      </c>
      <c r="O217" s="734"/>
      <c r="P217" s="408">
        <v>0</v>
      </c>
      <c r="Q217" s="408">
        <v>15000000</v>
      </c>
      <c r="R217" s="732">
        <v>15000000</v>
      </c>
    </row>
    <row r="218" spans="1:18" s="713" customFormat="1">
      <c r="A218" s="711">
        <v>212</v>
      </c>
      <c r="B218" s="711"/>
      <c r="C218" s="711" t="s">
        <v>2123</v>
      </c>
      <c r="D218" s="712" t="s">
        <v>2428</v>
      </c>
      <c r="E218" s="711"/>
      <c r="H218" s="408">
        <v>0</v>
      </c>
      <c r="I218" s="408">
        <v>500000</v>
      </c>
      <c r="J218" s="732">
        <v>500000</v>
      </c>
      <c r="K218" s="733"/>
      <c r="L218" s="408">
        <v>0</v>
      </c>
      <c r="M218" s="408">
        <v>500000</v>
      </c>
      <c r="N218" s="732">
        <v>500000</v>
      </c>
      <c r="O218" s="734"/>
      <c r="P218" s="408">
        <v>0</v>
      </c>
      <c r="Q218" s="408">
        <v>500000</v>
      </c>
      <c r="R218" s="732">
        <v>500000</v>
      </c>
    </row>
    <row r="219" spans="1:18" s="713" customFormat="1" ht="30">
      <c r="A219" s="711">
        <v>213</v>
      </c>
      <c r="B219" s="711"/>
      <c r="C219" s="711" t="s">
        <v>2123</v>
      </c>
      <c r="D219" s="712" t="s">
        <v>2429</v>
      </c>
      <c r="E219" s="711"/>
      <c r="H219" s="408">
        <v>0</v>
      </c>
      <c r="I219" s="408">
        <v>3500000</v>
      </c>
      <c r="J219" s="732">
        <v>3500000</v>
      </c>
      <c r="K219" s="733"/>
      <c r="L219" s="408">
        <v>0</v>
      </c>
      <c r="M219" s="408">
        <v>3500000</v>
      </c>
      <c r="N219" s="732">
        <v>3500000</v>
      </c>
      <c r="O219" s="734"/>
      <c r="P219" s="408">
        <v>0</v>
      </c>
      <c r="Q219" s="408">
        <v>0</v>
      </c>
      <c r="R219" s="732">
        <v>0</v>
      </c>
    </row>
    <row r="220" spans="1:18" s="713" customFormat="1" ht="30">
      <c r="A220" s="711">
        <v>214</v>
      </c>
      <c r="B220" s="711"/>
      <c r="C220" s="711" t="s">
        <v>2123</v>
      </c>
      <c r="D220" s="712" t="s">
        <v>2430</v>
      </c>
      <c r="E220" s="711"/>
      <c r="H220" s="408">
        <v>0</v>
      </c>
      <c r="I220" s="408">
        <v>500000</v>
      </c>
      <c r="J220" s="732">
        <v>500000</v>
      </c>
      <c r="K220" s="733"/>
      <c r="L220" s="408">
        <v>0</v>
      </c>
      <c r="M220" s="408">
        <v>400000</v>
      </c>
      <c r="N220" s="732">
        <v>400000</v>
      </c>
      <c r="O220" s="734"/>
      <c r="P220" s="408">
        <v>0</v>
      </c>
      <c r="Q220" s="408">
        <v>400000</v>
      </c>
      <c r="R220" s="732">
        <v>400000</v>
      </c>
    </row>
    <row r="221" spans="1:18" s="713" customFormat="1" ht="30">
      <c r="A221" s="711">
        <v>215</v>
      </c>
      <c r="B221" s="711"/>
      <c r="C221" s="711" t="s">
        <v>2123</v>
      </c>
      <c r="D221" s="712" t="s">
        <v>2431</v>
      </c>
      <c r="E221" s="711"/>
      <c r="H221" s="408">
        <v>0</v>
      </c>
      <c r="I221" s="408">
        <v>200000</v>
      </c>
      <c r="J221" s="732">
        <v>200000</v>
      </c>
      <c r="K221" s="733"/>
      <c r="L221" s="408">
        <v>0</v>
      </c>
      <c r="M221" s="408">
        <v>200000</v>
      </c>
      <c r="N221" s="732">
        <v>200000</v>
      </c>
      <c r="O221" s="734"/>
      <c r="P221" s="408">
        <v>0</v>
      </c>
      <c r="Q221" s="408">
        <v>0</v>
      </c>
      <c r="R221" s="732">
        <v>0</v>
      </c>
    </row>
    <row r="222" spans="1:18" s="713" customFormat="1" ht="30">
      <c r="A222" s="711">
        <v>216</v>
      </c>
      <c r="B222" s="711"/>
      <c r="C222" s="711" t="s">
        <v>2123</v>
      </c>
      <c r="D222" s="712" t="s">
        <v>2432</v>
      </c>
      <c r="E222" s="711"/>
      <c r="H222" s="408">
        <v>0</v>
      </c>
      <c r="I222" s="408">
        <v>375000</v>
      </c>
      <c r="J222" s="732">
        <v>375000</v>
      </c>
      <c r="K222" s="733"/>
      <c r="L222" s="408">
        <v>0</v>
      </c>
      <c r="M222" s="408">
        <v>375000</v>
      </c>
      <c r="N222" s="732">
        <v>375000</v>
      </c>
      <c r="O222" s="734"/>
      <c r="P222" s="408">
        <v>0</v>
      </c>
      <c r="Q222" s="408">
        <v>0</v>
      </c>
      <c r="R222" s="732">
        <v>0</v>
      </c>
    </row>
    <row r="223" spans="1:18" s="713" customFormat="1" ht="30">
      <c r="A223" s="711">
        <v>217</v>
      </c>
      <c r="B223" s="711"/>
      <c r="C223" s="711" t="s">
        <v>2123</v>
      </c>
      <c r="D223" s="712" t="s">
        <v>2433</v>
      </c>
      <c r="E223" s="711"/>
      <c r="H223" s="408">
        <v>0</v>
      </c>
      <c r="I223" s="408">
        <v>500000</v>
      </c>
      <c r="J223" s="732">
        <v>500000</v>
      </c>
      <c r="K223" s="733"/>
      <c r="L223" s="408">
        <v>0</v>
      </c>
      <c r="M223" s="408">
        <v>500000</v>
      </c>
      <c r="N223" s="732">
        <v>500000</v>
      </c>
      <c r="O223" s="734"/>
      <c r="P223" s="408">
        <v>0</v>
      </c>
      <c r="Q223" s="408">
        <v>500000</v>
      </c>
      <c r="R223" s="732">
        <v>500000</v>
      </c>
    </row>
    <row r="224" spans="1:18" s="713" customFormat="1">
      <c r="A224" s="711">
        <v>218</v>
      </c>
      <c r="B224" s="711"/>
      <c r="C224" s="711" t="s">
        <v>2123</v>
      </c>
      <c r="D224" s="712" t="s">
        <v>2434</v>
      </c>
      <c r="E224" s="711"/>
      <c r="H224" s="408">
        <v>0</v>
      </c>
      <c r="I224" s="408">
        <v>0</v>
      </c>
      <c r="J224" s="732">
        <v>0</v>
      </c>
      <c r="K224" s="733"/>
      <c r="L224" s="408">
        <v>0</v>
      </c>
      <c r="M224" s="408">
        <v>0</v>
      </c>
      <c r="N224" s="732">
        <v>0</v>
      </c>
      <c r="O224" s="734"/>
      <c r="P224" s="408">
        <v>0</v>
      </c>
      <c r="Q224" s="408">
        <v>6000000</v>
      </c>
      <c r="R224" s="732">
        <v>6000000</v>
      </c>
    </row>
    <row r="225" spans="1:18" s="713" customFormat="1">
      <c r="A225" s="711">
        <v>219</v>
      </c>
      <c r="B225" s="711"/>
      <c r="C225" s="711" t="s">
        <v>2123</v>
      </c>
      <c r="D225" s="712" t="s">
        <v>2435</v>
      </c>
      <c r="E225" s="711"/>
      <c r="H225" s="408">
        <v>0</v>
      </c>
      <c r="I225" s="408">
        <v>0</v>
      </c>
      <c r="J225" s="732">
        <v>0</v>
      </c>
      <c r="K225" s="733"/>
      <c r="L225" s="408">
        <v>0</v>
      </c>
      <c r="M225" s="408">
        <v>400000</v>
      </c>
      <c r="N225" s="732">
        <v>400000</v>
      </c>
      <c r="O225" s="734"/>
      <c r="P225" s="408">
        <v>0</v>
      </c>
      <c r="Q225" s="408">
        <v>400000</v>
      </c>
      <c r="R225" s="732">
        <v>400000</v>
      </c>
    </row>
    <row r="226" spans="1:18" s="713" customFormat="1">
      <c r="A226" s="711">
        <v>220</v>
      </c>
      <c r="B226" s="711"/>
      <c r="C226" s="711" t="s">
        <v>2123</v>
      </c>
      <c r="D226" s="712" t="s">
        <v>2436</v>
      </c>
      <c r="E226" s="711"/>
      <c r="H226" s="408">
        <v>0</v>
      </c>
      <c r="I226" s="408">
        <v>0</v>
      </c>
      <c r="J226" s="732">
        <v>0</v>
      </c>
      <c r="K226" s="733"/>
      <c r="L226" s="408">
        <v>0</v>
      </c>
      <c r="M226" s="408">
        <v>500000</v>
      </c>
      <c r="N226" s="732">
        <v>500000</v>
      </c>
      <c r="O226" s="734"/>
      <c r="P226" s="408">
        <v>0</v>
      </c>
      <c r="Q226" s="408">
        <v>0</v>
      </c>
      <c r="R226" s="732">
        <v>0</v>
      </c>
    </row>
    <row r="227" spans="1:18" s="713" customFormat="1">
      <c r="A227" s="711">
        <v>221</v>
      </c>
      <c r="B227" s="711"/>
      <c r="C227" s="711" t="s">
        <v>2123</v>
      </c>
      <c r="D227" s="712" t="s">
        <v>2437</v>
      </c>
      <c r="E227" s="711"/>
      <c r="H227" s="408">
        <v>0</v>
      </c>
      <c r="I227" s="408">
        <v>250000</v>
      </c>
      <c r="J227" s="732">
        <v>250000</v>
      </c>
      <c r="K227" s="733"/>
      <c r="L227" s="408">
        <v>0</v>
      </c>
      <c r="M227" s="408">
        <v>250000</v>
      </c>
      <c r="N227" s="732">
        <v>250000</v>
      </c>
      <c r="O227" s="734"/>
      <c r="P227" s="408">
        <v>0</v>
      </c>
      <c r="Q227" s="408">
        <v>0</v>
      </c>
      <c r="R227" s="732">
        <v>0</v>
      </c>
    </row>
    <row r="228" spans="1:18" s="713" customFormat="1">
      <c r="A228" s="711">
        <v>222</v>
      </c>
      <c r="B228" s="711"/>
      <c r="C228" s="711" t="s">
        <v>2123</v>
      </c>
      <c r="D228" s="712" t="s">
        <v>2438</v>
      </c>
      <c r="E228" s="711"/>
      <c r="H228" s="408">
        <v>0</v>
      </c>
      <c r="I228" s="408">
        <v>50000</v>
      </c>
      <c r="J228" s="732">
        <v>50000</v>
      </c>
      <c r="K228" s="733"/>
      <c r="L228" s="408">
        <v>0</v>
      </c>
      <c r="M228" s="408">
        <v>50000</v>
      </c>
      <c r="N228" s="732">
        <v>50000</v>
      </c>
      <c r="O228" s="734"/>
      <c r="P228" s="408">
        <v>0</v>
      </c>
      <c r="Q228" s="408">
        <v>50000</v>
      </c>
      <c r="R228" s="732">
        <v>50000</v>
      </c>
    </row>
    <row r="229" spans="1:18" s="713" customFormat="1">
      <c r="A229" s="711">
        <v>223</v>
      </c>
      <c r="B229" s="711"/>
      <c r="C229" s="711" t="s">
        <v>2123</v>
      </c>
      <c r="D229" s="712" t="s">
        <v>2439</v>
      </c>
      <c r="E229" s="711"/>
      <c r="H229" s="408">
        <v>0</v>
      </c>
      <c r="I229" s="408">
        <v>50000</v>
      </c>
      <c r="J229" s="732">
        <v>50000</v>
      </c>
      <c r="K229" s="733"/>
      <c r="L229" s="408">
        <v>0</v>
      </c>
      <c r="M229" s="408">
        <v>50000</v>
      </c>
      <c r="N229" s="732">
        <v>50000</v>
      </c>
      <c r="O229" s="734"/>
      <c r="P229" s="408">
        <v>0</v>
      </c>
      <c r="Q229" s="408">
        <v>50000</v>
      </c>
      <c r="R229" s="732">
        <v>50000</v>
      </c>
    </row>
    <row r="230" spans="1:18" s="713" customFormat="1" ht="30">
      <c r="A230" s="711">
        <v>224</v>
      </c>
      <c r="B230" s="711"/>
      <c r="C230" s="711" t="s">
        <v>2123</v>
      </c>
      <c r="D230" s="712" t="s">
        <v>2440</v>
      </c>
      <c r="E230" s="711"/>
      <c r="H230" s="408">
        <v>0</v>
      </c>
      <c r="I230" s="408">
        <v>250000</v>
      </c>
      <c r="J230" s="732">
        <v>250000</v>
      </c>
      <c r="K230" s="733"/>
      <c r="L230" s="408">
        <v>0</v>
      </c>
      <c r="M230" s="408">
        <v>0</v>
      </c>
      <c r="N230" s="732">
        <v>0</v>
      </c>
      <c r="O230" s="734"/>
      <c r="P230" s="408">
        <v>0</v>
      </c>
      <c r="Q230" s="408">
        <v>0</v>
      </c>
      <c r="R230" s="732">
        <v>0</v>
      </c>
    </row>
    <row r="231" spans="1:18" s="713" customFormat="1">
      <c r="A231" s="711">
        <v>225</v>
      </c>
      <c r="B231" s="711"/>
      <c r="C231" s="711" t="s">
        <v>2123</v>
      </c>
      <c r="D231" s="712" t="s">
        <v>2441</v>
      </c>
      <c r="E231" s="711"/>
      <c r="H231" s="408">
        <v>0</v>
      </c>
      <c r="I231" s="408">
        <v>9000000</v>
      </c>
      <c r="J231" s="732">
        <v>9000000</v>
      </c>
      <c r="K231" s="733"/>
      <c r="L231" s="408">
        <v>0</v>
      </c>
      <c r="M231" s="408">
        <v>13000000</v>
      </c>
      <c r="N231" s="732">
        <v>13000000</v>
      </c>
      <c r="O231" s="734"/>
      <c r="P231" s="408">
        <v>0</v>
      </c>
      <c r="Q231" s="408">
        <v>8000000</v>
      </c>
      <c r="R231" s="732">
        <v>8000000</v>
      </c>
    </row>
    <row r="232" spans="1:18" s="713" customFormat="1" ht="30">
      <c r="A232" s="711">
        <v>226</v>
      </c>
      <c r="B232" s="711"/>
      <c r="C232" s="711" t="s">
        <v>2124</v>
      </c>
      <c r="D232" s="712" t="s">
        <v>2442</v>
      </c>
      <c r="E232" s="711"/>
      <c r="H232" s="408">
        <v>0</v>
      </c>
      <c r="I232" s="408">
        <v>200000</v>
      </c>
      <c r="J232" s="732">
        <v>200000</v>
      </c>
      <c r="K232" s="733"/>
      <c r="L232" s="408">
        <v>0</v>
      </c>
      <c r="M232" s="408">
        <v>0</v>
      </c>
      <c r="N232" s="732">
        <v>0</v>
      </c>
      <c r="O232" s="734"/>
      <c r="P232" s="408">
        <v>0</v>
      </c>
      <c r="Q232" s="408">
        <v>0</v>
      </c>
      <c r="R232" s="732">
        <v>0</v>
      </c>
    </row>
    <row r="233" spans="1:18" s="713" customFormat="1">
      <c r="A233" s="711">
        <v>227</v>
      </c>
      <c r="B233" s="711"/>
      <c r="C233" s="711" t="s">
        <v>2124</v>
      </c>
      <c r="D233" s="712" t="s">
        <v>2443</v>
      </c>
      <c r="E233" s="711"/>
      <c r="H233" s="408">
        <v>0</v>
      </c>
      <c r="I233" s="408">
        <v>350000</v>
      </c>
      <c r="J233" s="732">
        <v>350000</v>
      </c>
      <c r="K233" s="733"/>
      <c r="L233" s="408">
        <v>0</v>
      </c>
      <c r="M233" s="408">
        <v>450000</v>
      </c>
      <c r="N233" s="732">
        <v>450000</v>
      </c>
      <c r="O233" s="734"/>
      <c r="P233" s="408">
        <v>0</v>
      </c>
      <c r="Q233" s="408">
        <v>450000</v>
      </c>
      <c r="R233" s="732">
        <v>450000</v>
      </c>
    </row>
    <row r="234" spans="1:18" s="713" customFormat="1">
      <c r="A234" s="711">
        <v>228</v>
      </c>
      <c r="B234" s="711"/>
      <c r="C234" s="711" t="s">
        <v>2124</v>
      </c>
      <c r="D234" s="712" t="s">
        <v>2444</v>
      </c>
      <c r="E234" s="711"/>
      <c r="H234" s="408">
        <v>0</v>
      </c>
      <c r="I234" s="408">
        <v>0</v>
      </c>
      <c r="J234" s="732">
        <v>0</v>
      </c>
      <c r="K234" s="733"/>
      <c r="L234" s="408">
        <v>0</v>
      </c>
      <c r="M234" s="408">
        <v>0</v>
      </c>
      <c r="N234" s="732">
        <v>0</v>
      </c>
      <c r="O234" s="734"/>
      <c r="P234" s="408">
        <v>0</v>
      </c>
      <c r="Q234" s="408">
        <v>500000</v>
      </c>
      <c r="R234" s="732">
        <v>500000</v>
      </c>
    </row>
    <row r="235" spans="1:18" s="713" customFormat="1" ht="45">
      <c r="A235" s="711">
        <v>229</v>
      </c>
      <c r="B235" s="711"/>
      <c r="C235" s="711" t="s">
        <v>2124</v>
      </c>
      <c r="D235" s="712" t="s">
        <v>2445</v>
      </c>
      <c r="E235" s="711"/>
      <c r="H235" s="408">
        <v>0</v>
      </c>
      <c r="I235" s="408">
        <v>7000000</v>
      </c>
      <c r="J235" s="732">
        <v>7000000</v>
      </c>
      <c r="K235" s="733"/>
      <c r="L235" s="408">
        <v>0</v>
      </c>
      <c r="M235" s="408">
        <v>7000000</v>
      </c>
      <c r="N235" s="732">
        <v>7000000</v>
      </c>
      <c r="O235" s="734"/>
      <c r="P235" s="408">
        <v>0</v>
      </c>
      <c r="Q235" s="408">
        <v>0</v>
      </c>
      <c r="R235" s="732">
        <v>0</v>
      </c>
    </row>
    <row r="236" spans="1:18" s="713" customFormat="1">
      <c r="A236" s="711">
        <v>230</v>
      </c>
      <c r="B236" s="711"/>
      <c r="C236" s="711" t="s">
        <v>2124</v>
      </c>
      <c r="D236" s="712" t="s">
        <v>2446</v>
      </c>
      <c r="E236" s="711"/>
      <c r="H236" s="408">
        <v>0</v>
      </c>
      <c r="I236" s="408">
        <v>750000</v>
      </c>
      <c r="J236" s="732">
        <v>750000</v>
      </c>
      <c r="K236" s="733"/>
      <c r="L236" s="408">
        <v>0</v>
      </c>
      <c r="M236" s="408">
        <v>750000</v>
      </c>
      <c r="N236" s="732">
        <v>750000</v>
      </c>
      <c r="O236" s="734"/>
      <c r="P236" s="408">
        <v>0</v>
      </c>
      <c r="Q236" s="408">
        <v>750000</v>
      </c>
      <c r="R236" s="732">
        <v>750000</v>
      </c>
    </row>
    <row r="237" spans="1:18" s="713" customFormat="1" ht="30">
      <c r="A237" s="711">
        <v>231</v>
      </c>
      <c r="B237" s="711"/>
      <c r="C237" s="711" t="s">
        <v>2124</v>
      </c>
      <c r="D237" s="712" t="s">
        <v>2447</v>
      </c>
      <c r="E237" s="711"/>
      <c r="H237" s="408">
        <v>0</v>
      </c>
      <c r="I237" s="408">
        <v>120000</v>
      </c>
      <c r="J237" s="732">
        <v>120000</v>
      </c>
      <c r="K237" s="733"/>
      <c r="L237" s="408">
        <v>0</v>
      </c>
      <c r="M237" s="408">
        <v>120000</v>
      </c>
      <c r="N237" s="732">
        <v>120000</v>
      </c>
      <c r="O237" s="734"/>
      <c r="P237" s="408">
        <v>0</v>
      </c>
      <c r="Q237" s="408">
        <v>120000</v>
      </c>
      <c r="R237" s="732">
        <v>120000</v>
      </c>
    </row>
    <row r="238" spans="1:18" s="713" customFormat="1" ht="30">
      <c r="A238" s="711">
        <v>232</v>
      </c>
      <c r="B238" s="711"/>
      <c r="C238" s="711" t="s">
        <v>2124</v>
      </c>
      <c r="D238" s="712" t="s">
        <v>2448</v>
      </c>
      <c r="E238" s="711"/>
      <c r="H238" s="408">
        <v>0</v>
      </c>
      <c r="I238" s="408">
        <v>100000</v>
      </c>
      <c r="J238" s="732">
        <v>100000</v>
      </c>
      <c r="K238" s="733"/>
      <c r="L238" s="408">
        <v>0</v>
      </c>
      <c r="M238" s="408">
        <v>100000</v>
      </c>
      <c r="N238" s="732">
        <v>100000</v>
      </c>
      <c r="O238" s="734"/>
      <c r="P238" s="408">
        <v>0</v>
      </c>
      <c r="Q238" s="408">
        <v>100000</v>
      </c>
      <c r="R238" s="732">
        <v>100000</v>
      </c>
    </row>
    <row r="239" spans="1:18" s="713" customFormat="1">
      <c r="A239" s="711">
        <v>233</v>
      </c>
      <c r="B239" s="711"/>
      <c r="C239" s="711" t="s">
        <v>2449</v>
      </c>
      <c r="D239" s="712" t="s">
        <v>2450</v>
      </c>
      <c r="E239" s="711"/>
      <c r="H239" s="408">
        <v>0</v>
      </c>
      <c r="I239" s="408">
        <v>19079376</v>
      </c>
      <c r="J239" s="732">
        <v>19079376</v>
      </c>
      <c r="K239" s="733"/>
      <c r="L239" s="408">
        <v>0</v>
      </c>
      <c r="M239" s="408">
        <v>19429376</v>
      </c>
      <c r="N239" s="732">
        <v>19429376</v>
      </c>
      <c r="O239" s="734"/>
      <c r="P239" s="408">
        <v>0</v>
      </c>
      <c r="Q239" s="408">
        <v>19079376</v>
      </c>
      <c r="R239" s="732">
        <v>19079376</v>
      </c>
    </row>
    <row r="240" spans="1:18" s="713" customFormat="1">
      <c r="A240" s="711">
        <v>234</v>
      </c>
      <c r="B240" s="711"/>
      <c r="C240" s="711" t="s">
        <v>2451</v>
      </c>
      <c r="D240" s="712" t="s">
        <v>2452</v>
      </c>
      <c r="E240" s="711"/>
      <c r="H240" s="408">
        <v>0</v>
      </c>
      <c r="I240" s="408">
        <v>1494000</v>
      </c>
      <c r="J240" s="732">
        <v>1494000</v>
      </c>
      <c r="K240" s="733"/>
      <c r="L240" s="408">
        <v>0</v>
      </c>
      <c r="M240" s="408">
        <v>3142000</v>
      </c>
      <c r="N240" s="732">
        <v>3142000</v>
      </c>
      <c r="O240" s="734"/>
      <c r="P240" s="408">
        <v>0</v>
      </c>
      <c r="Q240" s="408">
        <v>4744000</v>
      </c>
      <c r="R240" s="732">
        <v>4744000</v>
      </c>
    </row>
    <row r="241" spans="1:18" s="713" customFormat="1">
      <c r="A241" s="711">
        <v>235</v>
      </c>
      <c r="B241" s="711"/>
      <c r="C241" s="711" t="s">
        <v>2453</v>
      </c>
      <c r="D241" s="712" t="s">
        <v>2454</v>
      </c>
      <c r="E241" s="711"/>
      <c r="H241" s="408">
        <v>0</v>
      </c>
      <c r="I241" s="408">
        <v>0</v>
      </c>
      <c r="J241" s="732">
        <v>0</v>
      </c>
      <c r="K241" s="733"/>
      <c r="L241" s="408">
        <v>0</v>
      </c>
      <c r="M241" s="408">
        <v>4272000</v>
      </c>
      <c r="N241" s="732">
        <v>4272000</v>
      </c>
      <c r="O241" s="734"/>
      <c r="P241" s="408">
        <v>0</v>
      </c>
      <c r="Q241" s="408">
        <v>9701000</v>
      </c>
      <c r="R241" s="732">
        <v>9701000</v>
      </c>
    </row>
    <row r="242" spans="1:18" s="713" customFormat="1">
      <c r="A242" s="711">
        <v>236</v>
      </c>
      <c r="B242" s="711"/>
      <c r="C242" s="711" t="s">
        <v>2455</v>
      </c>
      <c r="D242" s="712" t="s">
        <v>2456</v>
      </c>
      <c r="E242" s="711"/>
      <c r="H242" s="408">
        <v>0</v>
      </c>
      <c r="I242" s="408">
        <v>2000000</v>
      </c>
      <c r="J242" s="732">
        <v>2000000</v>
      </c>
      <c r="K242" s="733"/>
      <c r="L242" s="408">
        <v>0</v>
      </c>
      <c r="M242" s="408">
        <v>1000000</v>
      </c>
      <c r="N242" s="732">
        <v>1000000</v>
      </c>
      <c r="O242" s="734"/>
      <c r="P242" s="408">
        <v>0</v>
      </c>
      <c r="Q242" s="408">
        <v>1000000</v>
      </c>
      <c r="R242" s="732">
        <v>1000000</v>
      </c>
    </row>
    <row r="243" spans="1:18" s="713" customFormat="1">
      <c r="A243" s="711">
        <v>237</v>
      </c>
      <c r="B243" s="711"/>
      <c r="C243" s="711" t="s">
        <v>2455</v>
      </c>
      <c r="D243" s="712" t="s">
        <v>2457</v>
      </c>
      <c r="E243" s="711"/>
      <c r="H243" s="408">
        <v>0</v>
      </c>
      <c r="I243" s="408">
        <v>300000</v>
      </c>
      <c r="J243" s="732">
        <v>300000</v>
      </c>
      <c r="K243" s="733"/>
      <c r="L243" s="408">
        <v>0</v>
      </c>
      <c r="M243" s="408">
        <v>300000</v>
      </c>
      <c r="N243" s="732">
        <v>300000</v>
      </c>
      <c r="O243" s="734"/>
      <c r="P243" s="408">
        <v>0</v>
      </c>
      <c r="Q243" s="408">
        <v>300000</v>
      </c>
      <c r="R243" s="732">
        <v>300000</v>
      </c>
    </row>
    <row r="244" spans="1:18" s="713" customFormat="1" ht="30">
      <c r="A244" s="711">
        <v>238</v>
      </c>
      <c r="B244" s="711"/>
      <c r="C244" s="711" t="s">
        <v>2455</v>
      </c>
      <c r="D244" s="712" t="s">
        <v>2458</v>
      </c>
      <c r="E244" s="711"/>
      <c r="H244" s="408">
        <v>0</v>
      </c>
      <c r="I244" s="408">
        <v>500000</v>
      </c>
      <c r="J244" s="732">
        <v>500000</v>
      </c>
      <c r="K244" s="733"/>
      <c r="L244" s="408">
        <v>0</v>
      </c>
      <c r="M244" s="408">
        <v>500000</v>
      </c>
      <c r="N244" s="732">
        <v>500000</v>
      </c>
      <c r="O244" s="734"/>
      <c r="P244" s="408">
        <v>0</v>
      </c>
      <c r="Q244" s="408">
        <v>500000</v>
      </c>
      <c r="R244" s="732">
        <v>500000</v>
      </c>
    </row>
    <row r="245" spans="1:18" s="713" customFormat="1" ht="45">
      <c r="A245" s="711">
        <v>239</v>
      </c>
      <c r="B245" s="711"/>
      <c r="C245" s="711" t="s">
        <v>2455</v>
      </c>
      <c r="D245" s="712" t="s">
        <v>2459</v>
      </c>
      <c r="E245" s="711"/>
      <c r="H245" s="408">
        <v>0</v>
      </c>
      <c r="I245" s="408">
        <v>18000000</v>
      </c>
      <c r="J245" s="732">
        <v>18000000</v>
      </c>
      <c r="K245" s="733"/>
      <c r="L245" s="408">
        <v>0</v>
      </c>
      <c r="M245" s="408">
        <v>18000000</v>
      </c>
      <c r="N245" s="732">
        <v>18000000</v>
      </c>
      <c r="O245" s="734"/>
      <c r="P245" s="408">
        <v>0</v>
      </c>
      <c r="Q245" s="408">
        <v>18000000</v>
      </c>
      <c r="R245" s="732">
        <v>18000000</v>
      </c>
    </row>
    <row r="246" spans="1:18" s="713" customFormat="1" ht="30">
      <c r="A246" s="711">
        <v>240</v>
      </c>
      <c r="B246" s="711"/>
      <c r="C246" s="711" t="s">
        <v>2455</v>
      </c>
      <c r="D246" s="712" t="s">
        <v>2460</v>
      </c>
      <c r="E246" s="711"/>
      <c r="H246" s="408">
        <v>0</v>
      </c>
      <c r="I246" s="408">
        <v>1000000</v>
      </c>
      <c r="J246" s="732">
        <v>1000000</v>
      </c>
      <c r="K246" s="733"/>
      <c r="L246" s="408">
        <v>0</v>
      </c>
      <c r="M246" s="408">
        <v>1000000</v>
      </c>
      <c r="N246" s="732">
        <v>1000000</v>
      </c>
      <c r="O246" s="734"/>
      <c r="P246" s="408">
        <v>0</v>
      </c>
      <c r="Q246" s="408">
        <v>1000000</v>
      </c>
      <c r="R246" s="732">
        <v>1000000</v>
      </c>
    </row>
    <row r="247" spans="1:18" s="713" customFormat="1" ht="30">
      <c r="A247" s="711">
        <v>241</v>
      </c>
      <c r="B247" s="711"/>
      <c r="C247" s="711" t="s">
        <v>2455</v>
      </c>
      <c r="D247" s="712" t="s">
        <v>2461</v>
      </c>
      <c r="E247" s="711"/>
      <c r="H247" s="408">
        <v>0</v>
      </c>
      <c r="I247" s="408">
        <v>3500000</v>
      </c>
      <c r="J247" s="732">
        <v>3500000</v>
      </c>
      <c r="K247" s="733"/>
      <c r="L247" s="408">
        <v>0</v>
      </c>
      <c r="M247" s="408">
        <v>3500000</v>
      </c>
      <c r="N247" s="732">
        <v>3500000</v>
      </c>
      <c r="O247" s="734"/>
      <c r="P247" s="408">
        <v>0</v>
      </c>
      <c r="Q247" s="408">
        <v>3000000</v>
      </c>
      <c r="R247" s="732">
        <v>3000000</v>
      </c>
    </row>
    <row r="248" spans="1:18" s="713" customFormat="1" ht="30">
      <c r="A248" s="711">
        <v>242</v>
      </c>
      <c r="B248" s="711"/>
      <c r="C248" s="711" t="s">
        <v>2455</v>
      </c>
      <c r="D248" s="712" t="s">
        <v>2462</v>
      </c>
      <c r="E248" s="711"/>
      <c r="H248" s="408">
        <v>0</v>
      </c>
      <c r="I248" s="408">
        <v>500000</v>
      </c>
      <c r="J248" s="732">
        <v>500000</v>
      </c>
      <c r="K248" s="733"/>
      <c r="L248" s="408">
        <v>0</v>
      </c>
      <c r="M248" s="408">
        <v>250000</v>
      </c>
      <c r="N248" s="732">
        <v>250000</v>
      </c>
      <c r="O248" s="734"/>
      <c r="P248" s="408">
        <v>0</v>
      </c>
      <c r="Q248" s="408">
        <v>0</v>
      </c>
      <c r="R248" s="732">
        <v>0</v>
      </c>
    </row>
    <row r="249" spans="1:18" s="713" customFormat="1">
      <c r="A249" s="711">
        <v>243</v>
      </c>
      <c r="B249" s="711"/>
      <c r="C249" s="711" t="s">
        <v>2455</v>
      </c>
      <c r="D249" s="712" t="s">
        <v>2463</v>
      </c>
      <c r="E249" s="711"/>
      <c r="H249" s="408">
        <v>0</v>
      </c>
      <c r="I249" s="408">
        <v>900000</v>
      </c>
      <c r="J249" s="732">
        <v>900000</v>
      </c>
      <c r="K249" s="733"/>
      <c r="L249" s="408">
        <v>0</v>
      </c>
      <c r="M249" s="408">
        <v>990000</v>
      </c>
      <c r="N249" s="732">
        <v>990000</v>
      </c>
      <c r="O249" s="734"/>
      <c r="P249" s="408">
        <v>0</v>
      </c>
      <c r="Q249" s="408">
        <v>1100000</v>
      </c>
      <c r="R249" s="732">
        <v>1100000</v>
      </c>
    </row>
    <row r="250" spans="1:18" s="713" customFormat="1">
      <c r="A250" s="711">
        <v>244</v>
      </c>
      <c r="B250" s="711"/>
      <c r="C250" s="711" t="s">
        <v>2455</v>
      </c>
      <c r="D250" s="712" t="s">
        <v>2464</v>
      </c>
      <c r="E250" s="711"/>
      <c r="H250" s="408">
        <v>0</v>
      </c>
      <c r="I250" s="408">
        <v>2000000</v>
      </c>
      <c r="J250" s="732">
        <v>2000000</v>
      </c>
      <c r="K250" s="733"/>
      <c r="L250" s="408">
        <v>0</v>
      </c>
      <c r="M250" s="408">
        <v>2000000</v>
      </c>
      <c r="N250" s="732">
        <v>2000000</v>
      </c>
      <c r="O250" s="734"/>
      <c r="P250" s="408">
        <v>0</v>
      </c>
      <c r="Q250" s="408">
        <v>2000000</v>
      </c>
      <c r="R250" s="732">
        <v>2000000</v>
      </c>
    </row>
    <row r="251" spans="1:18" s="713" customFormat="1" ht="30">
      <c r="A251" s="711">
        <v>245</v>
      </c>
      <c r="B251" s="711"/>
      <c r="C251" s="711" t="s">
        <v>2455</v>
      </c>
      <c r="D251" s="712" t="s">
        <v>2465</v>
      </c>
      <c r="E251" s="711"/>
      <c r="H251" s="408">
        <v>0</v>
      </c>
      <c r="I251" s="408">
        <v>7500000</v>
      </c>
      <c r="J251" s="732">
        <v>7500000</v>
      </c>
      <c r="K251" s="733"/>
      <c r="L251" s="408">
        <v>0</v>
      </c>
      <c r="M251" s="408">
        <v>2500000</v>
      </c>
      <c r="N251" s="732">
        <v>2500000</v>
      </c>
      <c r="O251" s="734"/>
      <c r="P251" s="408">
        <v>0</v>
      </c>
      <c r="Q251" s="408">
        <v>2500000</v>
      </c>
      <c r="R251" s="732">
        <v>2500000</v>
      </c>
    </row>
    <row r="252" spans="1:18" s="713" customFormat="1" ht="30">
      <c r="A252" s="711">
        <v>246</v>
      </c>
      <c r="B252" s="711"/>
      <c r="C252" s="711" t="s">
        <v>2455</v>
      </c>
      <c r="D252" s="712" t="s">
        <v>2466</v>
      </c>
      <c r="E252" s="711"/>
      <c r="H252" s="408">
        <v>0</v>
      </c>
      <c r="I252" s="408">
        <v>2000000</v>
      </c>
      <c r="J252" s="732">
        <v>2000000</v>
      </c>
      <c r="K252" s="733"/>
      <c r="L252" s="408">
        <v>0</v>
      </c>
      <c r="M252" s="408">
        <v>2000000</v>
      </c>
      <c r="N252" s="732">
        <v>2000000</v>
      </c>
      <c r="O252" s="734"/>
      <c r="P252" s="408">
        <v>0</v>
      </c>
      <c r="Q252" s="408">
        <v>2000000</v>
      </c>
      <c r="R252" s="732">
        <v>2000000</v>
      </c>
    </row>
    <row r="253" spans="1:18" s="713" customFormat="1">
      <c r="A253" s="711">
        <v>247</v>
      </c>
      <c r="B253" s="711"/>
      <c r="C253" s="711" t="s">
        <v>2455</v>
      </c>
      <c r="D253" s="712" t="s">
        <v>2467</v>
      </c>
      <c r="E253" s="711"/>
      <c r="H253" s="408">
        <v>0</v>
      </c>
      <c r="I253" s="408">
        <v>1000000</v>
      </c>
      <c r="J253" s="732">
        <v>1000000</v>
      </c>
      <c r="K253" s="733"/>
      <c r="L253" s="408">
        <v>0</v>
      </c>
      <c r="M253" s="408">
        <v>0</v>
      </c>
      <c r="N253" s="732">
        <v>0</v>
      </c>
      <c r="O253" s="734"/>
      <c r="P253" s="408">
        <v>0</v>
      </c>
      <c r="Q253" s="408">
        <v>0</v>
      </c>
      <c r="R253" s="732">
        <v>0</v>
      </c>
    </row>
    <row r="254" spans="1:18" s="713" customFormat="1">
      <c r="A254" s="711">
        <v>248</v>
      </c>
      <c r="B254" s="711"/>
      <c r="C254" s="711" t="s">
        <v>2455</v>
      </c>
      <c r="D254" s="712" t="s">
        <v>2468</v>
      </c>
      <c r="E254" s="711"/>
      <c r="H254" s="408">
        <v>0</v>
      </c>
      <c r="I254" s="408">
        <v>750000</v>
      </c>
      <c r="J254" s="732">
        <v>750000</v>
      </c>
      <c r="K254" s="733"/>
      <c r="L254" s="408">
        <v>0</v>
      </c>
      <c r="M254" s="408">
        <v>750000</v>
      </c>
      <c r="N254" s="732">
        <v>750000</v>
      </c>
      <c r="O254" s="734"/>
      <c r="P254" s="408">
        <v>0</v>
      </c>
      <c r="Q254" s="408">
        <v>2500000</v>
      </c>
      <c r="R254" s="732">
        <v>2500000</v>
      </c>
    </row>
    <row r="255" spans="1:18" s="713" customFormat="1">
      <c r="A255" s="711">
        <v>249</v>
      </c>
      <c r="B255" s="711"/>
      <c r="C255" s="711" t="s">
        <v>2455</v>
      </c>
      <c r="D255" s="712" t="s">
        <v>2469</v>
      </c>
      <c r="E255" s="711"/>
      <c r="H255" s="408">
        <v>0</v>
      </c>
      <c r="I255" s="408">
        <v>1000000</v>
      </c>
      <c r="J255" s="732">
        <v>1000000</v>
      </c>
      <c r="K255" s="733"/>
      <c r="L255" s="408">
        <v>0</v>
      </c>
      <c r="M255" s="408">
        <v>1500000</v>
      </c>
      <c r="N255" s="732">
        <v>1500000</v>
      </c>
      <c r="O255" s="734"/>
      <c r="P255" s="408">
        <v>0</v>
      </c>
      <c r="Q255" s="408">
        <v>3000000</v>
      </c>
      <c r="R255" s="732">
        <v>3000000</v>
      </c>
    </row>
    <row r="256" spans="1:18" s="713" customFormat="1">
      <c r="A256" s="711">
        <v>250</v>
      </c>
      <c r="B256" s="711"/>
      <c r="C256" s="711" t="s">
        <v>2455</v>
      </c>
      <c r="D256" s="712" t="s">
        <v>2470</v>
      </c>
      <c r="E256" s="711"/>
      <c r="H256" s="408">
        <v>0</v>
      </c>
      <c r="I256" s="408">
        <v>2500000</v>
      </c>
      <c r="J256" s="732">
        <v>2500000</v>
      </c>
      <c r="K256" s="733"/>
      <c r="L256" s="408">
        <v>0</v>
      </c>
      <c r="M256" s="408">
        <v>2500000</v>
      </c>
      <c r="N256" s="732">
        <v>2500000</v>
      </c>
      <c r="O256" s="734"/>
      <c r="P256" s="408">
        <v>0</v>
      </c>
      <c r="Q256" s="408">
        <v>2500000</v>
      </c>
      <c r="R256" s="732">
        <v>2500000</v>
      </c>
    </row>
    <row r="257" spans="1:18" s="713" customFormat="1">
      <c r="A257" s="711">
        <v>251</v>
      </c>
      <c r="B257" s="711"/>
      <c r="C257" s="711" t="s">
        <v>2455</v>
      </c>
      <c r="D257" s="712" t="s">
        <v>2471</v>
      </c>
      <c r="E257" s="711"/>
      <c r="H257" s="408">
        <v>0</v>
      </c>
      <c r="I257" s="408">
        <v>1500000</v>
      </c>
      <c r="J257" s="732">
        <v>1500000</v>
      </c>
      <c r="K257" s="733"/>
      <c r="L257" s="408">
        <v>0</v>
      </c>
      <c r="M257" s="408">
        <v>2000000</v>
      </c>
      <c r="N257" s="732">
        <v>2000000</v>
      </c>
      <c r="O257" s="734"/>
      <c r="P257" s="408">
        <v>0</v>
      </c>
      <c r="Q257" s="408">
        <v>2500000</v>
      </c>
      <c r="R257" s="732">
        <v>2500000</v>
      </c>
    </row>
    <row r="258" spans="1:18" s="713" customFormat="1">
      <c r="A258" s="711">
        <v>252</v>
      </c>
      <c r="B258" s="711"/>
      <c r="C258" s="711" t="s">
        <v>2455</v>
      </c>
      <c r="D258" s="712" t="s">
        <v>2472</v>
      </c>
      <c r="E258" s="711"/>
      <c r="H258" s="408">
        <v>0</v>
      </c>
      <c r="I258" s="408">
        <v>1000000</v>
      </c>
      <c r="J258" s="732">
        <v>1000000</v>
      </c>
      <c r="K258" s="733"/>
      <c r="L258" s="408">
        <v>0</v>
      </c>
      <c r="M258" s="408">
        <v>1000000</v>
      </c>
      <c r="N258" s="732">
        <v>1000000</v>
      </c>
      <c r="O258" s="734"/>
      <c r="P258" s="408">
        <v>0</v>
      </c>
      <c r="Q258" s="408">
        <v>1000000</v>
      </c>
      <c r="R258" s="732">
        <v>1000000</v>
      </c>
    </row>
    <row r="259" spans="1:18" s="713" customFormat="1">
      <c r="A259" s="711">
        <v>253</v>
      </c>
      <c r="B259" s="711"/>
      <c r="C259" s="711" t="s">
        <v>2455</v>
      </c>
      <c r="D259" s="712" t="s">
        <v>2473</v>
      </c>
      <c r="E259" s="711"/>
      <c r="H259" s="408">
        <v>0</v>
      </c>
      <c r="I259" s="408">
        <v>2500000</v>
      </c>
      <c r="J259" s="732">
        <v>2500000</v>
      </c>
      <c r="K259" s="733"/>
      <c r="L259" s="408">
        <v>0</v>
      </c>
      <c r="M259" s="408">
        <v>3000000</v>
      </c>
      <c r="N259" s="732">
        <v>3000000</v>
      </c>
      <c r="O259" s="734"/>
      <c r="P259" s="408">
        <v>0</v>
      </c>
      <c r="Q259" s="408">
        <v>5000000</v>
      </c>
      <c r="R259" s="732">
        <v>5000000</v>
      </c>
    </row>
    <row r="260" spans="1:18" s="713" customFormat="1">
      <c r="A260" s="711">
        <v>254</v>
      </c>
      <c r="B260" s="711"/>
      <c r="C260" s="711" t="s">
        <v>2455</v>
      </c>
      <c r="D260" s="712" t="s">
        <v>2474</v>
      </c>
      <c r="E260" s="711"/>
      <c r="H260" s="408">
        <v>0</v>
      </c>
      <c r="I260" s="408">
        <v>1750000</v>
      </c>
      <c r="J260" s="732">
        <v>1750000</v>
      </c>
      <c r="K260" s="733"/>
      <c r="L260" s="408">
        <v>0</v>
      </c>
      <c r="M260" s="408">
        <v>750000</v>
      </c>
      <c r="N260" s="732">
        <v>750000</v>
      </c>
      <c r="O260" s="734"/>
      <c r="P260" s="408">
        <v>0</v>
      </c>
      <c r="Q260" s="408">
        <v>750000</v>
      </c>
      <c r="R260" s="732">
        <v>750000</v>
      </c>
    </row>
    <row r="261" spans="1:18" s="713" customFormat="1">
      <c r="A261" s="711">
        <v>255</v>
      </c>
      <c r="B261" s="711"/>
      <c r="C261" s="711" t="s">
        <v>2455</v>
      </c>
      <c r="D261" s="712" t="s">
        <v>2475</v>
      </c>
      <c r="E261" s="711"/>
      <c r="H261" s="408">
        <v>0</v>
      </c>
      <c r="I261" s="408">
        <v>0</v>
      </c>
      <c r="J261" s="732">
        <v>0</v>
      </c>
      <c r="K261" s="733"/>
      <c r="L261" s="408">
        <v>0</v>
      </c>
      <c r="M261" s="408">
        <v>0</v>
      </c>
      <c r="N261" s="732">
        <v>0</v>
      </c>
      <c r="O261" s="734"/>
      <c r="P261" s="408">
        <v>0</v>
      </c>
      <c r="Q261" s="408">
        <v>10000000</v>
      </c>
      <c r="R261" s="732">
        <v>10000000</v>
      </c>
    </row>
    <row r="262" spans="1:18" s="713" customFormat="1">
      <c r="A262" s="711">
        <v>256</v>
      </c>
      <c r="B262" s="711"/>
      <c r="C262" s="711" t="s">
        <v>2455</v>
      </c>
      <c r="D262" s="712" t="s">
        <v>2476</v>
      </c>
      <c r="E262" s="711"/>
      <c r="H262" s="408">
        <v>0</v>
      </c>
      <c r="I262" s="408">
        <v>250000</v>
      </c>
      <c r="J262" s="732">
        <v>250000</v>
      </c>
      <c r="K262" s="733"/>
      <c r="L262" s="408">
        <v>0</v>
      </c>
      <c r="M262" s="408">
        <v>0</v>
      </c>
      <c r="N262" s="732">
        <v>0</v>
      </c>
      <c r="O262" s="734"/>
      <c r="P262" s="408">
        <v>0</v>
      </c>
      <c r="Q262" s="408">
        <v>0</v>
      </c>
      <c r="R262" s="732">
        <v>0</v>
      </c>
    </row>
    <row r="263" spans="1:18" s="713" customFormat="1">
      <c r="A263" s="711">
        <v>257</v>
      </c>
      <c r="B263" s="711"/>
      <c r="C263" s="711" t="s">
        <v>2455</v>
      </c>
      <c r="D263" s="712" t="s">
        <v>2477</v>
      </c>
      <c r="E263" s="711"/>
      <c r="H263" s="408">
        <v>0</v>
      </c>
      <c r="I263" s="408">
        <v>0</v>
      </c>
      <c r="J263" s="732">
        <v>0</v>
      </c>
      <c r="K263" s="733"/>
      <c r="L263" s="408">
        <v>0</v>
      </c>
      <c r="M263" s="408">
        <v>0</v>
      </c>
      <c r="N263" s="732">
        <v>0</v>
      </c>
      <c r="O263" s="734"/>
      <c r="P263" s="408">
        <v>0</v>
      </c>
      <c r="Q263" s="408">
        <v>250000</v>
      </c>
      <c r="R263" s="732">
        <v>250000</v>
      </c>
    </row>
    <row r="264" spans="1:18" s="713" customFormat="1">
      <c r="A264" s="711">
        <v>258</v>
      </c>
      <c r="B264" s="711"/>
      <c r="C264" s="711" t="s">
        <v>2455</v>
      </c>
      <c r="D264" s="712" t="s">
        <v>2478</v>
      </c>
      <c r="E264" s="711"/>
      <c r="H264" s="408">
        <v>0</v>
      </c>
      <c r="I264" s="408">
        <v>0</v>
      </c>
      <c r="J264" s="732">
        <v>0</v>
      </c>
      <c r="K264" s="733"/>
      <c r="L264" s="408">
        <v>0</v>
      </c>
      <c r="M264" s="408">
        <v>250000</v>
      </c>
      <c r="N264" s="732">
        <v>250000</v>
      </c>
      <c r="O264" s="734"/>
      <c r="P264" s="408">
        <v>0</v>
      </c>
      <c r="Q264" s="408">
        <v>250000</v>
      </c>
      <c r="R264" s="732">
        <v>250000</v>
      </c>
    </row>
    <row r="265" spans="1:18" s="713" customFormat="1" ht="30">
      <c r="A265" s="711">
        <v>259</v>
      </c>
      <c r="B265" s="711"/>
      <c r="C265" s="711" t="s">
        <v>2455</v>
      </c>
      <c r="D265" s="712" t="s">
        <v>2479</v>
      </c>
      <c r="E265" s="711"/>
      <c r="H265" s="408">
        <v>0</v>
      </c>
      <c r="I265" s="408">
        <v>0</v>
      </c>
      <c r="J265" s="732">
        <v>0</v>
      </c>
      <c r="K265" s="733"/>
      <c r="L265" s="408">
        <v>0</v>
      </c>
      <c r="M265" s="408">
        <v>0</v>
      </c>
      <c r="N265" s="732">
        <v>0</v>
      </c>
      <c r="O265" s="734"/>
      <c r="P265" s="408">
        <v>0</v>
      </c>
      <c r="Q265" s="408">
        <v>1000000</v>
      </c>
      <c r="R265" s="732">
        <v>1000000</v>
      </c>
    </row>
    <row r="266" spans="1:18" s="713" customFormat="1">
      <c r="A266" s="711">
        <v>260</v>
      </c>
      <c r="B266" s="711"/>
      <c r="C266" s="711" t="s">
        <v>2455</v>
      </c>
      <c r="D266" s="712" t="s">
        <v>2480</v>
      </c>
      <c r="E266" s="711"/>
      <c r="H266" s="408">
        <v>0</v>
      </c>
      <c r="I266" s="408">
        <v>0</v>
      </c>
      <c r="J266" s="732">
        <v>0</v>
      </c>
      <c r="K266" s="733"/>
      <c r="L266" s="408">
        <v>0</v>
      </c>
      <c r="M266" s="408">
        <v>1000000</v>
      </c>
      <c r="N266" s="732">
        <v>1000000</v>
      </c>
      <c r="O266" s="734"/>
      <c r="P266" s="408">
        <v>0</v>
      </c>
      <c r="Q266" s="408">
        <v>750000</v>
      </c>
      <c r="R266" s="732">
        <v>750000</v>
      </c>
    </row>
    <row r="267" spans="1:18" s="713" customFormat="1" ht="30">
      <c r="A267" s="711">
        <v>261</v>
      </c>
      <c r="B267" s="711"/>
      <c r="C267" s="711" t="s">
        <v>2455</v>
      </c>
      <c r="D267" s="712" t="s">
        <v>2481</v>
      </c>
      <c r="E267" s="711"/>
      <c r="H267" s="408">
        <v>0</v>
      </c>
      <c r="I267" s="408">
        <v>1500000</v>
      </c>
      <c r="J267" s="732">
        <v>1500000</v>
      </c>
      <c r="K267" s="733"/>
      <c r="L267" s="408">
        <v>0</v>
      </c>
      <c r="M267" s="408">
        <v>750000</v>
      </c>
      <c r="N267" s="732">
        <v>750000</v>
      </c>
      <c r="O267" s="734"/>
      <c r="P267" s="408">
        <v>0</v>
      </c>
      <c r="Q267" s="408">
        <v>0</v>
      </c>
      <c r="R267" s="732">
        <v>0</v>
      </c>
    </row>
    <row r="268" spans="1:18" s="713" customFormat="1">
      <c r="A268" s="711">
        <v>262</v>
      </c>
      <c r="B268" s="711"/>
      <c r="C268" s="711" t="s">
        <v>2455</v>
      </c>
      <c r="D268" s="712" t="s">
        <v>2482</v>
      </c>
      <c r="E268" s="711"/>
      <c r="H268" s="408">
        <v>0</v>
      </c>
      <c r="I268" s="408">
        <v>0</v>
      </c>
      <c r="J268" s="732">
        <v>0</v>
      </c>
      <c r="K268" s="733"/>
      <c r="L268" s="408">
        <v>0</v>
      </c>
      <c r="M268" s="408">
        <v>1500000</v>
      </c>
      <c r="N268" s="732">
        <v>1500000</v>
      </c>
      <c r="O268" s="734"/>
      <c r="P268" s="408">
        <v>0</v>
      </c>
      <c r="Q268" s="408">
        <v>0</v>
      </c>
      <c r="R268" s="732">
        <v>0</v>
      </c>
    </row>
    <row r="269" spans="1:18" s="713" customFormat="1">
      <c r="A269" s="711">
        <v>263</v>
      </c>
      <c r="B269" s="711"/>
      <c r="C269" s="711" t="s">
        <v>2455</v>
      </c>
      <c r="D269" s="712" t="s">
        <v>2483</v>
      </c>
      <c r="E269" s="711"/>
      <c r="H269" s="408">
        <v>0</v>
      </c>
      <c r="I269" s="408">
        <v>0</v>
      </c>
      <c r="J269" s="732">
        <v>0</v>
      </c>
      <c r="K269" s="733"/>
      <c r="L269" s="408">
        <v>0</v>
      </c>
      <c r="M269" s="408">
        <v>0</v>
      </c>
      <c r="N269" s="732">
        <v>0</v>
      </c>
      <c r="O269" s="734"/>
      <c r="P269" s="408">
        <v>0</v>
      </c>
      <c r="Q269" s="408">
        <v>2500000</v>
      </c>
      <c r="R269" s="732">
        <v>2500000</v>
      </c>
    </row>
    <row r="270" spans="1:18">
      <c r="A270" s="2"/>
      <c r="B270" s="2"/>
      <c r="D270"/>
      <c r="H270" s="737"/>
      <c r="I270" s="737"/>
      <c r="J270" s="737"/>
      <c r="K270" s="737"/>
      <c r="L270" s="737"/>
      <c r="M270" s="737"/>
      <c r="N270" s="737"/>
      <c r="O270" s="737"/>
      <c r="P270" s="737"/>
      <c r="Q270" s="737"/>
      <c r="R270" s="737"/>
    </row>
    <row r="271" spans="1:18">
      <c r="A271" s="2" t="e">
        <f>#REF!+1</f>
        <v>#REF!</v>
      </c>
      <c r="B271" s="2"/>
      <c r="C271" s="705" t="s">
        <v>2484</v>
      </c>
      <c r="D271" s="63"/>
      <c r="E271" s="63"/>
      <c r="F271" s="706"/>
      <c r="G271" s="706"/>
      <c r="H271" s="738">
        <f>SUM(H272:H281)</f>
        <v>0</v>
      </c>
      <c r="I271" s="738">
        <f>SUM(I272:I281)</f>
        <v>0</v>
      </c>
      <c r="J271" s="738" t="e">
        <f>SUM(J272:J281)</f>
        <v>#REF!</v>
      </c>
      <c r="K271" s="738"/>
      <c r="L271" s="738">
        <f>SUM(L272:L281)</f>
        <v>0</v>
      </c>
      <c r="M271" s="738">
        <f>SUM(M272:M281)</f>
        <v>0</v>
      </c>
      <c r="N271" s="738">
        <f>SUM(N272:N281)</f>
        <v>0</v>
      </c>
      <c r="O271" s="738"/>
      <c r="P271" s="738">
        <f>SUM(P272:P281)</f>
        <v>0</v>
      </c>
      <c r="Q271" s="738">
        <f>SUM(Q272:Q281)</f>
        <v>0</v>
      </c>
      <c r="R271" s="738">
        <f>SUM(R272:R281)</f>
        <v>0</v>
      </c>
    </row>
    <row r="272" spans="1:18">
      <c r="A272" s="2" t="e">
        <f t="shared" ref="A272:A281" si="0">A271+1</f>
        <v>#REF!</v>
      </c>
      <c r="B272" s="2"/>
      <c r="D272" t="s">
        <v>2485</v>
      </c>
      <c r="H272" s="739"/>
      <c r="I272" s="739"/>
      <c r="J272" s="739" t="e">
        <f>H272+I272+#REF!</f>
        <v>#REF!</v>
      </c>
      <c r="K272" s="740"/>
      <c r="L272" s="739"/>
      <c r="M272" s="739"/>
      <c r="N272" s="739"/>
      <c r="O272" s="737"/>
      <c r="P272" s="739"/>
      <c r="Q272" s="739"/>
      <c r="R272" s="739"/>
    </row>
    <row r="273" spans="1:18">
      <c r="A273" s="2" t="e">
        <f t="shared" si="0"/>
        <v>#REF!</v>
      </c>
      <c r="B273" s="2"/>
      <c r="D273" t="s">
        <v>2486</v>
      </c>
      <c r="H273" s="739"/>
      <c r="I273" s="739"/>
      <c r="J273" s="739" t="e">
        <f>H273+I273+#REF!</f>
        <v>#REF!</v>
      </c>
      <c r="K273" s="740"/>
      <c r="L273" s="739"/>
      <c r="M273" s="739"/>
      <c r="N273" s="739"/>
      <c r="O273" s="737"/>
      <c r="P273" s="739"/>
      <c r="Q273" s="739"/>
      <c r="R273" s="739"/>
    </row>
    <row r="274" spans="1:18">
      <c r="A274" s="2" t="e">
        <f t="shared" si="0"/>
        <v>#REF!</v>
      </c>
      <c r="B274" s="2"/>
      <c r="D274" t="s">
        <v>2487</v>
      </c>
      <c r="H274" s="739"/>
      <c r="I274" s="739"/>
      <c r="J274" s="739" t="e">
        <f>H274+I274+#REF!</f>
        <v>#REF!</v>
      </c>
      <c r="K274" s="740"/>
      <c r="L274" s="739"/>
      <c r="M274" s="739"/>
      <c r="N274" s="739"/>
      <c r="O274" s="737"/>
      <c r="P274" s="739"/>
      <c r="Q274" s="739"/>
      <c r="R274" s="739"/>
    </row>
    <row r="275" spans="1:18">
      <c r="A275" s="2" t="e">
        <f t="shared" si="0"/>
        <v>#REF!</v>
      </c>
      <c r="B275" s="2"/>
      <c r="D275" t="s">
        <v>2488</v>
      </c>
      <c r="H275" s="739"/>
      <c r="I275" s="739"/>
      <c r="J275" s="739" t="e">
        <f>H275+I275+#REF!</f>
        <v>#REF!</v>
      </c>
      <c r="K275" s="740"/>
      <c r="L275" s="739"/>
      <c r="M275" s="739"/>
      <c r="N275" s="739"/>
      <c r="O275" s="737"/>
      <c r="P275" s="739"/>
      <c r="Q275" s="739"/>
      <c r="R275" s="739"/>
    </row>
    <row r="276" spans="1:18">
      <c r="A276" s="2" t="e">
        <f t="shared" si="0"/>
        <v>#REF!</v>
      </c>
      <c r="B276" s="2"/>
      <c r="D276" t="s">
        <v>2489</v>
      </c>
      <c r="H276" s="739"/>
      <c r="I276" s="739"/>
      <c r="J276" s="739" t="e">
        <f>H276+I276+#REF!</f>
        <v>#REF!</v>
      </c>
      <c r="K276" s="740"/>
      <c r="L276" s="739"/>
      <c r="M276" s="739"/>
      <c r="N276" s="739"/>
      <c r="O276" s="737"/>
      <c r="P276" s="739"/>
      <c r="Q276" s="739"/>
      <c r="R276" s="739"/>
    </row>
    <row r="277" spans="1:18">
      <c r="A277" s="2" t="e">
        <f t="shared" si="0"/>
        <v>#REF!</v>
      </c>
      <c r="B277" s="2"/>
      <c r="D277" t="s">
        <v>2490</v>
      </c>
      <c r="H277" s="739"/>
      <c r="I277" s="739"/>
      <c r="J277" s="739" t="e">
        <f>H277+I277+#REF!</f>
        <v>#REF!</v>
      </c>
      <c r="K277" s="740"/>
      <c r="L277" s="739"/>
      <c r="M277" s="739"/>
      <c r="N277" s="739"/>
      <c r="O277" s="737"/>
      <c r="P277" s="739"/>
      <c r="Q277" s="739"/>
      <c r="R277" s="739"/>
    </row>
    <row r="278" spans="1:18">
      <c r="A278" s="2" t="e">
        <f t="shared" si="0"/>
        <v>#REF!</v>
      </c>
      <c r="B278" s="2"/>
      <c r="D278" t="s">
        <v>2491</v>
      </c>
      <c r="H278" s="739"/>
      <c r="I278" s="739"/>
      <c r="J278" s="739" t="e">
        <f>H278+I278+#REF!</f>
        <v>#REF!</v>
      </c>
      <c r="K278" s="740"/>
      <c r="L278" s="739"/>
      <c r="M278" s="739"/>
      <c r="N278" s="739"/>
      <c r="O278" s="737"/>
      <c r="P278" s="739"/>
      <c r="Q278" s="739"/>
      <c r="R278" s="739"/>
    </row>
    <row r="279" spans="1:18">
      <c r="A279" s="2" t="e">
        <f t="shared" si="0"/>
        <v>#REF!</v>
      </c>
      <c r="B279" s="2"/>
      <c r="D279" t="s">
        <v>2492</v>
      </c>
      <c r="H279" s="739"/>
      <c r="I279" s="739"/>
      <c r="J279" s="739" t="e">
        <f>H279+I279+#REF!</f>
        <v>#REF!</v>
      </c>
      <c r="K279" s="740"/>
      <c r="L279" s="739"/>
      <c r="M279" s="739"/>
      <c r="N279" s="739"/>
      <c r="O279" s="737"/>
      <c r="P279" s="739"/>
      <c r="Q279" s="739"/>
      <c r="R279" s="739"/>
    </row>
    <row r="280" spans="1:18">
      <c r="A280" s="2" t="e">
        <f t="shared" si="0"/>
        <v>#REF!</v>
      </c>
      <c r="B280" s="2"/>
      <c r="D280" t="s">
        <v>2493</v>
      </c>
      <c r="H280" s="739"/>
      <c r="I280" s="739"/>
      <c r="J280" s="739" t="e">
        <f>H280+I280+#REF!</f>
        <v>#REF!</v>
      </c>
      <c r="K280" s="740"/>
      <c r="L280" s="739"/>
      <c r="M280" s="739"/>
      <c r="N280" s="739"/>
      <c r="O280" s="737"/>
      <c r="P280" s="739"/>
      <c r="Q280" s="739"/>
      <c r="R280" s="739"/>
    </row>
    <row r="281" spans="1:18">
      <c r="A281" s="2" t="e">
        <f t="shared" si="0"/>
        <v>#REF!</v>
      </c>
      <c r="B281" s="2"/>
      <c r="D281" t="s">
        <v>2494</v>
      </c>
      <c r="H281" s="739"/>
      <c r="I281" s="739"/>
      <c r="J281" s="739" t="e">
        <f>H281+I281+#REF!</f>
        <v>#REF!</v>
      </c>
      <c r="K281" s="740"/>
      <c r="L281" s="739"/>
      <c r="M281" s="739"/>
      <c r="N281" s="739"/>
      <c r="O281" s="737"/>
      <c r="P281" s="739"/>
      <c r="Q281" s="739"/>
      <c r="R281" s="739"/>
    </row>
    <row r="282" spans="1:18">
      <c r="D282"/>
      <c r="H282" s="737"/>
      <c r="I282" s="737"/>
      <c r="J282" s="737"/>
      <c r="K282" s="737"/>
      <c r="L282" s="737"/>
      <c r="M282" s="737"/>
      <c r="N282" s="737"/>
      <c r="O282" s="737"/>
      <c r="P282" s="737"/>
      <c r="Q282" s="737"/>
      <c r="R282" s="737"/>
    </row>
    <row r="283" spans="1:18">
      <c r="A283" s="2" t="e">
        <f>A281+1</f>
        <v>#REF!</v>
      </c>
      <c r="B283" s="2"/>
      <c r="C283" s="710" t="s">
        <v>656</v>
      </c>
      <c r="D283" s="63"/>
      <c r="E283" s="63"/>
      <c r="F283" s="706"/>
      <c r="G283" s="706" t="e">
        <f>SUM(#REF!,#REF!,#REF!,#REF!,#REF!,#REF!,#REF!)</f>
        <v>#REF!</v>
      </c>
      <c r="H283" s="738" t="e">
        <f>SUM(#REF!,#REF!,#REF!,#REF!,#REF!,#REF!,#REF!)</f>
        <v>#REF!</v>
      </c>
      <c r="I283" s="738" t="e">
        <f>SUM(#REF!,#REF!,#REF!,#REF!,#REF!,#REF!,#REF!)</f>
        <v>#REF!</v>
      </c>
      <c r="J283" s="738" t="e">
        <f>SUM(#REF!,#REF!,#REF!,#REF!,#REF!,#REF!,#REF!)</f>
        <v>#REF!</v>
      </c>
      <c r="K283" s="738" t="e">
        <f>SUM(#REF!,#REF!,#REF!,#REF!,#REF!,#REF!,#REF!)</f>
        <v>#REF!</v>
      </c>
      <c r="L283" s="738" t="e">
        <f>SUM(#REF!,#REF!,#REF!,#REF!,#REF!,#REF!,#REF!)</f>
        <v>#REF!</v>
      </c>
      <c r="M283" s="738" t="e">
        <f>SUM(#REF!,#REF!,#REF!,#REF!,#REF!,#REF!,#REF!)</f>
        <v>#REF!</v>
      </c>
      <c r="N283" s="738" t="e">
        <f>SUM(#REF!,#REF!,#REF!,#REF!,#REF!,#REF!,#REF!)</f>
        <v>#REF!</v>
      </c>
      <c r="O283" s="738" t="e">
        <f>SUM(#REF!,#REF!,#REF!,#REF!,#REF!,#REF!,#REF!)</f>
        <v>#REF!</v>
      </c>
      <c r="P283" s="738" t="e">
        <f>SUM(#REF!,#REF!,#REF!,#REF!,#REF!,#REF!,#REF!)</f>
        <v>#REF!</v>
      </c>
      <c r="Q283" s="738" t="e">
        <f>SUM(#REF!,#REF!,#REF!,#REF!,#REF!,#REF!,#REF!)</f>
        <v>#REF!</v>
      </c>
      <c r="R283" s="738" t="e">
        <f>SUM(#REF!,#REF!,#REF!,#REF!,#REF!,#REF!,#REF!)</f>
        <v>#REF!</v>
      </c>
    </row>
  </sheetData>
  <mergeCells count="3">
    <mergeCell ref="H2:J2"/>
    <mergeCell ref="L2:N2"/>
    <mergeCell ref="P2:R2"/>
  </mergeCells>
  <pageMargins left="0.7" right="0.7" top="0.75" bottom="0.75" header="0.3" footer="0.3"/>
  <pageSetup scale="60" fitToHeight="0" orientation="portrait" horizontalDpi="1200" verticalDpi="1200" r:id="rId1"/>
  <headerFooter>
    <oddHeader>&amp;LPuerto Rico Electric Power Authority 
Rate Review (NEPR-AP-2023-0003)
Projected Construction and Decommissioning Capital Expenditures for Generation Assets
&amp;RSchedule D-2 Optimal
Page &amp;P of &amp;N</oddHeader>
  </headerFooter>
  <colBreaks count="2" manualBreakCount="2">
    <brk id="10" max="268" man="1"/>
    <brk id="14" max="268"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FE508-AC7C-427B-974E-4FA6ADD83DAA}">
  <sheetPr>
    <tabColor theme="9" tint="0.79998168889431442"/>
  </sheetPr>
  <dimension ref="A2:R13"/>
  <sheetViews>
    <sheetView workbookViewId="0"/>
    <sheetView workbookViewId="1"/>
    <sheetView workbookViewId="2"/>
  </sheetViews>
  <sheetFormatPr defaultColWidth="8.5703125" defaultRowHeight="15"/>
  <cols>
    <col min="1" max="2" width="5.5703125" customWidth="1"/>
    <col min="3" max="3" width="26" bestFit="1" customWidth="1"/>
    <col min="4" max="4" width="62.5703125" style="61" bestFit="1" customWidth="1"/>
    <col min="5" max="5" width="9" style="2" bestFit="1" customWidth="1"/>
    <col min="6" max="7" width="5.5703125" customWidth="1"/>
    <col min="8" max="10" width="20.5703125" customWidth="1"/>
    <col min="11" max="11" width="5.5703125" customWidth="1"/>
    <col min="12" max="14" width="20.5703125" customWidth="1"/>
    <col min="15" max="15" width="5.5703125" customWidth="1"/>
    <col min="16" max="18" width="20.5703125" customWidth="1"/>
  </cols>
  <sheetData>
    <row r="2" spans="1:18">
      <c r="D2"/>
      <c r="H2" s="1206" t="s">
        <v>393</v>
      </c>
      <c r="I2" s="1206"/>
      <c r="J2" s="1206"/>
      <c r="L2" s="1206" t="s">
        <v>394</v>
      </c>
      <c r="M2" s="1206"/>
      <c r="N2" s="1206"/>
      <c r="P2" s="1206" t="s">
        <v>395</v>
      </c>
      <c r="Q2" s="1206"/>
      <c r="R2" s="1206"/>
    </row>
    <row r="3" spans="1:18" s="2" customFormat="1" ht="60">
      <c r="A3" s="58" t="s">
        <v>242</v>
      </c>
      <c r="C3" s="58" t="s">
        <v>2495</v>
      </c>
      <c r="D3" s="58" t="s">
        <v>2496</v>
      </c>
      <c r="E3" s="58" t="s">
        <v>2082</v>
      </c>
      <c r="H3" s="58" t="s">
        <v>2083</v>
      </c>
      <c r="I3" s="58" t="s">
        <v>2084</v>
      </c>
      <c r="J3" s="58" t="s">
        <v>656</v>
      </c>
      <c r="L3" s="58" t="s">
        <v>2085</v>
      </c>
      <c r="M3" s="58" t="s">
        <v>2086</v>
      </c>
      <c r="N3" s="58" t="s">
        <v>656</v>
      </c>
      <c r="P3" s="58" t="s">
        <v>2087</v>
      </c>
      <c r="Q3" s="58" t="s">
        <v>2088</v>
      </c>
      <c r="R3" s="58" t="s">
        <v>656</v>
      </c>
    </row>
    <row r="4" spans="1:18">
      <c r="A4" s="59"/>
      <c r="B4" s="2"/>
      <c r="C4" s="59"/>
      <c r="D4" s="59"/>
      <c r="E4" s="59"/>
      <c r="H4" s="59" t="s">
        <v>2089</v>
      </c>
      <c r="I4" s="59" t="s">
        <v>550</v>
      </c>
      <c r="J4" s="59" t="s">
        <v>552</v>
      </c>
      <c r="L4" s="59" t="s">
        <v>554</v>
      </c>
      <c r="M4" s="59" t="s">
        <v>555</v>
      </c>
      <c r="N4" s="59" t="s">
        <v>2090</v>
      </c>
      <c r="P4" s="59" t="s">
        <v>2091</v>
      </c>
      <c r="Q4" s="59" t="s">
        <v>559</v>
      </c>
      <c r="R4" s="59" t="s">
        <v>561</v>
      </c>
    </row>
    <row r="5" spans="1:18">
      <c r="A5" s="59"/>
      <c r="B5" s="2"/>
      <c r="C5" s="59"/>
      <c r="D5" s="59"/>
      <c r="E5" s="59"/>
      <c r="H5" s="59"/>
      <c r="I5" s="59"/>
      <c r="J5" s="59"/>
      <c r="L5" s="59"/>
      <c r="M5" s="59"/>
      <c r="N5" s="59"/>
      <c r="P5" s="59"/>
      <c r="Q5" s="59"/>
      <c r="R5" s="59"/>
    </row>
    <row r="6" spans="1:18">
      <c r="A6" s="2">
        <v>1</v>
      </c>
      <c r="B6" s="2"/>
      <c r="C6" s="705" t="s">
        <v>2497</v>
      </c>
      <c r="D6" s="63"/>
      <c r="E6" s="63"/>
      <c r="F6" s="706"/>
      <c r="G6" s="706"/>
      <c r="H6" s="706">
        <f>SUM(H7:H10)</f>
        <v>62488337.186044671</v>
      </c>
      <c r="I6" s="706">
        <f t="shared" ref="I6:R6" si="0">SUM(I7:I10)</f>
        <v>68850665.990713105</v>
      </c>
      <c r="J6" s="706">
        <f t="shared" si="0"/>
        <v>131339003.17675778</v>
      </c>
      <c r="K6" s="706"/>
      <c r="L6" s="706">
        <f t="shared" si="0"/>
        <v>227072620.24570087</v>
      </c>
      <c r="M6" s="706">
        <f t="shared" si="0"/>
        <v>96300814.808050185</v>
      </c>
      <c r="N6" s="706">
        <f t="shared" si="0"/>
        <v>323373435.05375105</v>
      </c>
      <c r="O6" s="706"/>
      <c r="P6" s="706">
        <f t="shared" si="0"/>
        <v>417698016.71553349</v>
      </c>
      <c r="Q6" s="706">
        <f t="shared" si="0"/>
        <v>138371881.16325629</v>
      </c>
      <c r="R6" s="706">
        <f t="shared" si="0"/>
        <v>556069897.87878978</v>
      </c>
    </row>
    <row r="7" spans="1:18">
      <c r="A7" s="2">
        <v>2</v>
      </c>
      <c r="B7" s="2"/>
      <c r="D7" t="str">
        <f>_xlfn.XLOOKUP(E7,'D-1-Optimal'!E:E,'D-1-Optimal'!D:D)</f>
        <v>OT Telecom Systems &amp; Network</v>
      </c>
      <c r="E7" s="2" t="s">
        <v>2133</v>
      </c>
      <c r="H7" s="408">
        <f>'D-1-Optimal'!H40</f>
        <v>23571702.007486869</v>
      </c>
      <c r="I7" s="408">
        <f>'D-1-Optimal'!I40</f>
        <v>4059564.0796019915</v>
      </c>
      <c r="J7" s="408">
        <f>'D-1-Optimal'!J40</f>
        <v>27631266.087088861</v>
      </c>
      <c r="K7" s="726"/>
      <c r="L7" s="408">
        <f>'D-1-Optimal'!L40</f>
        <v>52137248.196411371</v>
      </c>
      <c r="M7" s="408">
        <f>'D-1-Optimal'!M40</f>
        <v>4025000</v>
      </c>
      <c r="N7" s="408">
        <f>'D-1-Optimal'!N40</f>
        <v>56162248.196411371</v>
      </c>
      <c r="O7" s="364"/>
      <c r="P7" s="408">
        <f>'D-1-Optimal'!P40</f>
        <v>98762189.941276267</v>
      </c>
      <c r="Q7" s="408">
        <f>'D-1-Optimal'!Q40</f>
        <v>4025000</v>
      </c>
      <c r="R7" s="408">
        <f>'D-1-Optimal'!R40</f>
        <v>102787189.94127627</v>
      </c>
    </row>
    <row r="8" spans="1:18">
      <c r="A8" s="2">
        <v>3</v>
      </c>
      <c r="B8" s="2"/>
      <c r="D8" t="str">
        <f>_xlfn.XLOOKUP(E8,'D-1-Optimal'!E:E,'D-1-Optimal'!D:D)</f>
        <v>Transmission Line Rebuild</v>
      </c>
      <c r="E8" s="2" t="s">
        <v>2135</v>
      </c>
      <c r="H8" s="408">
        <f>'D-1-Optimal'!H41</f>
        <v>19798775.178557802</v>
      </c>
      <c r="I8" s="408">
        <f>'D-1-Optimal'!I41</f>
        <v>40416101.911111116</v>
      </c>
      <c r="J8" s="408">
        <f>'D-1-Optimal'!J41</f>
        <v>60214877.089668915</v>
      </c>
      <c r="K8" s="726"/>
      <c r="L8" s="408">
        <f>'D-1-Optimal'!L41</f>
        <v>139415372.04928949</v>
      </c>
      <c r="M8" s="408">
        <f>'D-1-Optimal'!M41</f>
        <v>37672722.222222216</v>
      </c>
      <c r="N8" s="408">
        <f>'D-1-Optimal'!N41</f>
        <v>177088094.2715117</v>
      </c>
      <c r="O8" s="364"/>
      <c r="P8" s="408">
        <f>'D-1-Optimal'!P41</f>
        <v>280292086.77425724</v>
      </c>
      <c r="Q8" s="408">
        <f>'D-1-Optimal'!Q41</f>
        <v>51405000</v>
      </c>
      <c r="R8" s="408">
        <f>'D-1-Optimal'!R41</f>
        <v>331697086.77425724</v>
      </c>
    </row>
    <row r="9" spans="1:18">
      <c r="A9" s="2">
        <v>4</v>
      </c>
      <c r="B9" s="2"/>
      <c r="D9" t="str">
        <f>_xlfn.XLOOKUP(E9,'D-1-Optimal'!E:E,'D-1-Optimal'!D:D)</f>
        <v>Transmission Priority Pole Replacements</v>
      </c>
      <c r="E9" s="2" t="s">
        <v>2137</v>
      </c>
      <c r="H9" s="408">
        <f>'D-1-Optimal'!H42</f>
        <v>19117860</v>
      </c>
      <c r="I9" s="408">
        <f>'D-1-Optimal'!I42</f>
        <v>24375000</v>
      </c>
      <c r="J9" s="408">
        <f>'D-1-Optimal'!J42</f>
        <v>43492860</v>
      </c>
      <c r="K9" s="726"/>
      <c r="L9" s="408">
        <f>'D-1-Optimal'!L42</f>
        <v>35520000</v>
      </c>
      <c r="M9" s="408">
        <f>'D-1-Optimal'!M42</f>
        <v>54603092.585827962</v>
      </c>
      <c r="N9" s="408">
        <f>'D-1-Optimal'!N42</f>
        <v>90123092.585827962</v>
      </c>
      <c r="O9" s="364"/>
      <c r="P9" s="408">
        <f>'D-1-Optimal'!P42</f>
        <v>38643740</v>
      </c>
      <c r="Q9" s="408">
        <f>'D-1-Optimal'!Q42</f>
        <v>82941881.163256288</v>
      </c>
      <c r="R9" s="408">
        <f>'D-1-Optimal'!R42</f>
        <v>121585621.16325629</v>
      </c>
    </row>
    <row r="10" spans="1:18">
      <c r="A10" s="2">
        <v>5</v>
      </c>
      <c r="B10" s="2"/>
      <c r="D10" t="str">
        <f>_xlfn.XLOOKUP(E10,'D-1-Optimal'!E:E,'D-1-Optimal'!D:D)</f>
        <v>Assessment of Transmission Lines</v>
      </c>
      <c r="E10" s="2" t="s">
        <v>2139</v>
      </c>
      <c r="H10" s="408">
        <f>'D-1-Optimal'!H43</f>
        <v>0</v>
      </c>
      <c r="I10" s="408">
        <f>'D-1-Optimal'!I43</f>
        <v>0</v>
      </c>
      <c r="J10" s="408">
        <f>'D-1-Optimal'!J43</f>
        <v>0</v>
      </c>
      <c r="K10" s="726"/>
      <c r="L10" s="408">
        <f>'D-1-Optimal'!L43</f>
        <v>0</v>
      </c>
      <c r="M10" s="408">
        <f>'D-1-Optimal'!M43</f>
        <v>0</v>
      </c>
      <c r="N10" s="408">
        <f>'D-1-Optimal'!N43</f>
        <v>0</v>
      </c>
      <c r="O10" s="364"/>
      <c r="P10" s="408">
        <f>'D-1-Optimal'!P43</f>
        <v>0</v>
      </c>
      <c r="Q10" s="408">
        <f>'D-1-Optimal'!Q43</f>
        <v>0</v>
      </c>
      <c r="R10" s="408">
        <f>'D-1-Optimal'!R43</f>
        <v>0</v>
      </c>
    </row>
    <row r="11" spans="1:18">
      <c r="A11" s="2"/>
      <c r="B11" s="2"/>
      <c r="D11"/>
    </row>
    <row r="12" spans="1:18">
      <c r="D12"/>
      <c r="N12" s="709"/>
    </row>
    <row r="13" spans="1:18">
      <c r="A13" s="2">
        <f>A10+1</f>
        <v>6</v>
      </c>
      <c r="B13" s="2"/>
      <c r="C13" s="710" t="s">
        <v>656</v>
      </c>
      <c r="D13" s="63"/>
      <c r="E13" s="63"/>
      <c r="F13" s="706"/>
      <c r="G13" s="706"/>
      <c r="H13" s="706">
        <f>SUM(H7:H10)</f>
        <v>62488337.186044671</v>
      </c>
      <c r="I13" s="706">
        <f t="shared" ref="I13:J13" si="1">SUM(I7:I10)</f>
        <v>68850665.990713105</v>
      </c>
      <c r="J13" s="706">
        <f t="shared" si="1"/>
        <v>131339003.17675778</v>
      </c>
      <c r="K13" s="706"/>
      <c r="L13" s="706">
        <f>SUM(L7:L10)</f>
        <v>227072620.24570087</v>
      </c>
      <c r="M13" s="706">
        <f t="shared" ref="M13:N13" si="2">SUM(M7:M10)</f>
        <v>96300814.808050185</v>
      </c>
      <c r="N13" s="706">
        <f t="shared" si="2"/>
        <v>323373435.05375105</v>
      </c>
      <c r="O13" s="706"/>
      <c r="P13" s="706">
        <f>SUM(P7:P10)</f>
        <v>417698016.71553349</v>
      </c>
      <c r="Q13" s="706">
        <f t="shared" ref="Q13:R13" si="3">SUM(Q7:Q10)</f>
        <v>138371881.16325629</v>
      </c>
      <c r="R13" s="706">
        <f t="shared" si="3"/>
        <v>556069897.87878978</v>
      </c>
    </row>
  </sheetData>
  <mergeCells count="3">
    <mergeCell ref="H2:J2"/>
    <mergeCell ref="L2:N2"/>
    <mergeCell ref="P2:R2"/>
  </mergeCells>
  <pageMargins left="0.7" right="0.7" top="0.75" bottom="0.75" header="0.3" footer="0.3"/>
  <pageSetup scale="60" fitToHeight="0" orientation="landscape" horizontalDpi="1200" verticalDpi="1200" r:id="rId1"/>
  <headerFooter>
    <oddHeader>&amp;LPuerto Rico Electric Power Authority 
Rate Review (NEPR-AP-2023-0003)
Projected Construction and Decommissioning Capital Expenditures for Transmission Plant
&amp;RSchedule D-3 Optimal
Page &amp;P of &amp;N</oddHeader>
  </headerFooter>
  <colBreaks count="2" manualBreakCount="2">
    <brk id="10" max="12" man="1"/>
    <brk id="14" max="1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4143A-7997-4BDC-BF3D-1B1710ECDC7E}">
  <sheetPr>
    <tabColor theme="9" tint="0.79998168889431442"/>
  </sheetPr>
  <dimension ref="A2:R13"/>
  <sheetViews>
    <sheetView workbookViewId="0"/>
    <sheetView workbookViewId="1"/>
    <sheetView workbookViewId="2"/>
  </sheetViews>
  <sheetFormatPr defaultColWidth="8.5703125" defaultRowHeight="15"/>
  <cols>
    <col min="1" max="2" width="5.5703125" customWidth="1"/>
    <col min="3" max="3" width="26" bestFit="1" customWidth="1"/>
    <col min="4" max="4" width="62.5703125" style="61" bestFit="1" customWidth="1"/>
    <col min="5" max="5" width="8.85546875" style="2" bestFit="1" customWidth="1"/>
    <col min="6" max="7" width="5.5703125" customWidth="1"/>
    <col min="8" max="10" width="20.5703125" customWidth="1"/>
    <col min="11" max="11" width="5.5703125" customWidth="1"/>
    <col min="12" max="14" width="20.5703125" customWidth="1"/>
    <col min="15" max="15" width="5.5703125" customWidth="1"/>
    <col min="16" max="18" width="20.5703125" customWidth="1"/>
  </cols>
  <sheetData>
    <row r="2" spans="1:18">
      <c r="D2"/>
      <c r="H2" s="1206" t="s">
        <v>393</v>
      </c>
      <c r="I2" s="1206"/>
      <c r="J2" s="1206"/>
      <c r="L2" s="1206" t="s">
        <v>394</v>
      </c>
      <c r="M2" s="1206"/>
      <c r="N2" s="1206"/>
      <c r="P2" s="1206" t="s">
        <v>395</v>
      </c>
      <c r="Q2" s="1206"/>
      <c r="R2" s="1206"/>
    </row>
    <row r="3" spans="1:18" s="2" customFormat="1" ht="45">
      <c r="A3" s="58" t="s">
        <v>242</v>
      </c>
      <c r="C3" s="58" t="s">
        <v>2495</v>
      </c>
      <c r="D3" s="58" t="s">
        <v>2498</v>
      </c>
      <c r="E3" s="58" t="s">
        <v>2082</v>
      </c>
      <c r="H3" s="58" t="s">
        <v>2083</v>
      </c>
      <c r="I3" s="58" t="s">
        <v>2084</v>
      </c>
      <c r="J3" s="58" t="s">
        <v>656</v>
      </c>
      <c r="L3" s="58" t="s">
        <v>2085</v>
      </c>
      <c r="M3" s="58" t="s">
        <v>2086</v>
      </c>
      <c r="N3" s="58" t="s">
        <v>656</v>
      </c>
      <c r="P3" s="58" t="s">
        <v>2087</v>
      </c>
      <c r="Q3" s="58" t="s">
        <v>2088</v>
      </c>
      <c r="R3" s="58" t="s">
        <v>656</v>
      </c>
    </row>
    <row r="4" spans="1:18">
      <c r="A4" s="59"/>
      <c r="B4" s="2"/>
      <c r="C4" s="59"/>
      <c r="D4" s="59"/>
      <c r="E4" s="59"/>
      <c r="H4" s="59" t="s">
        <v>2089</v>
      </c>
      <c r="I4" s="59" t="s">
        <v>550</v>
      </c>
      <c r="J4" s="59" t="s">
        <v>552</v>
      </c>
      <c r="L4" s="59" t="s">
        <v>554</v>
      </c>
      <c r="M4" s="59" t="s">
        <v>555</v>
      </c>
      <c r="N4" s="59" t="s">
        <v>2090</v>
      </c>
      <c r="P4" s="59" t="s">
        <v>2091</v>
      </c>
      <c r="Q4" s="59" t="s">
        <v>559</v>
      </c>
      <c r="R4" s="59" t="s">
        <v>561</v>
      </c>
    </row>
    <row r="5" spans="1:18">
      <c r="A5" s="59"/>
      <c r="B5" s="2"/>
      <c r="C5" s="59"/>
      <c r="D5" s="59"/>
      <c r="E5" s="59"/>
      <c r="H5" s="59"/>
      <c r="I5" s="59"/>
      <c r="J5" s="59"/>
      <c r="L5" s="59"/>
      <c r="M5" s="59"/>
      <c r="N5" s="59"/>
      <c r="P5" s="59"/>
      <c r="Q5" s="59"/>
      <c r="R5" s="59"/>
    </row>
    <row r="6" spans="1:18">
      <c r="A6" s="2">
        <v>1</v>
      </c>
      <c r="B6" s="2"/>
      <c r="C6" s="705" t="s">
        <v>2499</v>
      </c>
      <c r="D6" s="63"/>
      <c r="E6" s="63"/>
      <c r="F6" s="706"/>
      <c r="G6" s="706"/>
      <c r="H6" s="706">
        <f>SUM(H7:H11)</f>
        <v>202371821.23786271</v>
      </c>
      <c r="I6" s="706">
        <f t="shared" ref="I6:R6" si="0">SUM(I7:I11)</f>
        <v>164811280.50999999</v>
      </c>
      <c r="J6" s="706">
        <f t="shared" si="0"/>
        <v>367183101.7478627</v>
      </c>
      <c r="K6" s="706"/>
      <c r="L6" s="706">
        <f t="shared" si="0"/>
        <v>344740716.49652505</v>
      </c>
      <c r="M6" s="706">
        <f t="shared" si="0"/>
        <v>343401389.95180357</v>
      </c>
      <c r="N6" s="706">
        <f t="shared" si="0"/>
        <v>688142106.44832861</v>
      </c>
      <c r="O6" s="706"/>
      <c r="P6" s="706">
        <f t="shared" si="0"/>
        <v>326493912.60748422</v>
      </c>
      <c r="Q6" s="706">
        <f t="shared" si="0"/>
        <v>409513703.95811075</v>
      </c>
      <c r="R6" s="706">
        <f t="shared" si="0"/>
        <v>736007616.56559479</v>
      </c>
    </row>
    <row r="7" spans="1:18">
      <c r="A7" s="2">
        <v>2</v>
      </c>
      <c r="B7" s="2"/>
      <c r="D7" t="str">
        <f>_xlfn.XLOOKUP(E7,'D-1-Optimal'!E:E,'D-1-Optimal'!D:D)</f>
        <v>Distribution Line Rebuild</v>
      </c>
      <c r="E7" s="2" t="s">
        <v>2142</v>
      </c>
      <c r="G7" s="723"/>
      <c r="H7" s="408">
        <f>'D-1-Optimal'!H46</f>
        <v>23311671.237862699</v>
      </c>
      <c r="I7" s="408">
        <f>'D-1-Optimal'!I46</f>
        <v>42115875.356489807</v>
      </c>
      <c r="J7" s="408">
        <f>'D-1-Optimal'!J46</f>
        <v>65427546.594352506</v>
      </c>
      <c r="K7" s="726"/>
      <c r="L7" s="408">
        <f>'D-1-Optimal'!L46</f>
        <v>95045716.496525034</v>
      </c>
      <c r="M7" s="408">
        <f>'D-1-Optimal'!M46</f>
        <v>62033223.05434972</v>
      </c>
      <c r="N7" s="408">
        <f>'D-1-Optimal'!N46</f>
        <v>157078939.55087477</v>
      </c>
      <c r="O7" s="364"/>
      <c r="P7" s="408">
        <f>'D-1-Optimal'!P46</f>
        <v>132735608.10748419</v>
      </c>
      <c r="Q7" s="408">
        <f>'D-1-Optimal'!Q46</f>
        <v>77060979.475456208</v>
      </c>
      <c r="R7" s="408">
        <f>'D-1-Optimal'!R46</f>
        <v>209796587.5829404</v>
      </c>
    </row>
    <row r="8" spans="1:18">
      <c r="A8" s="2">
        <v>3</v>
      </c>
      <c r="B8" s="2"/>
      <c r="D8" t="str">
        <f>_xlfn.XLOOKUP(E8,'D-1-Optimal'!E:E,'D-1-Optimal'!D:D)</f>
        <v>Distribution Pole &amp; Conductor Repair</v>
      </c>
      <c r="E8" s="2" t="s">
        <v>2144</v>
      </c>
      <c r="G8" s="723"/>
      <c r="H8" s="408">
        <f>'D-1-Optimal'!H47</f>
        <v>89250000</v>
      </c>
      <c r="I8" s="408">
        <f>'D-1-Optimal'!I47</f>
        <v>98961260.153510183</v>
      </c>
      <c r="J8" s="408">
        <f>'D-1-Optimal'!J47</f>
        <v>188211260.15351018</v>
      </c>
      <c r="K8" s="726"/>
      <c r="L8" s="408">
        <f>'D-1-Optimal'!L47</f>
        <v>105945000</v>
      </c>
      <c r="M8" s="408">
        <f>'D-1-Optimal'!M47</f>
        <v>254652560.34189829</v>
      </c>
      <c r="N8" s="408">
        <f>'D-1-Optimal'!N47</f>
        <v>360597560.34189832</v>
      </c>
      <c r="O8" s="364"/>
      <c r="P8" s="408">
        <f>'D-1-Optimal'!P47</f>
        <v>52499999.999999993</v>
      </c>
      <c r="Q8" s="408">
        <f>'D-1-Optimal'!Q47</f>
        <v>296900397.81598783</v>
      </c>
      <c r="R8" s="408">
        <f>'D-1-Optimal'!R47</f>
        <v>349400397.81598783</v>
      </c>
    </row>
    <row r="9" spans="1:18">
      <c r="A9" s="2">
        <v>4</v>
      </c>
      <c r="B9" s="2"/>
      <c r="D9" t="str">
        <f>_xlfn.XLOOKUP(E9,'D-1-Optimal'!E:E,'D-1-Optimal'!D:D)</f>
        <v>Grid Automation</v>
      </c>
      <c r="E9" s="2" t="s">
        <v>2146</v>
      </c>
      <c r="G9" s="723"/>
      <c r="H9" s="408">
        <f>'D-1-Optimal'!H48</f>
        <v>89810150</v>
      </c>
      <c r="I9" s="408">
        <f>'D-1-Optimal'!I48</f>
        <v>3034145</v>
      </c>
      <c r="J9" s="408">
        <f>'D-1-Optimal'!J48</f>
        <v>92844295</v>
      </c>
      <c r="K9" s="726"/>
      <c r="L9" s="408">
        <f>'D-1-Optimal'!L48</f>
        <v>143750000</v>
      </c>
      <c r="M9" s="408">
        <f>'D-1-Optimal'!M48</f>
        <v>3715606.555555555</v>
      </c>
      <c r="N9" s="408">
        <f>'D-1-Optimal'!N48</f>
        <v>147465606.55555555</v>
      </c>
      <c r="O9" s="364"/>
      <c r="P9" s="408">
        <f>'D-1-Optimal'!P48</f>
        <v>141258304.5</v>
      </c>
      <c r="Q9" s="408">
        <f>'D-1-Optimal'!Q48</f>
        <v>9102326.6666666642</v>
      </c>
      <c r="R9" s="408">
        <f>'D-1-Optimal'!R48</f>
        <v>150360631.16666666</v>
      </c>
    </row>
    <row r="10" spans="1:18">
      <c r="A10" s="2">
        <v>5</v>
      </c>
      <c r="B10" s="2"/>
      <c r="D10" t="str">
        <f>_xlfn.XLOOKUP(E10,'D-1-Optimal'!E:E,'D-1-Optimal'!D:D)</f>
        <v>Distribution Lines Assessment</v>
      </c>
      <c r="E10" s="2" t="s">
        <v>2148</v>
      </c>
      <c r="G10" s="723"/>
      <c r="H10" s="408">
        <f>'D-1-Optimal'!H49</f>
        <v>0</v>
      </c>
      <c r="I10" s="408">
        <f>'D-1-Optimal'!I49</f>
        <v>0</v>
      </c>
      <c r="J10" s="408">
        <f>'D-1-Optimal'!J49</f>
        <v>0</v>
      </c>
      <c r="K10" s="726"/>
      <c r="L10" s="408">
        <f>'D-1-Optimal'!L49</f>
        <v>0</v>
      </c>
      <c r="M10" s="408">
        <f>'D-1-Optimal'!M49</f>
        <v>0</v>
      </c>
      <c r="N10" s="408">
        <f>'D-1-Optimal'!N49</f>
        <v>0</v>
      </c>
      <c r="O10" s="364"/>
      <c r="P10" s="408">
        <f>'D-1-Optimal'!P49</f>
        <v>0</v>
      </c>
      <c r="Q10" s="408">
        <f>'D-1-Optimal'!Q49</f>
        <v>0</v>
      </c>
      <c r="R10" s="408">
        <f>'D-1-Optimal'!R49</f>
        <v>0</v>
      </c>
    </row>
    <row r="11" spans="1:18">
      <c r="A11" s="2">
        <v>6</v>
      </c>
      <c r="B11" s="2"/>
      <c r="D11" t="str">
        <f>_xlfn.XLOOKUP(E11,'D-1-Optimal'!E:E,'D-1-Optimal'!D:D)</f>
        <v>Distribution Grid Reliability</v>
      </c>
      <c r="E11" s="2" t="s">
        <v>2150</v>
      </c>
      <c r="G11" s="723"/>
      <c r="H11" s="408">
        <f>'D-1-Optimal'!H50</f>
        <v>0</v>
      </c>
      <c r="I11" s="408">
        <f>'D-1-Optimal'!I50</f>
        <v>20700000</v>
      </c>
      <c r="J11" s="408">
        <f>'D-1-Optimal'!J50</f>
        <v>20700000</v>
      </c>
      <c r="K11" s="726"/>
      <c r="L11" s="408">
        <f>'D-1-Optimal'!L50</f>
        <v>0</v>
      </c>
      <c r="M11" s="408">
        <f>'D-1-Optimal'!M50</f>
        <v>23000000</v>
      </c>
      <c r="N11" s="408">
        <f>'D-1-Optimal'!N50</f>
        <v>23000000</v>
      </c>
      <c r="O11" s="364"/>
      <c r="P11" s="408">
        <f>'D-1-Optimal'!P50</f>
        <v>0</v>
      </c>
      <c r="Q11" s="408">
        <f>'D-1-Optimal'!Q50</f>
        <v>26450000</v>
      </c>
      <c r="R11" s="408">
        <f>'D-1-Optimal'!R50</f>
        <v>26450000</v>
      </c>
    </row>
    <row r="12" spans="1:18">
      <c r="D12"/>
      <c r="N12" s="709"/>
    </row>
    <row r="13" spans="1:18">
      <c r="A13" s="2">
        <v>7</v>
      </c>
      <c r="B13" s="2"/>
      <c r="C13" s="710" t="s">
        <v>656</v>
      </c>
      <c r="D13" s="63"/>
      <c r="E13" s="63"/>
      <c r="F13" s="706"/>
      <c r="G13" s="706"/>
      <c r="H13" s="706">
        <f>SUM(H7:H11)</f>
        <v>202371821.23786271</v>
      </c>
      <c r="I13" s="706">
        <f t="shared" ref="I13:J13" si="1">SUM(I7:I11)</f>
        <v>164811280.50999999</v>
      </c>
      <c r="J13" s="706">
        <f t="shared" si="1"/>
        <v>367183101.7478627</v>
      </c>
      <c r="K13" s="706"/>
      <c r="L13" s="706">
        <f>SUM(L7:L11)</f>
        <v>344740716.49652505</v>
      </c>
      <c r="M13" s="706">
        <f t="shared" ref="M13:N13" si="2">SUM(M7:M11)</f>
        <v>343401389.95180357</v>
      </c>
      <c r="N13" s="706">
        <f t="shared" si="2"/>
        <v>688142106.44832861</v>
      </c>
      <c r="O13" s="706"/>
      <c r="P13" s="706">
        <f>SUM(P7:P11)</f>
        <v>326493912.60748422</v>
      </c>
      <c r="Q13" s="706">
        <f t="shared" ref="Q13:R13" si="3">SUM(Q7:Q11)</f>
        <v>409513703.95811075</v>
      </c>
      <c r="R13" s="706">
        <f t="shared" si="3"/>
        <v>736007616.56559479</v>
      </c>
    </row>
  </sheetData>
  <mergeCells count="3">
    <mergeCell ref="H2:J2"/>
    <mergeCell ref="L2:N2"/>
    <mergeCell ref="P2:R2"/>
  </mergeCells>
  <pageMargins left="0.7" right="0.7" top="0.75" bottom="0.75" header="0.3" footer="0.3"/>
  <pageSetup scale="60" fitToHeight="0" orientation="landscape" horizontalDpi="1200" verticalDpi="1200" r:id="rId1"/>
  <headerFooter>
    <oddHeader>&amp;LPuerto Rico Electric Power Authority 
Rate Review (NEPR-AP-2023-0003)
Projected Construction and Decommissioning Capital Expenditure for Distribution Plant
&amp;RSchedule D-4 Optimal
Page &amp;P of &amp;N</oddHeader>
  </headerFooter>
  <colBreaks count="2" manualBreakCount="2">
    <brk id="10" max="1048575" man="1"/>
    <brk id="14" max="12"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ABE44-7696-47AA-908E-040A91D4E7A2}">
  <sheetPr>
    <tabColor theme="9" tint="0.79998168889431442"/>
  </sheetPr>
  <dimension ref="A1:V94"/>
  <sheetViews>
    <sheetView workbookViewId="0"/>
    <sheetView workbookViewId="1"/>
    <sheetView workbookViewId="2"/>
  </sheetViews>
  <sheetFormatPr defaultColWidth="8.5703125" defaultRowHeight="15"/>
  <cols>
    <col min="1" max="2" width="5.5703125" customWidth="1"/>
    <col min="3" max="3" width="26" bestFit="1" customWidth="1"/>
    <col min="4" max="4" width="62.5703125" style="61" bestFit="1" customWidth="1"/>
    <col min="5" max="5" width="8.85546875" style="2" bestFit="1" customWidth="1"/>
    <col min="6" max="7" width="5.5703125" customWidth="1"/>
    <col min="8" max="8" width="20.5703125" customWidth="1"/>
    <col min="9" max="9" width="17.5703125" bestFit="1" customWidth="1"/>
    <col min="10" max="10" width="15.85546875" bestFit="1" customWidth="1"/>
    <col min="11" max="11" width="5.5703125" customWidth="1"/>
    <col min="12" max="12" width="20.42578125" bestFit="1" customWidth="1"/>
    <col min="13" max="13" width="17.5703125" bestFit="1" customWidth="1"/>
    <col min="14" max="14" width="15.85546875" bestFit="1" customWidth="1"/>
    <col min="15" max="15" width="5.5703125" customWidth="1"/>
    <col min="16" max="16" width="20.42578125" bestFit="1" customWidth="1"/>
    <col min="17" max="17" width="17.5703125" bestFit="1" customWidth="1"/>
    <col min="18" max="18" width="15.85546875" bestFit="1" customWidth="1"/>
  </cols>
  <sheetData>
    <row r="1" spans="1:22">
      <c r="D1"/>
      <c r="H1" s="1206" t="s">
        <v>393</v>
      </c>
      <c r="I1" s="1206"/>
      <c r="J1" s="1206"/>
      <c r="L1" s="1206" t="s">
        <v>394</v>
      </c>
      <c r="M1" s="1206"/>
      <c r="N1" s="1206"/>
      <c r="P1" s="1206" t="s">
        <v>395</v>
      </c>
      <c r="Q1" s="1206"/>
      <c r="R1" s="1206"/>
    </row>
    <row r="2" spans="1:22" s="2" customFormat="1" ht="45">
      <c r="A2" s="58" t="s">
        <v>242</v>
      </c>
      <c r="C2" s="58" t="s">
        <v>2080</v>
      </c>
      <c r="D2" s="58" t="s">
        <v>2081</v>
      </c>
      <c r="E2" s="58" t="s">
        <v>2082</v>
      </c>
      <c r="H2" s="58" t="s">
        <v>2083</v>
      </c>
      <c r="I2" s="58" t="s">
        <v>2084</v>
      </c>
      <c r="J2" s="58" t="s">
        <v>656</v>
      </c>
      <c r="L2" s="58" t="s">
        <v>2085</v>
      </c>
      <c r="M2" s="58" t="s">
        <v>2086</v>
      </c>
      <c r="N2" s="58" t="s">
        <v>656</v>
      </c>
      <c r="P2" s="58" t="s">
        <v>2087</v>
      </c>
      <c r="Q2" s="58" t="s">
        <v>2088</v>
      </c>
      <c r="R2" s="58" t="s">
        <v>656</v>
      </c>
    </row>
    <row r="3" spans="1:22">
      <c r="A3" s="59"/>
      <c r="B3" s="2"/>
      <c r="C3" s="59"/>
      <c r="D3" s="59"/>
      <c r="E3" s="59"/>
      <c r="H3" s="59" t="s">
        <v>2089</v>
      </c>
      <c r="I3" s="59" t="s">
        <v>550</v>
      </c>
      <c r="J3" s="59" t="s">
        <v>552</v>
      </c>
      <c r="K3" s="410"/>
      <c r="L3" s="59" t="s">
        <v>554</v>
      </c>
      <c r="M3" s="59" t="s">
        <v>555</v>
      </c>
      <c r="N3" s="59" t="s">
        <v>2090</v>
      </c>
      <c r="O3" s="2"/>
      <c r="P3" s="59" t="s">
        <v>2091</v>
      </c>
      <c r="Q3" s="59" t="s">
        <v>559</v>
      </c>
      <c r="R3" s="59" t="s">
        <v>561</v>
      </c>
    </row>
    <row r="4" spans="1:22">
      <c r="A4" s="59"/>
      <c r="B4" s="2"/>
      <c r="C4" s="59"/>
      <c r="D4" s="59"/>
      <c r="E4" s="59"/>
      <c r="H4" s="420">
        <f>H5+H38+H44+H51+H56+H62+SUM(H77:H87)</f>
        <v>901389719.87098169</v>
      </c>
      <c r="I4" s="420">
        <f>I5+I38+I44+I51+I56+I62+SUM(I77:I87)</f>
        <v>398491969.89231253</v>
      </c>
      <c r="J4" s="420">
        <f>J5+J38+J44+J51+J56+J62+SUM(J77:J87)</f>
        <v>1299881689.7632937</v>
      </c>
      <c r="K4" s="420"/>
      <c r="L4" s="420">
        <f>L5+L38+L44+L51+L56+L62+SUM(L77:L87)</f>
        <v>1658949445.5776396</v>
      </c>
      <c r="M4" s="420">
        <f>M5+M38+M44+M51+M56+M62+SUM(M77:M87)</f>
        <v>504193504.97402614</v>
      </c>
      <c r="N4" s="420">
        <f>N5+N38+N44+N51+N56+N62+SUM(N77:N87)</f>
        <v>2163142950.5516658</v>
      </c>
      <c r="O4" s="420"/>
      <c r="P4" s="420">
        <f>P5+P38+P44+P51+P56+P62+SUM(P77:P87)</f>
        <v>1886904766.468811</v>
      </c>
      <c r="Q4" s="420">
        <f>Q5+Q38+Q44+Q51+Q56+Q62+SUM(Q77:Q87)</f>
        <v>603888906.12142634</v>
      </c>
      <c r="R4" s="420">
        <f>R5+R38+R44+R51+R56+R62+SUM(R77:R87)</f>
        <v>2490793672.5902376</v>
      </c>
    </row>
    <row r="5" spans="1:22">
      <c r="A5" s="2">
        <v>1</v>
      </c>
      <c r="B5" s="2"/>
      <c r="C5" s="705" t="s">
        <v>259</v>
      </c>
      <c r="D5" s="63"/>
      <c r="E5" s="63"/>
      <c r="F5" s="706"/>
      <c r="G5" s="706"/>
      <c r="H5" s="706">
        <f>SUM(H6:H15)</f>
        <v>261426861.99270457</v>
      </c>
      <c r="I5" s="706">
        <f>SUM(I6:I15)</f>
        <v>29274848.571428571</v>
      </c>
      <c r="J5" s="706">
        <f>SUM(J6:J15)</f>
        <v>290701710.56413311</v>
      </c>
      <c r="K5" s="410"/>
      <c r="L5" s="706">
        <f>SUM(L6:L15)</f>
        <v>434668515.02373672</v>
      </c>
      <c r="M5" s="706">
        <f>SUM(M6:M15)</f>
        <v>28220825.714285716</v>
      </c>
      <c r="N5" s="706">
        <f>SUM(N6:N15)</f>
        <v>462889340.73802245</v>
      </c>
      <c r="O5" s="2"/>
      <c r="P5" s="706">
        <f>SUM(P6:P15)</f>
        <v>280072671.2699998</v>
      </c>
      <c r="Q5" s="706">
        <f>SUM(Q6:Q15)</f>
        <v>29221358.942857146</v>
      </c>
      <c r="R5" s="706">
        <f>SUM(R6:R15)</f>
        <v>309294030.21285695</v>
      </c>
    </row>
    <row r="6" spans="1:22">
      <c r="A6" s="2">
        <v>2</v>
      </c>
      <c r="B6" s="2"/>
      <c r="D6" t="s">
        <v>2092</v>
      </c>
      <c r="E6" s="2" t="s">
        <v>2093</v>
      </c>
      <c r="H6" s="717">
        <v>141179641.57370457</v>
      </c>
      <c r="I6" s="717">
        <v>150000</v>
      </c>
      <c r="J6" s="717">
        <f>H6+I6</f>
        <v>141329641.57370457</v>
      </c>
      <c r="K6" s="410"/>
      <c r="L6" s="717">
        <v>144067873.13373673</v>
      </c>
      <c r="M6" s="717">
        <v>1500000</v>
      </c>
      <c r="N6" s="717">
        <f>L6+M6</f>
        <v>145567873.13373673</v>
      </c>
      <c r="O6" s="2"/>
      <c r="P6" s="717">
        <v>49914054.39999982</v>
      </c>
      <c r="Q6" s="717">
        <v>4500000</v>
      </c>
      <c r="R6" s="717">
        <f>P6+Q6</f>
        <v>54414054.39999982</v>
      </c>
    </row>
    <row r="7" spans="1:22">
      <c r="A7" s="2">
        <v>3</v>
      </c>
      <c r="B7" s="2"/>
      <c r="D7" t="s">
        <v>2094</v>
      </c>
      <c r="E7" s="2" t="s">
        <v>2095</v>
      </c>
      <c r="H7" s="717">
        <v>0</v>
      </c>
      <c r="I7" s="717">
        <v>1083261.9047619044</v>
      </c>
      <c r="J7" s="717">
        <f t="shared" ref="J7:J15" si="0">H7+I7</f>
        <v>1083261.9047619044</v>
      </c>
      <c r="K7" s="410"/>
      <c r="L7" s="717">
        <v>0</v>
      </c>
      <c r="M7" s="717">
        <v>1661592.3809523808</v>
      </c>
      <c r="N7" s="717">
        <f t="shared" ref="N7:N15" si="1">L7+M7</f>
        <v>1661592.3809523808</v>
      </c>
      <c r="O7" s="2"/>
      <c r="P7" s="717">
        <v>0</v>
      </c>
      <c r="Q7" s="717">
        <v>1834728.0761904763</v>
      </c>
      <c r="R7" s="717">
        <f t="shared" ref="R7:R15" si="2">P7+Q7</f>
        <v>1834728.0761904763</v>
      </c>
    </row>
    <row r="8" spans="1:22">
      <c r="A8" s="2">
        <v>4</v>
      </c>
      <c r="B8" s="2"/>
      <c r="D8" t="s">
        <v>2096</v>
      </c>
      <c r="E8" s="2" t="s">
        <v>2097</v>
      </c>
      <c r="H8" s="717">
        <v>0</v>
      </c>
      <c r="I8" s="717">
        <v>192000</v>
      </c>
      <c r="J8" s="717">
        <f t="shared" si="0"/>
        <v>192000</v>
      </c>
      <c r="K8" s="410"/>
      <c r="L8" s="717">
        <v>0</v>
      </c>
      <c r="M8" s="717">
        <v>192000</v>
      </c>
      <c r="N8" s="717">
        <f t="shared" si="1"/>
        <v>192000</v>
      </c>
      <c r="O8" s="2"/>
      <c r="P8" s="717">
        <v>0</v>
      </c>
      <c r="Q8" s="717">
        <v>192000</v>
      </c>
      <c r="R8" s="717">
        <f t="shared" si="2"/>
        <v>192000</v>
      </c>
    </row>
    <row r="9" spans="1:22">
      <c r="A9" s="2">
        <v>5</v>
      </c>
      <c r="B9" s="2"/>
      <c r="D9" t="s">
        <v>2098</v>
      </c>
      <c r="E9" s="2" t="s">
        <v>2099</v>
      </c>
      <c r="H9" s="717">
        <v>0</v>
      </c>
      <c r="I9" s="717">
        <v>250000.00000000003</v>
      </c>
      <c r="J9" s="717">
        <f t="shared" si="0"/>
        <v>250000.00000000003</v>
      </c>
      <c r="K9" s="410"/>
      <c r="L9" s="717">
        <v>0</v>
      </c>
      <c r="M9" s="717">
        <v>262500.00000000006</v>
      </c>
      <c r="N9" s="717">
        <f t="shared" si="1"/>
        <v>262500.00000000006</v>
      </c>
      <c r="O9" s="2"/>
      <c r="P9" s="717">
        <v>0</v>
      </c>
      <c r="Q9" s="717">
        <v>275625.00000000006</v>
      </c>
      <c r="R9" s="717">
        <f t="shared" si="2"/>
        <v>275625.00000000006</v>
      </c>
    </row>
    <row r="10" spans="1:22">
      <c r="A10" s="2">
        <v>6</v>
      </c>
      <c r="B10" s="2"/>
      <c r="D10" t="s">
        <v>2100</v>
      </c>
      <c r="E10" s="2" t="s">
        <v>2101</v>
      </c>
      <c r="H10" s="717">
        <v>0</v>
      </c>
      <c r="I10" s="717">
        <v>0</v>
      </c>
      <c r="J10" s="717">
        <f t="shared" si="0"/>
        <v>0</v>
      </c>
      <c r="K10" s="410"/>
      <c r="L10" s="717">
        <v>0</v>
      </c>
      <c r="M10" s="717">
        <v>0</v>
      </c>
      <c r="N10" s="717">
        <f t="shared" si="1"/>
        <v>0</v>
      </c>
      <c r="O10" s="2"/>
      <c r="P10" s="717">
        <v>0</v>
      </c>
      <c r="Q10" s="717">
        <v>0</v>
      </c>
      <c r="R10" s="717">
        <f t="shared" si="2"/>
        <v>0</v>
      </c>
    </row>
    <row r="11" spans="1:22">
      <c r="A11" s="2">
        <v>7</v>
      </c>
      <c r="B11" s="2"/>
      <c r="D11" t="s">
        <v>2102</v>
      </c>
      <c r="E11" s="2" t="s">
        <v>2103</v>
      </c>
      <c r="H11" s="717">
        <v>0</v>
      </c>
      <c r="I11" s="717">
        <v>13822666.666666666</v>
      </c>
      <c r="J11" s="717">
        <f t="shared" si="0"/>
        <v>13822666.666666666</v>
      </c>
      <c r="K11" s="410"/>
      <c r="L11" s="717">
        <v>0</v>
      </c>
      <c r="M11" s="717">
        <v>10827813.333333334</v>
      </c>
      <c r="N11" s="717">
        <f t="shared" si="1"/>
        <v>10827813.333333334</v>
      </c>
      <c r="O11" s="2"/>
      <c r="P11" s="717">
        <v>0</v>
      </c>
      <c r="Q11" s="717">
        <v>8092725.8666666672</v>
      </c>
      <c r="R11" s="717">
        <f t="shared" si="2"/>
        <v>8092725.8666666672</v>
      </c>
    </row>
    <row r="12" spans="1:22">
      <c r="A12" s="2">
        <v>8</v>
      </c>
      <c r="B12" s="2"/>
      <c r="D12" t="s">
        <v>2104</v>
      </c>
      <c r="E12" s="2" t="s">
        <v>2105</v>
      </c>
      <c r="H12" s="717">
        <v>120247220.41899998</v>
      </c>
      <c r="I12" s="717">
        <v>0</v>
      </c>
      <c r="J12" s="717">
        <f t="shared" si="0"/>
        <v>120247220.41899998</v>
      </c>
      <c r="K12" s="410"/>
      <c r="L12" s="717">
        <v>290600641.88999999</v>
      </c>
      <c r="M12" s="717">
        <v>0</v>
      </c>
      <c r="N12" s="717">
        <f t="shared" si="1"/>
        <v>290600641.88999999</v>
      </c>
      <c r="O12" s="2"/>
      <c r="P12" s="717">
        <v>230158616.87</v>
      </c>
      <c r="Q12" s="717">
        <v>0</v>
      </c>
      <c r="R12" s="717">
        <f t="shared" si="2"/>
        <v>230158616.87</v>
      </c>
    </row>
    <row r="13" spans="1:22">
      <c r="A13" s="2">
        <v>9</v>
      </c>
      <c r="B13" s="2"/>
      <c r="D13" t="s">
        <v>2106</v>
      </c>
      <c r="E13" s="2" t="s">
        <v>2107</v>
      </c>
      <c r="H13" s="717">
        <v>0</v>
      </c>
      <c r="I13" s="717">
        <v>0</v>
      </c>
      <c r="J13" s="717">
        <f t="shared" si="0"/>
        <v>0</v>
      </c>
      <c r="K13" s="410"/>
      <c r="L13" s="717">
        <v>0</v>
      </c>
      <c r="M13" s="717">
        <v>0</v>
      </c>
      <c r="N13" s="717">
        <f t="shared" si="1"/>
        <v>0</v>
      </c>
      <c r="O13" s="2"/>
      <c r="P13" s="717">
        <v>0</v>
      </c>
      <c r="Q13" s="717">
        <v>0</v>
      </c>
      <c r="R13" s="717">
        <f t="shared" si="2"/>
        <v>0</v>
      </c>
    </row>
    <row r="14" spans="1:22">
      <c r="A14" s="2">
        <v>10</v>
      </c>
      <c r="B14" s="2"/>
      <c r="D14" t="s">
        <v>2108</v>
      </c>
      <c r="E14" s="2" t="s">
        <v>2109</v>
      </c>
      <c r="H14" s="717">
        <v>0</v>
      </c>
      <c r="I14" s="717">
        <v>13776920</v>
      </c>
      <c r="J14" s="717">
        <f t="shared" si="0"/>
        <v>13776920</v>
      </c>
      <c r="K14" s="410"/>
      <c r="L14" s="717">
        <v>0</v>
      </c>
      <c r="M14" s="717">
        <v>13776920</v>
      </c>
      <c r="N14" s="717">
        <f t="shared" si="1"/>
        <v>13776920</v>
      </c>
      <c r="O14" s="2"/>
      <c r="P14" s="717">
        <v>0</v>
      </c>
      <c r="Q14" s="717">
        <v>14326280.000000002</v>
      </c>
      <c r="R14" s="717">
        <f t="shared" si="2"/>
        <v>14326280.000000002</v>
      </c>
    </row>
    <row r="15" spans="1:22">
      <c r="A15" s="2">
        <v>11</v>
      </c>
      <c r="B15" s="2"/>
      <c r="D15" t="s">
        <v>2110</v>
      </c>
      <c r="E15" s="2" t="s">
        <v>2111</v>
      </c>
      <c r="H15" s="717">
        <v>0</v>
      </c>
      <c r="I15" s="717">
        <v>0</v>
      </c>
      <c r="J15" s="717">
        <f t="shared" si="0"/>
        <v>0</v>
      </c>
      <c r="K15" s="410"/>
      <c r="L15" s="717">
        <v>0</v>
      </c>
      <c r="M15" s="717">
        <v>0</v>
      </c>
      <c r="N15" s="717">
        <f t="shared" si="1"/>
        <v>0</v>
      </c>
      <c r="O15" s="2"/>
      <c r="P15" s="717">
        <v>0</v>
      </c>
      <c r="Q15" s="717">
        <v>0</v>
      </c>
      <c r="R15" s="717">
        <f t="shared" si="2"/>
        <v>0</v>
      </c>
    </row>
    <row r="16" spans="1:22">
      <c r="A16" s="2"/>
      <c r="B16" s="2"/>
      <c r="D16"/>
      <c r="F16" s="2"/>
      <c r="G16" s="2"/>
      <c r="H16" s="2"/>
      <c r="I16" s="2"/>
      <c r="J16" s="2"/>
      <c r="K16" s="2"/>
      <c r="L16" s="2"/>
      <c r="M16" s="2"/>
      <c r="N16" s="2"/>
      <c r="O16" s="2"/>
      <c r="P16" s="2"/>
      <c r="Q16" s="2"/>
      <c r="R16" s="2"/>
      <c r="S16" s="2"/>
      <c r="T16" s="2"/>
      <c r="U16" s="2"/>
      <c r="V16" s="2"/>
    </row>
    <row r="17" spans="1:18">
      <c r="A17" s="2">
        <v>12</v>
      </c>
      <c r="B17" s="2"/>
      <c r="C17" s="705" t="s">
        <v>2112</v>
      </c>
      <c r="D17" s="63"/>
      <c r="E17" s="63"/>
      <c r="F17" s="706"/>
      <c r="G17" s="706"/>
      <c r="H17" s="718">
        <f>SUM(H18:H33)</f>
        <v>632365965.34263694</v>
      </c>
      <c r="I17" s="718">
        <f>SUM(I18:I33)</f>
        <v>209276668</v>
      </c>
      <c r="J17" s="718">
        <f t="shared" ref="J17:R17" si="3">SUM(J18:J33)</f>
        <v>841642633.34263694</v>
      </c>
      <c r="K17" s="719"/>
      <c r="L17" s="718">
        <f t="shared" si="3"/>
        <v>396533052.26478571</v>
      </c>
      <c r="M17" s="718">
        <f t="shared" si="3"/>
        <v>179961323.27000001</v>
      </c>
      <c r="N17" s="718">
        <f t="shared" si="3"/>
        <v>576494375.53478575</v>
      </c>
      <c r="O17" s="720"/>
      <c r="P17" s="718">
        <f t="shared" si="3"/>
        <v>135613505.94726786</v>
      </c>
      <c r="Q17" s="718">
        <f t="shared" si="3"/>
        <v>180358438</v>
      </c>
      <c r="R17" s="718">
        <f t="shared" si="3"/>
        <v>315971943.94726789</v>
      </c>
    </row>
    <row r="18" spans="1:18">
      <c r="A18" s="2">
        <v>13</v>
      </c>
      <c r="B18" s="2"/>
      <c r="C18" s="361"/>
      <c r="D18" t="s">
        <v>2113</v>
      </c>
      <c r="E18" s="62"/>
      <c r="F18" s="721"/>
      <c r="G18" s="721"/>
      <c r="H18" s="408">
        <f>SUM('D-2-Constrained'!H7:H13)</f>
        <v>3555520</v>
      </c>
      <c r="I18" s="408">
        <f>SUM('D-2-Constrained'!I7:I13)</f>
        <v>12736458</v>
      </c>
      <c r="J18" s="408">
        <f t="shared" ref="J18:J36" si="4">H18+I18</f>
        <v>16291978</v>
      </c>
      <c r="K18" s="410"/>
      <c r="L18" s="408">
        <f>SUM('D-2-Constrained'!L7:L13)</f>
        <v>1725250</v>
      </c>
      <c r="M18" s="408">
        <f>SUM('D-2-Constrained'!M7:M13)</f>
        <v>1485345</v>
      </c>
      <c r="N18" s="408">
        <f t="shared" ref="N18:N36" si="5">L18+M18</f>
        <v>3210595</v>
      </c>
      <c r="O18" s="2"/>
      <c r="P18" s="408">
        <f>SUM('D-2-Constrained'!P7:P13)</f>
        <v>218190</v>
      </c>
      <c r="Q18" s="408">
        <f>SUM('D-2-Constrained'!Q7:Q13)</f>
        <v>0</v>
      </c>
      <c r="R18" s="408">
        <f t="shared" ref="R18:R36" si="6">P18+Q18</f>
        <v>218190</v>
      </c>
    </row>
    <row r="19" spans="1:18">
      <c r="A19" s="2">
        <v>14</v>
      </c>
      <c r="B19" s="2"/>
      <c r="C19" s="361"/>
      <c r="D19" t="s">
        <v>2114</v>
      </c>
      <c r="E19" s="62"/>
      <c r="F19" s="721"/>
      <c r="G19" s="721"/>
      <c r="H19" s="408">
        <f>'D-2-Constrained'!H14</f>
        <v>0</v>
      </c>
      <c r="I19" s="408">
        <f>'D-2-Constrained'!I14</f>
        <v>16500</v>
      </c>
      <c r="J19" s="408">
        <f t="shared" si="4"/>
        <v>16500</v>
      </c>
      <c r="K19" s="410"/>
      <c r="L19" s="408">
        <f>'D-2-Constrained'!L14</f>
        <v>0</v>
      </c>
      <c r="M19" s="408">
        <f>'D-2-Constrained'!M14</f>
        <v>0</v>
      </c>
      <c r="N19" s="408">
        <f t="shared" si="5"/>
        <v>0</v>
      </c>
      <c r="O19" s="2"/>
      <c r="P19" s="408">
        <f>'D-2-Constrained'!P14</f>
        <v>0</v>
      </c>
      <c r="Q19" s="408">
        <f>'D-2-Constrained'!Q14</f>
        <v>0</v>
      </c>
      <c r="R19" s="408">
        <f t="shared" si="6"/>
        <v>0</v>
      </c>
    </row>
    <row r="20" spans="1:18">
      <c r="A20" s="2">
        <v>15</v>
      </c>
      <c r="B20" s="2"/>
      <c r="C20" s="361"/>
      <c r="D20" t="s">
        <v>2115</v>
      </c>
      <c r="E20" s="62"/>
      <c r="F20" s="721"/>
      <c r="G20" s="721"/>
      <c r="H20" s="408">
        <f>SUM('D-2-Constrained'!H15:H28)</f>
        <v>624491827.97363698</v>
      </c>
      <c r="I20" s="408">
        <f>SUM('D-2-Constrained'!I15:I28)</f>
        <v>0</v>
      </c>
      <c r="J20" s="408">
        <f t="shared" si="4"/>
        <v>624491827.97363698</v>
      </c>
      <c r="K20" s="410"/>
      <c r="L20" s="408">
        <f>SUM('D-2-Constrained'!L15:L28)</f>
        <v>390096583.31678569</v>
      </c>
      <c r="M20" s="408">
        <f>SUM('D-2-Constrained'!M15:M28)</f>
        <v>0</v>
      </c>
      <c r="N20" s="408">
        <f t="shared" si="5"/>
        <v>390096583.31678569</v>
      </c>
      <c r="O20" s="2"/>
      <c r="P20" s="408">
        <f>SUM('D-2-Constrained'!P15:P28)</f>
        <v>130291495.42026787</v>
      </c>
      <c r="Q20" s="408">
        <f>SUM('D-2-Constrained'!Q15:Q28)</f>
        <v>0</v>
      </c>
      <c r="R20" s="408">
        <f t="shared" si="6"/>
        <v>130291495.42026787</v>
      </c>
    </row>
    <row r="21" spans="1:18">
      <c r="A21" s="2">
        <v>16</v>
      </c>
      <c r="B21" s="2"/>
      <c r="C21" s="361"/>
      <c r="D21" t="s">
        <v>2116</v>
      </c>
      <c r="E21" s="62"/>
      <c r="F21" s="721"/>
      <c r="G21" s="721"/>
      <c r="H21" s="408">
        <f>SUM('D-2-Constrained'!H29:H31)</f>
        <v>4318617.3689999999</v>
      </c>
      <c r="I21" s="408">
        <f>SUM('D-2-Constrained'!I29:I31)</f>
        <v>0</v>
      </c>
      <c r="J21" s="408">
        <f t="shared" si="4"/>
        <v>4318617.3689999999</v>
      </c>
      <c r="K21" s="410"/>
      <c r="L21" s="722">
        <f>SUM('D-2-Constrained'!L29:L31)</f>
        <v>4711218.9479999999</v>
      </c>
      <c r="M21" s="722">
        <f>SUM('D-2-Constrained'!M29:M31)</f>
        <v>0</v>
      </c>
      <c r="N21" s="408">
        <f t="shared" si="5"/>
        <v>4711218.9479999999</v>
      </c>
      <c r="O21" s="2"/>
      <c r="P21" s="722">
        <f>SUM('D-2-Constrained'!P29:P31)</f>
        <v>5103820.5269999988</v>
      </c>
      <c r="Q21" s="722">
        <f>SUM('D-2-Constrained'!Q29:Q31)</f>
        <v>0</v>
      </c>
      <c r="R21" s="408">
        <f t="shared" si="6"/>
        <v>5103820.5269999988</v>
      </c>
    </row>
    <row r="22" spans="1:18">
      <c r="A22" s="2">
        <v>17</v>
      </c>
      <c r="B22" s="2"/>
      <c r="C22" s="361"/>
      <c r="D22" t="s">
        <v>2117</v>
      </c>
      <c r="E22" s="62"/>
      <c r="F22" s="721"/>
      <c r="G22" s="721"/>
      <c r="H22" s="408">
        <f>SUM('D-2-Constrained'!H32:H66)</f>
        <v>0</v>
      </c>
      <c r="I22" s="408">
        <f>SUM('D-2-Constrained'!I32:I66)</f>
        <v>10033120</v>
      </c>
      <c r="J22" s="408">
        <f t="shared" si="4"/>
        <v>10033120</v>
      </c>
      <c r="K22" s="410"/>
      <c r="L22" s="722">
        <f>SUM('D-2-Constrained'!L32:L66)</f>
        <v>0</v>
      </c>
      <c r="M22" s="722">
        <f>SUM('D-2-Constrained'!M32:M66)</f>
        <v>11738400</v>
      </c>
      <c r="N22" s="408">
        <f t="shared" si="5"/>
        <v>11738400</v>
      </c>
      <c r="O22" s="2"/>
      <c r="P22" s="722">
        <f>SUM('D-2-Constrained'!P32:P66)</f>
        <v>0</v>
      </c>
      <c r="Q22" s="722">
        <f>SUM('D-2-Constrained'!Q32:Q66)</f>
        <v>15767000</v>
      </c>
      <c r="R22" s="408">
        <f t="shared" si="6"/>
        <v>15767000</v>
      </c>
    </row>
    <row r="23" spans="1:18">
      <c r="A23" s="2">
        <v>18</v>
      </c>
      <c r="B23" s="2"/>
      <c r="C23" s="361"/>
      <c r="D23" t="s">
        <v>2118</v>
      </c>
      <c r="E23" s="62"/>
      <c r="F23" s="721"/>
      <c r="G23" s="721"/>
      <c r="H23" s="408">
        <f>SUM('D-2-Constrained'!H67:H118)</f>
        <v>0</v>
      </c>
      <c r="I23" s="408">
        <f>SUM('D-2-Constrained'!I67:I118)</f>
        <v>32570021</v>
      </c>
      <c r="J23" s="408">
        <f t="shared" si="4"/>
        <v>32570021</v>
      </c>
      <c r="K23" s="410"/>
      <c r="L23" s="408">
        <f>SUM('D-2-Constrained'!L67:L118)</f>
        <v>0</v>
      </c>
      <c r="M23" s="408">
        <f>SUM('D-2-Constrained'!M67:M118)</f>
        <v>22394200</v>
      </c>
      <c r="N23" s="408">
        <f t="shared" si="5"/>
        <v>22394200</v>
      </c>
      <c r="O23" s="2"/>
      <c r="P23" s="408">
        <f>SUM('D-2-Constrained'!P67:P118)</f>
        <v>0</v>
      </c>
      <c r="Q23" s="408">
        <f>SUM('D-2-Constrained'!Q67:Q118)</f>
        <v>26328300</v>
      </c>
      <c r="R23" s="408">
        <f t="shared" si="6"/>
        <v>26328300</v>
      </c>
    </row>
    <row r="24" spans="1:18">
      <c r="A24" s="2">
        <v>19</v>
      </c>
      <c r="B24" s="2"/>
      <c r="C24" s="361"/>
      <c r="D24" t="s">
        <v>2119</v>
      </c>
      <c r="E24" s="62"/>
      <c r="F24" s="721"/>
      <c r="G24" s="721"/>
      <c r="H24" s="408">
        <f>SUM('D-2-Constrained'!H119:H142)</f>
        <v>0</v>
      </c>
      <c r="I24" s="408">
        <f>SUM('D-2-Constrained'!I119:I142)</f>
        <v>5731413</v>
      </c>
      <c r="J24" s="408">
        <f t="shared" si="4"/>
        <v>5731413</v>
      </c>
      <c r="K24" s="410"/>
      <c r="L24" s="408">
        <f>SUM('D-2-Constrained'!L119:L142)</f>
        <v>0</v>
      </c>
      <c r="M24" s="408">
        <f>SUM('D-2-Constrained'!M119:M142)</f>
        <v>7554040</v>
      </c>
      <c r="N24" s="408">
        <f t="shared" si="5"/>
        <v>7554040</v>
      </c>
      <c r="O24" s="2"/>
      <c r="P24" s="408">
        <f>SUM('D-2-Constrained'!P119:P142)</f>
        <v>0</v>
      </c>
      <c r="Q24" s="408">
        <f>SUM('D-2-Constrained'!Q119:Q142)</f>
        <v>3146300</v>
      </c>
      <c r="R24" s="408">
        <f t="shared" si="6"/>
        <v>3146300</v>
      </c>
    </row>
    <row r="25" spans="1:18">
      <c r="A25" s="2">
        <v>20</v>
      </c>
      <c r="B25" s="2"/>
      <c r="C25" s="361"/>
      <c r="D25" s="409" t="s">
        <v>2120</v>
      </c>
      <c r="E25" s="62"/>
      <c r="F25" s="721"/>
      <c r="G25" s="721"/>
      <c r="H25" s="408">
        <f>SUM('D-2-Constrained'!H143:H193)</f>
        <v>0</v>
      </c>
      <c r="I25" s="408">
        <f>SUM('D-2-Constrained'!I143:I193)</f>
        <v>28771680</v>
      </c>
      <c r="J25" s="408">
        <f t="shared" si="4"/>
        <v>28771680</v>
      </c>
      <c r="K25" s="410"/>
      <c r="L25" s="408">
        <f>SUM('D-2-Constrained'!L143:L193)</f>
        <v>0</v>
      </c>
      <c r="M25" s="408">
        <f>SUM('D-2-Constrained'!M143:M193)</f>
        <v>36004862.270000003</v>
      </c>
      <c r="N25" s="408">
        <f t="shared" si="5"/>
        <v>36004862.270000003</v>
      </c>
      <c r="O25" s="2"/>
      <c r="P25" s="408">
        <f>SUM('D-2-Constrained'!P143:P193)</f>
        <v>0</v>
      </c>
      <c r="Q25" s="408">
        <f>SUM('D-2-Constrained'!Q143:Q193)</f>
        <v>16109862</v>
      </c>
      <c r="R25" s="408">
        <f t="shared" si="6"/>
        <v>16109862</v>
      </c>
    </row>
    <row r="26" spans="1:18">
      <c r="A26" s="2">
        <v>21</v>
      </c>
      <c r="B26" s="2"/>
      <c r="C26" s="361"/>
      <c r="D26" s="390" t="s">
        <v>2121</v>
      </c>
      <c r="E26" s="62"/>
      <c r="F26" s="721"/>
      <c r="G26" s="721"/>
      <c r="H26" s="408">
        <f>SUM('D-2-Constrained'!H194:H206)</f>
        <v>0</v>
      </c>
      <c r="I26" s="408">
        <f>SUM('D-2-Constrained'!I194:I206)</f>
        <v>12054500</v>
      </c>
      <c r="J26" s="408">
        <f t="shared" si="4"/>
        <v>12054500</v>
      </c>
      <c r="K26" s="410"/>
      <c r="L26" s="408">
        <f>SUM('D-2-Constrained'!L194:L206)</f>
        <v>0</v>
      </c>
      <c r="M26" s="408">
        <f>SUM('D-2-Constrained'!M194:M206)</f>
        <v>8149500</v>
      </c>
      <c r="N26" s="408">
        <f t="shared" si="5"/>
        <v>8149500</v>
      </c>
      <c r="O26" s="2"/>
      <c r="P26" s="408">
        <f>SUM('D-2-Constrained'!P194:P206)</f>
        <v>0</v>
      </c>
      <c r="Q26" s="408">
        <f>SUM('D-2-Constrained'!Q194:Q206)</f>
        <v>2701000</v>
      </c>
      <c r="R26" s="408">
        <f t="shared" si="6"/>
        <v>2701000</v>
      </c>
    </row>
    <row r="27" spans="1:18">
      <c r="A27" s="2">
        <v>22</v>
      </c>
      <c r="B27" s="2"/>
      <c r="C27" s="361"/>
      <c r="D27" s="409" t="s">
        <v>2122</v>
      </c>
      <c r="E27" s="62"/>
      <c r="F27" s="721"/>
      <c r="G27" s="721"/>
      <c r="H27" s="408">
        <f>SUM('D-2-Constrained'!H207:H216)</f>
        <v>0</v>
      </c>
      <c r="I27" s="408">
        <f>SUM('D-2-Constrained'!I207:I216)</f>
        <v>11730000</v>
      </c>
      <c r="J27" s="408">
        <f t="shared" si="4"/>
        <v>11730000</v>
      </c>
      <c r="K27" s="410"/>
      <c r="L27" s="408">
        <f>SUM('D-2-Constrained'!L207:L216)</f>
        <v>0</v>
      </c>
      <c r="M27" s="408">
        <f>SUM('D-2-Constrained'!M207:M216)</f>
        <v>13265000</v>
      </c>
      <c r="N27" s="408">
        <f t="shared" si="5"/>
        <v>13265000</v>
      </c>
      <c r="O27" s="2"/>
      <c r="P27" s="408">
        <f>SUM('D-2-Constrained'!P207:P216)</f>
        <v>0</v>
      </c>
      <c r="Q27" s="408">
        <f>SUM('D-2-Constrained'!Q207:Q216)</f>
        <v>15455000</v>
      </c>
      <c r="R27" s="408">
        <f t="shared" si="6"/>
        <v>15455000</v>
      </c>
    </row>
    <row r="28" spans="1:18">
      <c r="A28" s="2">
        <v>23</v>
      </c>
      <c r="B28" s="2"/>
      <c r="C28" s="361"/>
      <c r="D28" s="409" t="s">
        <v>2123</v>
      </c>
      <c r="E28" s="62"/>
      <c r="F28" s="721"/>
      <c r="G28" s="721"/>
      <c r="H28" s="408">
        <f>SUM('D-2-Constrained'!H217:H231)</f>
        <v>0</v>
      </c>
      <c r="I28" s="408">
        <f>SUM('D-2-Constrained'!I217:I231)</f>
        <v>35175000</v>
      </c>
      <c r="J28" s="408">
        <f t="shared" si="4"/>
        <v>35175000</v>
      </c>
      <c r="K28" s="410"/>
      <c r="L28" s="408">
        <f>SUM('D-2-Constrained'!L217:L231)</f>
        <v>0</v>
      </c>
      <c r="M28" s="408">
        <f>SUM('D-2-Constrained'!M217:M231)</f>
        <v>8725000</v>
      </c>
      <c r="N28" s="408">
        <f t="shared" si="5"/>
        <v>8725000</v>
      </c>
      <c r="O28" s="2"/>
      <c r="P28" s="408">
        <f>SUM('D-2-Constrained'!P217:P231)</f>
        <v>0</v>
      </c>
      <c r="Q28" s="408">
        <f>SUM('D-2-Constrained'!Q217:Q231)</f>
        <v>16900000</v>
      </c>
      <c r="R28" s="408">
        <f t="shared" si="6"/>
        <v>16900000</v>
      </c>
    </row>
    <row r="29" spans="1:18">
      <c r="A29" s="2">
        <v>24</v>
      </c>
      <c r="B29" s="2"/>
      <c r="C29" s="361"/>
      <c r="D29" s="409" t="s">
        <v>2124</v>
      </c>
      <c r="E29" s="62"/>
      <c r="F29" s="721"/>
      <c r="G29" s="721"/>
      <c r="H29" s="408">
        <f>SUM('D-2-Constrained'!H232:H238)</f>
        <v>0</v>
      </c>
      <c r="I29" s="408">
        <f>SUM('D-2-Constrained'!I232:I238)</f>
        <v>1109600</v>
      </c>
      <c r="J29" s="408">
        <f t="shared" si="4"/>
        <v>1109600</v>
      </c>
      <c r="K29" s="410"/>
      <c r="L29" s="408">
        <f>SUM('D-2-Constrained'!L232:L238)</f>
        <v>0</v>
      </c>
      <c r="M29" s="408">
        <f>SUM('D-2-Constrained'!M232:M238)</f>
        <v>8036600</v>
      </c>
      <c r="N29" s="408">
        <f t="shared" si="5"/>
        <v>8036600</v>
      </c>
      <c r="O29" s="2"/>
      <c r="P29" s="408">
        <f>SUM('D-2-Constrained'!P232:P238)</f>
        <v>0</v>
      </c>
      <c r="Q29" s="408">
        <f>SUM('D-2-Constrained'!Q232:Q238)</f>
        <v>8401600</v>
      </c>
      <c r="R29" s="408">
        <f t="shared" si="6"/>
        <v>8401600</v>
      </c>
    </row>
    <row r="30" spans="1:18">
      <c r="A30" s="2">
        <v>25</v>
      </c>
      <c r="B30" s="2"/>
      <c r="C30" s="361"/>
      <c r="D30" s="409" t="s">
        <v>2125</v>
      </c>
      <c r="E30" s="62"/>
      <c r="F30" s="721"/>
      <c r="G30" s="721"/>
      <c r="H30" s="408">
        <f>SUM('D-2-Constrained'!H239)</f>
        <v>0</v>
      </c>
      <c r="I30" s="408">
        <f>SUM('D-2-Constrained'!I239)</f>
        <v>19079376</v>
      </c>
      <c r="J30" s="408">
        <f t="shared" si="4"/>
        <v>19079376</v>
      </c>
      <c r="K30" s="410"/>
      <c r="L30" s="408">
        <f>SUM('D-2-Constrained'!L239)</f>
        <v>0</v>
      </c>
      <c r="M30" s="408">
        <f>SUM('D-2-Constrained'!M239)</f>
        <v>19429376</v>
      </c>
      <c r="N30" s="408">
        <f t="shared" si="5"/>
        <v>19429376</v>
      </c>
      <c r="O30" s="2"/>
      <c r="P30" s="408">
        <f>SUM('D-2-Constrained'!P239)</f>
        <v>0</v>
      </c>
      <c r="Q30" s="408">
        <f>SUM('D-2-Constrained'!Q239)</f>
        <v>19079376</v>
      </c>
      <c r="R30" s="408">
        <f t="shared" si="6"/>
        <v>19079376</v>
      </c>
    </row>
    <row r="31" spans="1:18">
      <c r="A31" s="2">
        <v>26</v>
      </c>
      <c r="B31" s="2"/>
      <c r="C31" s="361"/>
      <c r="D31" s="409" t="s">
        <v>2126</v>
      </c>
      <c r="E31" s="62"/>
      <c r="F31" s="721"/>
      <c r="G31" s="721"/>
      <c r="H31" s="408">
        <f>'D-2-Constrained'!H240</f>
        <v>0</v>
      </c>
      <c r="I31" s="408">
        <f>'D-2-Constrained'!I240</f>
        <v>1494000</v>
      </c>
      <c r="J31" s="408">
        <f t="shared" si="4"/>
        <v>1494000</v>
      </c>
      <c r="K31" s="410"/>
      <c r="L31" s="408">
        <f>'D-2-Constrained'!L240</f>
        <v>0</v>
      </c>
      <c r="M31" s="408">
        <f>'D-2-Constrained'!M240</f>
        <v>3142000</v>
      </c>
      <c r="N31" s="408">
        <f t="shared" si="5"/>
        <v>3142000</v>
      </c>
      <c r="O31" s="2"/>
      <c r="P31" s="408">
        <f>'D-2-Constrained'!P240</f>
        <v>0</v>
      </c>
      <c r="Q31" s="408">
        <f>'D-2-Constrained'!Q240</f>
        <v>4744000</v>
      </c>
      <c r="R31" s="408">
        <f t="shared" si="6"/>
        <v>4744000</v>
      </c>
    </row>
    <row r="32" spans="1:18">
      <c r="A32" s="2">
        <v>27</v>
      </c>
      <c r="B32" s="2"/>
      <c r="C32" s="361"/>
      <c r="D32" s="409" t="s">
        <v>2127</v>
      </c>
      <c r="E32" s="62"/>
      <c r="F32" s="721"/>
      <c r="G32" s="721"/>
      <c r="H32" s="408">
        <f>'D-2-Constrained'!H241</f>
        <v>0</v>
      </c>
      <c r="I32" s="408">
        <f>'D-2-Constrained'!I241</f>
        <v>0</v>
      </c>
      <c r="J32" s="408">
        <f t="shared" si="4"/>
        <v>0</v>
      </c>
      <c r="K32" s="410"/>
      <c r="L32" s="408">
        <f>'D-2-Constrained'!L241</f>
        <v>0</v>
      </c>
      <c r="M32" s="408">
        <f>'D-2-Constrained'!M241</f>
        <v>4272000</v>
      </c>
      <c r="N32" s="408">
        <f t="shared" si="5"/>
        <v>4272000</v>
      </c>
      <c r="O32" s="2"/>
      <c r="P32" s="408">
        <f>'D-2-Constrained'!P241</f>
        <v>0</v>
      </c>
      <c r="Q32" s="408">
        <f>'D-2-Constrained'!Q241</f>
        <v>9701000</v>
      </c>
      <c r="R32" s="408">
        <f t="shared" si="6"/>
        <v>9701000</v>
      </c>
    </row>
    <row r="33" spans="1:21">
      <c r="A33" s="2">
        <v>28</v>
      </c>
      <c r="B33" s="2"/>
      <c r="C33" s="361"/>
      <c r="D33" s="409" t="s">
        <v>2128</v>
      </c>
      <c r="E33" s="62"/>
      <c r="F33" s="721"/>
      <c r="G33" s="721"/>
      <c r="H33" s="408">
        <f>SUM('D-2-Constrained'!H242:H269)</f>
        <v>0</v>
      </c>
      <c r="I33" s="408">
        <f>SUM('D-2-Constrained'!I242:I269)</f>
        <v>38775000</v>
      </c>
      <c r="J33" s="408">
        <f t="shared" si="4"/>
        <v>38775000</v>
      </c>
      <c r="K33" s="410"/>
      <c r="L33" s="408">
        <f>SUM('D-2-Constrained'!L242:L269)</f>
        <v>0</v>
      </c>
      <c r="M33" s="408">
        <f>SUM('D-2-Constrained'!M242:M269)</f>
        <v>35765000</v>
      </c>
      <c r="N33" s="408">
        <f t="shared" si="5"/>
        <v>35765000</v>
      </c>
      <c r="O33" s="2"/>
      <c r="P33" s="408">
        <f>SUM('D-2-Constrained'!P242:P269)</f>
        <v>0</v>
      </c>
      <c r="Q33" s="408">
        <f>SUM('D-2-Constrained'!Q242:Q269)</f>
        <v>42025000</v>
      </c>
      <c r="R33" s="408">
        <f t="shared" si="6"/>
        <v>42025000</v>
      </c>
    </row>
    <row r="34" spans="1:21">
      <c r="A34" s="2"/>
      <c r="B34" s="2"/>
      <c r="C34" s="361"/>
      <c r="D34" s="409"/>
      <c r="E34" s="409"/>
      <c r="F34" s="409"/>
      <c r="G34" s="409"/>
      <c r="H34" s="409"/>
      <c r="I34" s="409"/>
      <c r="J34" s="409"/>
      <c r="K34" s="409"/>
      <c r="L34" s="409"/>
      <c r="M34" s="409"/>
      <c r="N34" s="409"/>
      <c r="O34" s="409"/>
      <c r="P34" s="409"/>
      <c r="Q34" s="409"/>
      <c r="R34" s="409"/>
      <c r="S34" s="409"/>
      <c r="T34" s="409"/>
      <c r="U34" s="409"/>
    </row>
    <row r="35" spans="1:21">
      <c r="A35" s="2">
        <f>A33+1</f>
        <v>29</v>
      </c>
      <c r="B35" s="2"/>
      <c r="C35" s="705" t="s">
        <v>2129</v>
      </c>
      <c r="D35" s="63"/>
      <c r="E35" s="63"/>
      <c r="F35" s="706"/>
      <c r="G35" s="706"/>
      <c r="H35" s="706">
        <f>H36</f>
        <v>0</v>
      </c>
      <c r="I35" s="706">
        <f t="shared" ref="I35" si="7">I36</f>
        <v>1234000</v>
      </c>
      <c r="J35" s="706">
        <f t="shared" ref="J35" si="8">H35+I35</f>
        <v>1234000</v>
      </c>
      <c r="K35" s="410"/>
      <c r="L35" s="706">
        <f t="shared" ref="L35" si="9">L36</f>
        <v>0</v>
      </c>
      <c r="M35" s="706">
        <f t="shared" ref="M35" si="10">M36</f>
        <v>1295700</v>
      </c>
      <c r="N35" s="706">
        <f t="shared" ref="N35" si="11">L35+M35</f>
        <v>1295700</v>
      </c>
      <c r="O35" s="2"/>
      <c r="P35" s="706">
        <f t="shared" ref="P35" si="12">P36</f>
        <v>0</v>
      </c>
      <c r="Q35" s="706">
        <f t="shared" ref="Q35" si="13">Q36</f>
        <v>1360485</v>
      </c>
      <c r="R35" s="706">
        <f t="shared" ref="R35" si="14">P35+Q35</f>
        <v>1360485</v>
      </c>
    </row>
    <row r="36" spans="1:21">
      <c r="A36" s="2">
        <f>A35+1</f>
        <v>30</v>
      </c>
      <c r="B36" s="2"/>
      <c r="D36" s="409" t="s">
        <v>2130</v>
      </c>
      <c r="H36" s="408"/>
      <c r="I36" s="408">
        <f>'D-1-Optimal'!I37</f>
        <v>1234000</v>
      </c>
      <c r="J36" s="408">
        <f t="shared" si="4"/>
        <v>1234000</v>
      </c>
      <c r="K36" s="410"/>
      <c r="L36" s="408"/>
      <c r="M36" s="408">
        <f>I36*1.05</f>
        <v>1295700</v>
      </c>
      <c r="N36" s="408">
        <f t="shared" si="5"/>
        <v>1295700</v>
      </c>
      <c r="O36" s="2"/>
      <c r="P36" s="408"/>
      <c r="Q36" s="408">
        <f>M36*1.05</f>
        <v>1360485</v>
      </c>
      <c r="R36" s="408">
        <f t="shared" si="6"/>
        <v>1360485</v>
      </c>
    </row>
    <row r="37" spans="1:21">
      <c r="A37" s="2"/>
      <c r="B37" s="2"/>
      <c r="D37" s="409"/>
      <c r="K37" s="410"/>
      <c r="O37" s="2"/>
    </row>
    <row r="38" spans="1:21">
      <c r="A38" s="2">
        <f>A36+1</f>
        <v>31</v>
      </c>
      <c r="B38" s="2"/>
      <c r="C38" s="705" t="s">
        <v>2131</v>
      </c>
      <c r="D38" s="63"/>
      <c r="E38" s="63"/>
      <c r="F38" s="706"/>
      <c r="G38" s="706"/>
      <c r="H38" s="706">
        <f>SUM(H39:H42)</f>
        <v>62488337.186044671</v>
      </c>
      <c r="I38" s="706">
        <f>SUM(I39:I42)</f>
        <v>61174492.165837482</v>
      </c>
      <c r="J38" s="706">
        <f t="shared" ref="J38:J42" si="15">H38+I38</f>
        <v>123662829.35188216</v>
      </c>
      <c r="K38" s="410"/>
      <c r="L38" s="706">
        <f>SUM(L39:L42)</f>
        <v>227072620.24570087</v>
      </c>
      <c r="M38" s="706">
        <f>SUM(M39:M42)</f>
        <v>76311981.474716842</v>
      </c>
      <c r="N38" s="706">
        <f t="shared" ref="N38:N42" si="16">L38+M38</f>
        <v>303384601.72041774</v>
      </c>
      <c r="O38" s="2"/>
      <c r="P38" s="706">
        <f>SUM(P39:P42)</f>
        <v>417698016.71553349</v>
      </c>
      <c r="Q38" s="706">
        <f>SUM(Q39:Q42)</f>
        <v>108441881.16325629</v>
      </c>
      <c r="R38" s="706">
        <f t="shared" ref="R38:R42" si="17">P38+Q38</f>
        <v>526139897.87878978</v>
      </c>
    </row>
    <row r="39" spans="1:21">
      <c r="A39" s="2">
        <f>A38+1</f>
        <v>32</v>
      </c>
      <c r="B39" s="2"/>
      <c r="D39" t="s">
        <v>2132</v>
      </c>
      <c r="E39" s="2" t="s">
        <v>2133</v>
      </c>
      <c r="H39" s="717">
        <v>23571702.007486869</v>
      </c>
      <c r="I39" s="717">
        <v>3530055.7213930357</v>
      </c>
      <c r="J39" s="717">
        <f t="shared" si="15"/>
        <v>27101757.728879906</v>
      </c>
      <c r="K39" s="410"/>
      <c r="L39" s="717">
        <v>52137248.196411371</v>
      </c>
      <c r="M39" s="717">
        <v>3500000.0000000005</v>
      </c>
      <c r="N39" s="717">
        <f t="shared" si="16"/>
        <v>55637248.196411371</v>
      </c>
      <c r="O39" s="2"/>
      <c r="P39" s="717">
        <v>98762189.941276267</v>
      </c>
      <c r="Q39" s="717">
        <v>3500000.0000000005</v>
      </c>
      <c r="R39" s="717">
        <f t="shared" si="17"/>
        <v>102262189.94127627</v>
      </c>
    </row>
    <row r="40" spans="1:21">
      <c r="A40" s="2">
        <f t="shared" ref="A40:A42" si="18">A39+1</f>
        <v>33</v>
      </c>
      <c r="B40" s="2"/>
      <c r="D40" t="s">
        <v>2134</v>
      </c>
      <c r="E40" s="2" t="s">
        <v>2135</v>
      </c>
      <c r="H40" s="717">
        <v>19798775.178557802</v>
      </c>
      <c r="I40" s="717">
        <v>35144436.444444448</v>
      </c>
      <c r="J40" s="717">
        <f t="shared" si="15"/>
        <v>54943211.623002246</v>
      </c>
      <c r="K40" s="410"/>
      <c r="L40" s="717">
        <v>139415372.04928949</v>
      </c>
      <c r="M40" s="717">
        <v>23758888.888888888</v>
      </c>
      <c r="N40" s="717">
        <f t="shared" si="16"/>
        <v>163174260.93817839</v>
      </c>
      <c r="O40" s="2"/>
      <c r="P40" s="717">
        <v>280292086.77425724</v>
      </c>
      <c r="Q40" s="717">
        <v>30700000</v>
      </c>
      <c r="R40" s="717">
        <f t="shared" si="17"/>
        <v>310992086.77425724</v>
      </c>
    </row>
    <row r="41" spans="1:21">
      <c r="A41" s="2">
        <f t="shared" si="18"/>
        <v>34</v>
      </c>
      <c r="B41" s="2"/>
      <c r="D41" t="s">
        <v>2136</v>
      </c>
      <c r="E41" s="2" t="s">
        <v>2137</v>
      </c>
      <c r="H41" s="717">
        <v>19117860</v>
      </c>
      <c r="I41" s="717">
        <v>22500000</v>
      </c>
      <c r="J41" s="717">
        <f t="shared" si="15"/>
        <v>41617860</v>
      </c>
      <c r="K41" s="410"/>
      <c r="L41" s="717">
        <v>35520000</v>
      </c>
      <c r="M41" s="717">
        <v>49053092.585827962</v>
      </c>
      <c r="N41" s="717">
        <f t="shared" si="16"/>
        <v>84573092.585827962</v>
      </c>
      <c r="O41" s="2"/>
      <c r="P41" s="717">
        <v>38643740</v>
      </c>
      <c r="Q41" s="717">
        <v>74241881.163256288</v>
      </c>
      <c r="R41" s="717">
        <f t="shared" si="17"/>
        <v>112885621.16325629</v>
      </c>
    </row>
    <row r="42" spans="1:21">
      <c r="A42" s="2">
        <f t="shared" si="18"/>
        <v>35</v>
      </c>
      <c r="B42" s="2"/>
      <c r="D42" t="s">
        <v>2138</v>
      </c>
      <c r="E42" s="2" t="s">
        <v>2139</v>
      </c>
      <c r="H42" s="717">
        <v>0</v>
      </c>
      <c r="I42" s="717">
        <v>0</v>
      </c>
      <c r="J42" s="717">
        <f t="shared" si="15"/>
        <v>0</v>
      </c>
      <c r="K42" s="410"/>
      <c r="L42" s="717">
        <v>0</v>
      </c>
      <c r="M42" s="717">
        <v>0</v>
      </c>
      <c r="N42" s="717">
        <f t="shared" si="16"/>
        <v>0</v>
      </c>
      <c r="O42" s="2"/>
      <c r="P42" s="717">
        <v>0</v>
      </c>
      <c r="Q42" s="717">
        <v>0</v>
      </c>
      <c r="R42" s="717">
        <f t="shared" si="17"/>
        <v>0</v>
      </c>
    </row>
    <row r="43" spans="1:21">
      <c r="A43" s="2"/>
      <c r="B43" s="2"/>
      <c r="D43"/>
      <c r="K43" s="410"/>
      <c r="O43" s="2"/>
    </row>
    <row r="44" spans="1:21">
      <c r="A44" s="2">
        <f>A42+1</f>
        <v>36</v>
      </c>
      <c r="B44" s="2"/>
      <c r="C44" s="705" t="s">
        <v>2140</v>
      </c>
      <c r="D44" s="63"/>
      <c r="E44" s="63"/>
      <c r="F44" s="706"/>
      <c r="G44" s="706"/>
      <c r="H44" s="706">
        <f>SUM(H45:H49)</f>
        <v>202371821.23786271</v>
      </c>
      <c r="I44" s="706">
        <f>SUM(I45:I49)</f>
        <v>101806388.96586855</v>
      </c>
      <c r="J44" s="706">
        <f t="shared" ref="J44:J49" si="19">H44+I44</f>
        <v>304178210.20373124</v>
      </c>
      <c r="K44" s="410"/>
      <c r="L44" s="706">
        <f>SUM(L45:L49)</f>
        <v>344740716.49652505</v>
      </c>
      <c r="M44" s="706">
        <f>SUM(M45:M49)</f>
        <v>185041808.88086104</v>
      </c>
      <c r="N44" s="706">
        <f t="shared" ref="N44:N49" si="20">L44+M44</f>
        <v>529782525.37738609</v>
      </c>
      <c r="O44" s="2"/>
      <c r="P44" s="706">
        <f>SUM(P45:P49)</f>
        <v>326493912.60748422</v>
      </c>
      <c r="Q44" s="706">
        <f>SUM(Q45:Q49)</f>
        <v>231087326.60153115</v>
      </c>
      <c r="R44" s="706">
        <f t="shared" ref="R44:R49" si="21">P44+Q44</f>
        <v>557581239.20901537</v>
      </c>
    </row>
    <row r="45" spans="1:21">
      <c r="A45" s="2">
        <f t="shared" ref="A45:A90" si="22">A44+1</f>
        <v>37</v>
      </c>
      <c r="B45" s="2"/>
      <c r="D45" t="s">
        <v>2141</v>
      </c>
      <c r="E45" s="2" t="s">
        <v>2142</v>
      </c>
      <c r="G45" s="723"/>
      <c r="H45" s="717">
        <v>23311671.237862699</v>
      </c>
      <c r="I45" s="717">
        <v>37276727.240489811</v>
      </c>
      <c r="J45" s="717">
        <f t="shared" si="19"/>
        <v>60588398.478352509</v>
      </c>
      <c r="K45" s="410"/>
      <c r="L45" s="717">
        <v>95045716.496525034</v>
      </c>
      <c r="M45" s="717">
        <v>54615725.754349731</v>
      </c>
      <c r="N45" s="717">
        <f t="shared" si="20"/>
        <v>149661442.25087476</v>
      </c>
      <c r="O45" s="2"/>
      <c r="P45" s="717">
        <v>132735608.10748419</v>
      </c>
      <c r="Q45" s="717">
        <v>67693482.175456211</v>
      </c>
      <c r="R45" s="717">
        <f t="shared" si="21"/>
        <v>200429090.28294039</v>
      </c>
    </row>
    <row r="46" spans="1:21">
      <c r="A46" s="2">
        <f t="shared" si="22"/>
        <v>38</v>
      </c>
      <c r="B46" s="2"/>
      <c r="D46" t="s">
        <v>2143</v>
      </c>
      <c r="E46" s="2" t="s">
        <v>2144</v>
      </c>
      <c r="G46" s="723"/>
      <c r="H46" s="717">
        <v>89250000</v>
      </c>
      <c r="I46" s="717">
        <v>43836695.058712058</v>
      </c>
      <c r="J46" s="717">
        <f t="shared" si="19"/>
        <v>133086695.05871207</v>
      </c>
      <c r="K46" s="410"/>
      <c r="L46" s="717">
        <v>105945000</v>
      </c>
      <c r="M46" s="717">
        <v>107029183.12651132</v>
      </c>
      <c r="N46" s="717">
        <f t="shared" si="20"/>
        <v>212974183.12651134</v>
      </c>
      <c r="O46" s="2"/>
      <c r="P46" s="717">
        <v>52499999.999999993</v>
      </c>
      <c r="Q46" s="717">
        <v>132306202.47051938</v>
      </c>
      <c r="R46" s="717">
        <f t="shared" si="21"/>
        <v>184806202.47051936</v>
      </c>
    </row>
    <row r="47" spans="1:21">
      <c r="A47" s="2">
        <f t="shared" si="22"/>
        <v>39</v>
      </c>
      <c r="B47" s="2"/>
      <c r="D47" t="s">
        <v>2145</v>
      </c>
      <c r="E47" s="2" t="s">
        <v>2146</v>
      </c>
      <c r="G47" s="723"/>
      <c r="H47" s="717">
        <v>89810150</v>
      </c>
      <c r="I47" s="717">
        <v>2692966.6666666665</v>
      </c>
      <c r="J47" s="717">
        <f t="shared" si="19"/>
        <v>92503116.666666672</v>
      </c>
      <c r="K47" s="410"/>
      <c r="L47" s="717">
        <v>143750000</v>
      </c>
      <c r="M47" s="717">
        <v>3396900.0000000005</v>
      </c>
      <c r="N47" s="717">
        <f t="shared" si="20"/>
        <v>147146900</v>
      </c>
      <c r="O47" s="2"/>
      <c r="P47" s="717">
        <v>141258304.5</v>
      </c>
      <c r="Q47" s="717">
        <v>8087641.9555555545</v>
      </c>
      <c r="R47" s="717">
        <f t="shared" si="21"/>
        <v>149345946.45555556</v>
      </c>
    </row>
    <row r="48" spans="1:21">
      <c r="A48" s="2">
        <f t="shared" si="22"/>
        <v>40</v>
      </c>
      <c r="B48" s="2"/>
      <c r="D48" t="s">
        <v>2147</v>
      </c>
      <c r="E48" s="2" t="s">
        <v>2148</v>
      </c>
      <c r="G48" s="723"/>
      <c r="H48" s="717">
        <v>0</v>
      </c>
      <c r="I48" s="717">
        <v>0</v>
      </c>
      <c r="J48" s="717">
        <f t="shared" si="19"/>
        <v>0</v>
      </c>
      <c r="K48" s="410"/>
      <c r="L48" s="717">
        <v>0</v>
      </c>
      <c r="M48" s="717">
        <v>0</v>
      </c>
      <c r="N48" s="717">
        <f t="shared" si="20"/>
        <v>0</v>
      </c>
      <c r="O48" s="2"/>
      <c r="P48" s="717">
        <v>0</v>
      </c>
      <c r="Q48" s="717">
        <v>0</v>
      </c>
      <c r="R48" s="717">
        <f t="shared" si="21"/>
        <v>0</v>
      </c>
    </row>
    <row r="49" spans="1:18">
      <c r="A49" s="2">
        <f t="shared" si="22"/>
        <v>41</v>
      </c>
      <c r="B49" s="2"/>
      <c r="D49" t="s">
        <v>2149</v>
      </c>
      <c r="E49" s="2" t="s">
        <v>2150</v>
      </c>
      <c r="G49" s="723"/>
      <c r="H49" s="717">
        <v>0</v>
      </c>
      <c r="I49" s="717">
        <v>18000000</v>
      </c>
      <c r="J49" s="717">
        <f t="shared" si="19"/>
        <v>18000000</v>
      </c>
      <c r="K49" s="410"/>
      <c r="L49" s="717">
        <v>0</v>
      </c>
      <c r="M49" s="717">
        <v>20000000</v>
      </c>
      <c r="N49" s="717">
        <f t="shared" si="20"/>
        <v>20000000</v>
      </c>
      <c r="O49" s="2"/>
      <c r="P49" s="717">
        <v>0</v>
      </c>
      <c r="Q49" s="717">
        <v>23000000</v>
      </c>
      <c r="R49" s="717">
        <f t="shared" si="21"/>
        <v>23000000</v>
      </c>
    </row>
    <row r="50" spans="1:18">
      <c r="A50" s="2"/>
      <c r="B50" s="2"/>
      <c r="D50"/>
      <c r="K50" s="410"/>
      <c r="O50" s="2"/>
    </row>
    <row r="51" spans="1:18">
      <c r="A51" s="2"/>
      <c r="B51" s="2"/>
      <c r="C51" s="705" t="s">
        <v>2500</v>
      </c>
      <c r="D51" s="63"/>
      <c r="E51" s="63"/>
      <c r="F51" s="706"/>
      <c r="G51" s="706"/>
      <c r="H51" s="706">
        <f>SUM(H52:H54)</f>
        <v>154196935.43924701</v>
      </c>
      <c r="I51" s="706">
        <f>SUM(I52:I54)</f>
        <v>81654696.082222223</v>
      </c>
      <c r="J51" s="706">
        <f t="shared" ref="J51" si="23">SUM(J52:J54)</f>
        <v>235851631.52146924</v>
      </c>
      <c r="K51" s="410"/>
      <c r="L51" s="706">
        <f>SUM(L52:L54)</f>
        <v>287348461.46954131</v>
      </c>
      <c r="M51" s="706">
        <f t="shared" ref="M51:N51" si="24">SUM(M52:M54)</f>
        <v>121131765.81444445</v>
      </c>
      <c r="N51" s="706">
        <f t="shared" si="24"/>
        <v>408480227.28398573</v>
      </c>
      <c r="O51" s="2"/>
      <c r="P51" s="706">
        <f>SUM(P52:P54)</f>
        <v>340455028.43852389</v>
      </c>
      <c r="Q51" s="706">
        <f t="shared" ref="Q51:R51" si="25">SUM(Q52:Q54)</f>
        <v>142676976.33333334</v>
      </c>
      <c r="R51" s="706">
        <f t="shared" si="25"/>
        <v>483132004.77185726</v>
      </c>
    </row>
    <row r="52" spans="1:18">
      <c r="A52" s="2">
        <f>A49+1</f>
        <v>42</v>
      </c>
      <c r="B52" s="2"/>
      <c r="D52" t="s">
        <v>2152</v>
      </c>
      <c r="E52" s="2" t="s">
        <v>2153</v>
      </c>
      <c r="H52" s="717">
        <v>101468197.94821844</v>
      </c>
      <c r="I52" s="717">
        <v>3422222.2222222225</v>
      </c>
      <c r="J52" s="717">
        <f t="shared" ref="J52:J54" si="26">H52+I52</f>
        <v>104890420.17044066</v>
      </c>
      <c r="K52" s="410"/>
      <c r="L52" s="717">
        <v>186861416.72020799</v>
      </c>
      <c r="M52" s="717">
        <v>5944444.444444445</v>
      </c>
      <c r="N52" s="717">
        <f t="shared" ref="N52:N54" si="27">L52+M52</f>
        <v>192805861.16465244</v>
      </c>
      <c r="O52" s="2"/>
      <c r="P52" s="717">
        <v>197498409.09852391</v>
      </c>
      <c r="Q52" s="717">
        <v>13333333.333333332</v>
      </c>
      <c r="R52" s="717">
        <f t="shared" ref="R52:R54" si="28">P52+Q52</f>
        <v>210831742.43185726</v>
      </c>
    </row>
    <row r="53" spans="1:18">
      <c r="A53" s="2">
        <f t="shared" si="22"/>
        <v>43</v>
      </c>
      <c r="B53" s="2"/>
      <c r="D53" t="s">
        <v>2154</v>
      </c>
      <c r="E53" s="2" t="s">
        <v>2155</v>
      </c>
      <c r="H53" s="717">
        <v>45258737.491028577</v>
      </c>
      <c r="I53" s="717">
        <v>77932473.859999999</v>
      </c>
      <c r="J53" s="717">
        <f t="shared" si="26"/>
        <v>123191211.35102858</v>
      </c>
      <c r="K53" s="410"/>
      <c r="L53" s="717">
        <v>96483044.749333337</v>
      </c>
      <c r="M53" s="717">
        <v>114887321.37</v>
      </c>
      <c r="N53" s="717">
        <f t="shared" si="27"/>
        <v>211370366.11933333</v>
      </c>
      <c r="O53" s="2"/>
      <c r="P53" s="717">
        <v>142956619.34</v>
      </c>
      <c r="Q53" s="717">
        <v>129043643</v>
      </c>
      <c r="R53" s="717">
        <f t="shared" si="28"/>
        <v>272000262.34000003</v>
      </c>
    </row>
    <row r="54" spans="1:18">
      <c r="A54" s="2">
        <f t="shared" si="22"/>
        <v>44</v>
      </c>
      <c r="B54" s="2"/>
      <c r="D54" t="s">
        <v>2156</v>
      </c>
      <c r="E54" s="2" t="s">
        <v>2157</v>
      </c>
      <c r="H54" s="717">
        <v>7470000</v>
      </c>
      <c r="I54" s="717">
        <v>300000</v>
      </c>
      <c r="J54" s="717">
        <f t="shared" si="26"/>
        <v>7770000</v>
      </c>
      <c r="K54" s="410"/>
      <c r="L54" s="717">
        <v>4004000</v>
      </c>
      <c r="M54" s="717">
        <v>300000</v>
      </c>
      <c r="N54" s="717">
        <f t="shared" si="27"/>
        <v>4304000</v>
      </c>
      <c r="O54" s="2"/>
      <c r="P54" s="717">
        <v>0</v>
      </c>
      <c r="Q54" s="717">
        <v>300000</v>
      </c>
      <c r="R54" s="717">
        <f t="shared" si="28"/>
        <v>300000</v>
      </c>
    </row>
    <row r="55" spans="1:18">
      <c r="A55" s="2"/>
      <c r="B55" s="2"/>
      <c r="D55"/>
      <c r="K55" s="410"/>
      <c r="O55" s="2"/>
    </row>
    <row r="56" spans="1:18">
      <c r="A56" s="2"/>
      <c r="B56" s="2"/>
      <c r="C56" s="705" t="s">
        <v>2158</v>
      </c>
      <c r="D56" s="63"/>
      <c r="E56" s="63"/>
      <c r="F56" s="706"/>
      <c r="G56" s="706"/>
      <c r="H56" s="706">
        <f>SUM(H57:H60)</f>
        <v>34931047</v>
      </c>
      <c r="I56" s="706">
        <f>SUM(I57:I60)</f>
        <v>37129634.920000002</v>
      </c>
      <c r="J56" s="706">
        <f>SUM(J57:J60)</f>
        <v>72060681.920000002</v>
      </c>
      <c r="K56" s="410"/>
      <c r="L56" s="706">
        <f>SUM(L57:L60)</f>
        <v>58784254</v>
      </c>
      <c r="M56" s="706">
        <f>SUM(M57:M60)</f>
        <v>9163706</v>
      </c>
      <c r="N56" s="706">
        <f>SUM(N57:N60)</f>
        <v>67947960</v>
      </c>
      <c r="O56" s="2"/>
      <c r="P56" s="706">
        <f>SUM(P57:P60)</f>
        <v>67258146.730000004</v>
      </c>
      <c r="Q56" s="706">
        <f>SUM(Q57:Q60)</f>
        <v>17750478</v>
      </c>
      <c r="R56" s="706">
        <f>SUM(R57:R60)</f>
        <v>85008624.730000004</v>
      </c>
    </row>
    <row r="57" spans="1:18">
      <c r="A57" s="2">
        <f>A54+1</f>
        <v>45</v>
      </c>
      <c r="B57" s="2"/>
      <c r="D57" t="s">
        <v>2159</v>
      </c>
      <c r="E57" s="2" t="s">
        <v>2160</v>
      </c>
      <c r="H57" s="717">
        <v>11061388</v>
      </c>
      <c r="I57" s="717">
        <v>34059635</v>
      </c>
      <c r="J57" s="717">
        <f t="shared" ref="J57:J59" si="29">H57+I57</f>
        <v>45121023</v>
      </c>
      <c r="K57" s="410"/>
      <c r="L57" s="717">
        <v>18803013</v>
      </c>
      <c r="M57" s="717">
        <v>9079706</v>
      </c>
      <c r="N57" s="717">
        <f t="shared" ref="N57:N59" si="30">L57+M57</f>
        <v>27882719</v>
      </c>
      <c r="O57" s="2"/>
      <c r="P57" s="717">
        <v>15943946</v>
      </c>
      <c r="Q57" s="717">
        <v>17666478</v>
      </c>
      <c r="R57" s="717">
        <f t="shared" ref="R57:R59" si="31">P57+Q57</f>
        <v>33610424</v>
      </c>
    </row>
    <row r="58" spans="1:18">
      <c r="A58" s="2">
        <f>A57+1</f>
        <v>46</v>
      </c>
      <c r="B58" s="2"/>
      <c r="D58" t="s">
        <v>2161</v>
      </c>
      <c r="E58" s="2" t="s">
        <v>2162</v>
      </c>
      <c r="H58" s="717">
        <v>14923222</v>
      </c>
      <c r="I58" s="717">
        <v>2950000</v>
      </c>
      <c r="J58" s="717">
        <f t="shared" si="29"/>
        <v>17873222</v>
      </c>
      <c r="K58" s="410"/>
      <c r="L58" s="717">
        <v>6033411</v>
      </c>
      <c r="M58" s="717">
        <v>0</v>
      </c>
      <c r="N58" s="717">
        <f t="shared" si="30"/>
        <v>6033411</v>
      </c>
      <c r="O58" s="2"/>
      <c r="P58" s="717">
        <v>11174927.73</v>
      </c>
      <c r="Q58" s="717">
        <v>0</v>
      </c>
      <c r="R58" s="717">
        <f t="shared" si="31"/>
        <v>11174927.73</v>
      </c>
    </row>
    <row r="59" spans="1:18">
      <c r="A59" s="2">
        <f t="shared" ref="A59:A60" si="32">A58+1</f>
        <v>47</v>
      </c>
      <c r="B59" s="2"/>
      <c r="D59" t="s">
        <v>2163</v>
      </c>
      <c r="E59" s="2" t="s">
        <v>2164</v>
      </c>
      <c r="H59" s="717">
        <v>8946436.9999999981</v>
      </c>
      <c r="I59" s="717">
        <v>0</v>
      </c>
      <c r="J59" s="717">
        <f t="shared" si="29"/>
        <v>8946436.9999999981</v>
      </c>
      <c r="K59" s="410"/>
      <c r="L59" s="717">
        <v>33947830</v>
      </c>
      <c r="M59" s="717">
        <v>0</v>
      </c>
      <c r="N59" s="717">
        <f t="shared" si="30"/>
        <v>33947830</v>
      </c>
      <c r="O59" s="2"/>
      <c r="P59" s="717">
        <v>40139273</v>
      </c>
      <c r="Q59" s="717">
        <v>0</v>
      </c>
      <c r="R59" s="717">
        <f t="shared" si="31"/>
        <v>40139273</v>
      </c>
    </row>
    <row r="60" spans="1:18">
      <c r="A60" s="2">
        <f t="shared" si="32"/>
        <v>48</v>
      </c>
      <c r="B60" s="2"/>
      <c r="D60" t="s">
        <v>2165</v>
      </c>
      <c r="E60" s="2" t="s">
        <v>2166</v>
      </c>
      <c r="H60" s="717">
        <v>0</v>
      </c>
      <c r="I60" s="717">
        <v>119999.92000000001</v>
      </c>
      <c r="J60" s="717">
        <f>H60+I60</f>
        <v>119999.92000000001</v>
      </c>
      <c r="K60" s="410"/>
      <c r="L60" s="717">
        <v>0</v>
      </c>
      <c r="M60" s="717">
        <v>84000</v>
      </c>
      <c r="N60" s="717">
        <f>L60+M60</f>
        <v>84000</v>
      </c>
      <c r="O60" s="2"/>
      <c r="P60" s="717">
        <v>0</v>
      </c>
      <c r="Q60" s="717">
        <v>84000</v>
      </c>
      <c r="R60" s="717">
        <f>P60+Q60</f>
        <v>84000</v>
      </c>
    </row>
    <row r="61" spans="1:18">
      <c r="A61" s="2"/>
      <c r="B61" s="2"/>
      <c r="D61"/>
      <c r="K61" s="410"/>
      <c r="O61" s="2"/>
    </row>
    <row r="62" spans="1:18">
      <c r="A62" s="2"/>
      <c r="B62" s="2"/>
      <c r="C62" s="705" t="s">
        <v>2167</v>
      </c>
      <c r="D62" s="63"/>
      <c r="E62" s="63"/>
      <c r="F62" s="706"/>
      <c r="G62" s="706"/>
      <c r="H62" s="706">
        <f>SUM(H63:H74)</f>
        <v>179816787.01552263</v>
      </c>
      <c r="I62" s="706">
        <f>SUM(I63:I74)</f>
        <v>55889504.549477279</v>
      </c>
      <c r="J62" s="706">
        <f t="shared" ref="J62:J74" si="33">H62+I62</f>
        <v>235706291.56499991</v>
      </c>
      <c r="K62" s="410"/>
      <c r="L62" s="706">
        <f>SUM(L63:L74)</f>
        <v>290021334.34213561</v>
      </c>
      <c r="M62" s="706">
        <f>SUM(M63:M74)</f>
        <v>43770454.995576575</v>
      </c>
      <c r="N62" s="706">
        <f t="shared" ref="N62:N74" si="34">L62+M62</f>
        <v>333791789.33771217</v>
      </c>
      <c r="O62" s="2"/>
      <c r="P62" s="706">
        <f>SUM(P63:P74)</f>
        <v>439361069.20726955</v>
      </c>
      <c r="Q62" s="706">
        <f>SUM(Q63:Q74)</f>
        <v>48079796.338731147</v>
      </c>
      <c r="R62" s="706">
        <f t="shared" ref="R62:R74" si="35">P62+Q62</f>
        <v>487440865.54600072</v>
      </c>
    </row>
    <row r="63" spans="1:18">
      <c r="A63" s="2">
        <f>A60+1</f>
        <v>49</v>
      </c>
      <c r="B63" s="2"/>
      <c r="D63" t="s">
        <v>2168</v>
      </c>
      <c r="E63" s="2" t="s">
        <v>2169</v>
      </c>
      <c r="H63" s="717">
        <v>133379828.93000001</v>
      </c>
      <c r="I63" s="717">
        <v>0</v>
      </c>
      <c r="J63" s="717">
        <f t="shared" si="33"/>
        <v>133379828.93000001</v>
      </c>
      <c r="K63" s="410"/>
      <c r="L63" s="717">
        <v>204006016.82114562</v>
      </c>
      <c r="M63" s="717">
        <v>0</v>
      </c>
      <c r="N63" s="717">
        <f t="shared" si="34"/>
        <v>204006016.82114562</v>
      </c>
      <c r="O63" s="2"/>
      <c r="P63" s="717">
        <v>348801067.11926955</v>
      </c>
      <c r="Q63" s="717">
        <v>0</v>
      </c>
      <c r="R63" s="717">
        <f t="shared" si="35"/>
        <v>348801067.11926955</v>
      </c>
    </row>
    <row r="64" spans="1:18">
      <c r="A64" s="2">
        <f t="shared" si="22"/>
        <v>50</v>
      </c>
      <c r="B64" s="2"/>
      <c r="D64" t="s">
        <v>2170</v>
      </c>
      <c r="E64" s="2" t="s">
        <v>2171</v>
      </c>
      <c r="H64" s="717">
        <v>0</v>
      </c>
      <c r="I64" s="717">
        <v>35079969.07</v>
      </c>
      <c r="J64" s="717">
        <f t="shared" si="33"/>
        <v>35079969.07</v>
      </c>
      <c r="K64" s="410"/>
      <c r="L64" s="717">
        <v>0</v>
      </c>
      <c r="M64" s="717">
        <v>22270531.225321598</v>
      </c>
      <c r="N64" s="717">
        <f t="shared" si="34"/>
        <v>22270531.225321598</v>
      </c>
      <c r="O64" s="2"/>
      <c r="P64" s="717">
        <v>0</v>
      </c>
      <c r="Q64" s="717">
        <v>21111191.725321598</v>
      </c>
      <c r="R64" s="717">
        <f t="shared" si="35"/>
        <v>21111191.725321598</v>
      </c>
    </row>
    <row r="65" spans="1:18">
      <c r="A65" s="2">
        <f t="shared" si="22"/>
        <v>51</v>
      </c>
      <c r="B65" s="2"/>
      <c r="D65" t="s">
        <v>2172</v>
      </c>
      <c r="E65" s="2" t="s">
        <v>2173</v>
      </c>
      <c r="H65" s="717">
        <v>0</v>
      </c>
      <c r="I65" s="717">
        <v>6223920</v>
      </c>
      <c r="J65" s="717">
        <f t="shared" si="33"/>
        <v>6223920</v>
      </c>
      <c r="K65" s="410"/>
      <c r="L65" s="717">
        <v>0</v>
      </c>
      <c r="M65" s="717">
        <v>4391712</v>
      </c>
      <c r="N65" s="717">
        <f t="shared" si="34"/>
        <v>4391712</v>
      </c>
      <c r="O65" s="2"/>
      <c r="P65" s="717">
        <v>0</v>
      </c>
      <c r="Q65" s="717">
        <v>4567380.4800000004</v>
      </c>
      <c r="R65" s="717">
        <f t="shared" si="35"/>
        <v>4567380.4800000004</v>
      </c>
    </row>
    <row r="66" spans="1:18">
      <c r="A66" s="2">
        <f t="shared" si="22"/>
        <v>52</v>
      </c>
      <c r="B66" s="2"/>
      <c r="D66" t="s">
        <v>2174</v>
      </c>
      <c r="E66" s="2" t="s">
        <v>2175</v>
      </c>
      <c r="H66" s="717">
        <v>0</v>
      </c>
      <c r="I66" s="717">
        <v>0</v>
      </c>
      <c r="J66" s="717">
        <f t="shared" si="33"/>
        <v>0</v>
      </c>
      <c r="K66" s="410"/>
      <c r="L66" s="717">
        <v>0</v>
      </c>
      <c r="M66" s="717">
        <v>0</v>
      </c>
      <c r="N66" s="717">
        <f t="shared" si="34"/>
        <v>0</v>
      </c>
      <c r="O66" s="2"/>
      <c r="P66" s="717">
        <v>0</v>
      </c>
      <c r="Q66" s="717">
        <v>0</v>
      </c>
      <c r="R66" s="717">
        <f t="shared" si="35"/>
        <v>0</v>
      </c>
    </row>
    <row r="67" spans="1:18">
      <c r="A67" s="2">
        <f t="shared" si="22"/>
        <v>53</v>
      </c>
      <c r="B67" s="2"/>
      <c r="D67" t="s">
        <v>2176</v>
      </c>
      <c r="E67" s="2" t="s">
        <v>2177</v>
      </c>
      <c r="H67" s="717">
        <v>0</v>
      </c>
      <c r="I67" s="717">
        <v>0</v>
      </c>
      <c r="J67" s="717">
        <f t="shared" si="33"/>
        <v>0</v>
      </c>
      <c r="K67" s="410"/>
      <c r="L67" s="717">
        <v>0</v>
      </c>
      <c r="M67" s="717">
        <v>0</v>
      </c>
      <c r="N67" s="717">
        <f t="shared" si="34"/>
        <v>0</v>
      </c>
      <c r="O67" s="2"/>
      <c r="P67" s="717">
        <v>0</v>
      </c>
      <c r="Q67" s="717">
        <v>0</v>
      </c>
      <c r="R67" s="717">
        <f t="shared" si="35"/>
        <v>0</v>
      </c>
    </row>
    <row r="68" spans="1:18">
      <c r="A68" s="2">
        <f t="shared" si="22"/>
        <v>54</v>
      </c>
      <c r="B68" s="2"/>
      <c r="D68" t="s">
        <v>2178</v>
      </c>
      <c r="E68" s="2" t="s">
        <v>2179</v>
      </c>
      <c r="H68" s="717">
        <v>0</v>
      </c>
      <c r="I68" s="717">
        <v>3400000.0033333339</v>
      </c>
      <c r="J68" s="717">
        <f t="shared" si="33"/>
        <v>3400000.0033333339</v>
      </c>
      <c r="K68" s="410"/>
      <c r="L68" s="717">
        <v>0</v>
      </c>
      <c r="M68" s="717">
        <v>4565600</v>
      </c>
      <c r="N68" s="717">
        <f t="shared" si="34"/>
        <v>4565600</v>
      </c>
      <c r="O68" s="2"/>
      <c r="P68" s="717">
        <v>0</v>
      </c>
      <c r="Q68" s="717">
        <v>4565600</v>
      </c>
      <c r="R68" s="717">
        <f t="shared" si="35"/>
        <v>4565600</v>
      </c>
    </row>
    <row r="69" spans="1:18">
      <c r="A69" s="2">
        <f t="shared" si="22"/>
        <v>55</v>
      </c>
      <c r="B69" s="2"/>
      <c r="D69" t="s">
        <v>2180</v>
      </c>
      <c r="E69" s="2" t="s">
        <v>2181</v>
      </c>
      <c r="H69" s="717">
        <v>0</v>
      </c>
      <c r="I69" s="717">
        <v>474999.99999999994</v>
      </c>
      <c r="J69" s="717">
        <f t="shared" si="33"/>
        <v>474999.99999999994</v>
      </c>
      <c r="K69" s="410"/>
      <c r="L69" s="717">
        <v>0</v>
      </c>
      <c r="M69" s="717">
        <v>50000</v>
      </c>
      <c r="N69" s="717">
        <f t="shared" si="34"/>
        <v>50000</v>
      </c>
      <c r="O69" s="2"/>
      <c r="P69" s="717">
        <v>0</v>
      </c>
      <c r="Q69" s="717">
        <v>50000</v>
      </c>
      <c r="R69" s="717">
        <f t="shared" si="35"/>
        <v>50000</v>
      </c>
    </row>
    <row r="70" spans="1:18">
      <c r="A70" s="2">
        <f t="shared" si="22"/>
        <v>56</v>
      </c>
      <c r="B70" s="2"/>
      <c r="D70" t="s">
        <v>2182</v>
      </c>
      <c r="E70" s="2" t="s">
        <v>2183</v>
      </c>
      <c r="H70" s="717">
        <v>0</v>
      </c>
      <c r="I70" s="717">
        <v>0</v>
      </c>
      <c r="J70" s="717">
        <f t="shared" si="33"/>
        <v>0</v>
      </c>
      <c r="K70" s="410"/>
      <c r="L70" s="717">
        <v>0</v>
      </c>
      <c r="M70" s="717">
        <v>0</v>
      </c>
      <c r="N70" s="717">
        <f t="shared" si="34"/>
        <v>0</v>
      </c>
      <c r="O70" s="2"/>
      <c r="P70" s="717">
        <v>0</v>
      </c>
      <c r="Q70" s="717">
        <v>0</v>
      </c>
      <c r="R70" s="717">
        <f t="shared" si="35"/>
        <v>0</v>
      </c>
    </row>
    <row r="71" spans="1:18">
      <c r="A71" s="2">
        <f t="shared" si="22"/>
        <v>57</v>
      </c>
      <c r="B71" s="2"/>
      <c r="D71" t="s">
        <v>2184</v>
      </c>
      <c r="E71" s="2" t="s">
        <v>2185</v>
      </c>
      <c r="H71" s="717">
        <v>249480</v>
      </c>
      <c r="I71" s="717">
        <v>2335084.7994900001</v>
      </c>
      <c r="J71" s="717">
        <f t="shared" si="33"/>
        <v>2584564.7994900001</v>
      </c>
      <c r="K71" s="410"/>
      <c r="L71" s="717">
        <v>259459.20000000001</v>
      </c>
      <c r="M71" s="717">
        <v>787810.97099000018</v>
      </c>
      <c r="N71" s="717">
        <f t="shared" si="34"/>
        <v>1047270.1709900002</v>
      </c>
      <c r="O71" s="2"/>
      <c r="P71" s="717">
        <v>269837.56800000003</v>
      </c>
      <c r="Q71" s="717">
        <v>658298.21259000013</v>
      </c>
      <c r="R71" s="717">
        <f t="shared" si="35"/>
        <v>928135.7805900001</v>
      </c>
    </row>
    <row r="72" spans="1:18">
      <c r="A72" s="2">
        <f t="shared" si="22"/>
        <v>58</v>
      </c>
      <c r="B72" s="2"/>
      <c r="D72" t="s">
        <v>2186</v>
      </c>
      <c r="E72" s="2" t="s">
        <v>2187</v>
      </c>
      <c r="H72" s="717">
        <v>0</v>
      </c>
      <c r="I72" s="717">
        <v>0</v>
      </c>
      <c r="J72" s="717">
        <f t="shared" si="33"/>
        <v>0</v>
      </c>
      <c r="K72" s="410"/>
      <c r="L72" s="717">
        <v>0</v>
      </c>
      <c r="M72" s="717">
        <v>0</v>
      </c>
      <c r="N72" s="717">
        <f t="shared" si="34"/>
        <v>0</v>
      </c>
      <c r="O72" s="2"/>
      <c r="P72" s="717">
        <v>0</v>
      </c>
      <c r="Q72" s="717">
        <v>0</v>
      </c>
      <c r="R72" s="717">
        <f t="shared" si="35"/>
        <v>0</v>
      </c>
    </row>
    <row r="73" spans="1:18">
      <c r="A73" s="2">
        <f t="shared" si="22"/>
        <v>59</v>
      </c>
      <c r="B73" s="2"/>
      <c r="D73" t="s">
        <v>2188</v>
      </c>
      <c r="E73" s="2" t="s">
        <v>2189</v>
      </c>
      <c r="H73" s="717">
        <v>11067000</v>
      </c>
      <c r="I73" s="717">
        <v>8375530.6766539458</v>
      </c>
      <c r="J73" s="717">
        <f t="shared" si="33"/>
        <v>19442530.676653944</v>
      </c>
      <c r="K73" s="410"/>
      <c r="L73" s="717">
        <v>9000000</v>
      </c>
      <c r="M73" s="717">
        <v>11704800.799264975</v>
      </c>
      <c r="N73" s="717">
        <f t="shared" si="34"/>
        <v>20704800.799264975</v>
      </c>
      <c r="O73" s="2"/>
      <c r="P73" s="717">
        <v>4500000</v>
      </c>
      <c r="Q73" s="717">
        <v>17127325.920819547</v>
      </c>
      <c r="R73" s="717">
        <f t="shared" si="35"/>
        <v>21627325.920819547</v>
      </c>
    </row>
    <row r="74" spans="1:18">
      <c r="A74" s="2">
        <f t="shared" si="22"/>
        <v>60</v>
      </c>
      <c r="B74" s="2"/>
      <c r="D74" t="s">
        <v>2190</v>
      </c>
      <c r="E74" s="2" t="s">
        <v>2191</v>
      </c>
      <c r="H74" s="717">
        <v>35120478.085522622</v>
      </c>
      <c r="I74" s="717">
        <v>0</v>
      </c>
      <c r="J74" s="717">
        <f t="shared" si="33"/>
        <v>35120478.085522622</v>
      </c>
      <c r="K74" s="410"/>
      <c r="L74" s="717">
        <v>76755858.320989996</v>
      </c>
      <c r="M74" s="717">
        <v>0</v>
      </c>
      <c r="N74" s="717">
        <f t="shared" si="34"/>
        <v>76755858.320989996</v>
      </c>
      <c r="O74" s="2"/>
      <c r="P74" s="717">
        <v>85790164.519999996</v>
      </c>
      <c r="Q74" s="717">
        <v>0</v>
      </c>
      <c r="R74" s="717">
        <f t="shared" si="35"/>
        <v>85790164.519999996</v>
      </c>
    </row>
    <row r="75" spans="1:18">
      <c r="A75" s="2"/>
      <c r="B75" s="2"/>
      <c r="D75"/>
      <c r="K75" s="410"/>
      <c r="O75" s="2"/>
    </row>
    <row r="76" spans="1:18">
      <c r="A76" s="2"/>
      <c r="B76" s="2"/>
      <c r="C76" s="705" t="s">
        <v>262</v>
      </c>
      <c r="D76" s="63"/>
      <c r="E76" s="63"/>
      <c r="F76" s="706"/>
      <c r="G76" s="706"/>
      <c r="H76" s="706">
        <f>SUM(H77:H87)</f>
        <v>6157929.9995999997</v>
      </c>
      <c r="I76" s="706">
        <f>SUM(I77:I87)</f>
        <v>31562404.637478381</v>
      </c>
      <c r="J76" s="706">
        <f t="shared" ref="J76:J87" si="36">H76+I76</f>
        <v>37720334.637078382</v>
      </c>
      <c r="K76" s="410"/>
      <c r="L76" s="706">
        <f>SUM(L77:L87)</f>
        <v>16313544</v>
      </c>
      <c r="M76" s="706">
        <f>SUM(M77:M87)</f>
        <v>40552962.094141461</v>
      </c>
      <c r="N76" s="706">
        <f t="shared" ref="N76:N87" si="37">L76+M76</f>
        <v>56866506.094141461</v>
      </c>
      <c r="O76" s="2"/>
      <c r="P76" s="706">
        <f>SUM(P77:P87)</f>
        <v>15565921.5</v>
      </c>
      <c r="Q76" s="706">
        <f>SUM(Q77:Q87)</f>
        <v>26631088.741717171</v>
      </c>
      <c r="R76" s="706">
        <f t="shared" ref="R76:R87" si="38">P76+Q76</f>
        <v>42197010.241717175</v>
      </c>
    </row>
    <row r="77" spans="1:18">
      <c r="A77" s="2">
        <f>A74+1</f>
        <v>61</v>
      </c>
      <c r="B77" s="2"/>
      <c r="D77" t="s">
        <v>2192</v>
      </c>
      <c r="E77" s="2" t="s">
        <v>2193</v>
      </c>
      <c r="H77" s="717">
        <v>0</v>
      </c>
      <c r="I77" s="717">
        <v>0</v>
      </c>
      <c r="J77" s="717">
        <f t="shared" si="36"/>
        <v>0</v>
      </c>
      <c r="K77" s="410"/>
      <c r="L77" s="717">
        <v>0</v>
      </c>
      <c r="M77" s="717">
        <v>0</v>
      </c>
      <c r="N77" s="717">
        <f t="shared" si="37"/>
        <v>0</v>
      </c>
      <c r="O77" s="2"/>
      <c r="P77" s="717">
        <v>0</v>
      </c>
      <c r="Q77" s="717">
        <v>0</v>
      </c>
      <c r="R77" s="717">
        <f t="shared" si="38"/>
        <v>0</v>
      </c>
    </row>
    <row r="78" spans="1:18">
      <c r="A78" s="2">
        <f>A77+1</f>
        <v>62</v>
      </c>
      <c r="B78" s="2"/>
      <c r="D78" t="s">
        <v>2194</v>
      </c>
      <c r="E78" s="2" t="s">
        <v>2195</v>
      </c>
      <c r="H78" s="717">
        <v>5846664</v>
      </c>
      <c r="I78" s="717">
        <v>11543744.727817772</v>
      </c>
      <c r="J78" s="717">
        <f t="shared" si="36"/>
        <v>17390408.727817774</v>
      </c>
      <c r="K78" s="410"/>
      <c r="L78" s="717">
        <v>16299144</v>
      </c>
      <c r="M78" s="717">
        <v>17812076.670000002</v>
      </c>
      <c r="N78" s="717">
        <f t="shared" si="37"/>
        <v>34111220.670000002</v>
      </c>
      <c r="O78" s="2"/>
      <c r="P78" s="717">
        <v>9205394</v>
      </c>
      <c r="Q78" s="717">
        <v>7422505.7355555557</v>
      </c>
      <c r="R78" s="717">
        <f t="shared" si="38"/>
        <v>16627899.735555556</v>
      </c>
    </row>
    <row r="79" spans="1:18">
      <c r="A79" s="2">
        <f>A77+1</f>
        <v>62</v>
      </c>
      <c r="B79" s="2"/>
      <c r="D79" t="s">
        <v>2196</v>
      </c>
      <c r="E79" s="2" t="s">
        <v>2197</v>
      </c>
      <c r="H79" s="717">
        <v>0</v>
      </c>
      <c r="I79" s="717">
        <v>0</v>
      </c>
      <c r="J79" s="717">
        <f t="shared" si="36"/>
        <v>0</v>
      </c>
      <c r="K79" s="410"/>
      <c r="L79" s="717">
        <v>0</v>
      </c>
      <c r="M79" s="717">
        <v>0</v>
      </c>
      <c r="N79" s="717">
        <f t="shared" si="37"/>
        <v>0</v>
      </c>
      <c r="O79" s="2"/>
      <c r="P79" s="717">
        <v>0</v>
      </c>
      <c r="Q79" s="717">
        <v>0</v>
      </c>
      <c r="R79" s="717">
        <f t="shared" si="38"/>
        <v>0</v>
      </c>
    </row>
    <row r="80" spans="1:18">
      <c r="A80" s="2">
        <f t="shared" ref="A80:A87" si="39">A78+1</f>
        <v>63</v>
      </c>
      <c r="B80" s="2"/>
      <c r="D80" t="s">
        <v>2198</v>
      </c>
      <c r="E80" s="2" t="s">
        <v>2199</v>
      </c>
      <c r="H80" s="717">
        <v>0</v>
      </c>
      <c r="I80" s="717">
        <v>0</v>
      </c>
      <c r="J80" s="717">
        <f t="shared" si="36"/>
        <v>0</v>
      </c>
      <c r="K80" s="410"/>
      <c r="L80" s="717">
        <v>0</v>
      </c>
      <c r="M80" s="717">
        <v>0</v>
      </c>
      <c r="N80" s="717">
        <f t="shared" si="37"/>
        <v>0</v>
      </c>
      <c r="O80" s="2"/>
      <c r="P80" s="717">
        <v>0</v>
      </c>
      <c r="Q80" s="717">
        <v>0</v>
      </c>
      <c r="R80" s="717">
        <f t="shared" si="38"/>
        <v>0</v>
      </c>
    </row>
    <row r="81" spans="1:18">
      <c r="A81" s="2">
        <f t="shared" si="39"/>
        <v>63</v>
      </c>
      <c r="B81" s="2"/>
      <c r="D81" t="s">
        <v>2200</v>
      </c>
      <c r="E81" s="2" t="s">
        <v>2201</v>
      </c>
      <c r="H81" s="717">
        <v>0</v>
      </c>
      <c r="I81" s="717">
        <v>7390888.8995555574</v>
      </c>
      <c r="J81" s="717">
        <f t="shared" si="36"/>
        <v>7390888.8995555574</v>
      </c>
      <c r="K81" s="410"/>
      <c r="L81" s="717">
        <v>0</v>
      </c>
      <c r="M81" s="717">
        <v>5505904.4544444438</v>
      </c>
      <c r="N81" s="717">
        <f t="shared" si="37"/>
        <v>5505904.4544444438</v>
      </c>
      <c r="O81" s="2"/>
      <c r="P81" s="717">
        <v>0</v>
      </c>
      <c r="Q81" s="717">
        <v>3222840.6255555553</v>
      </c>
      <c r="R81" s="717">
        <f t="shared" si="38"/>
        <v>3222840.6255555553</v>
      </c>
    </row>
    <row r="82" spans="1:18">
      <c r="A82" s="2">
        <f t="shared" si="39"/>
        <v>64</v>
      </c>
      <c r="B82" s="2"/>
      <c r="D82" t="s">
        <v>2202</v>
      </c>
      <c r="E82" s="2" t="s">
        <v>2203</v>
      </c>
      <c r="H82" s="717">
        <v>0</v>
      </c>
      <c r="I82" s="717">
        <v>0</v>
      </c>
      <c r="J82" s="717">
        <f t="shared" si="36"/>
        <v>0</v>
      </c>
      <c r="K82" s="410"/>
      <c r="L82" s="717">
        <v>0</v>
      </c>
      <c r="M82" s="717">
        <v>0</v>
      </c>
      <c r="N82" s="717">
        <f t="shared" si="37"/>
        <v>0</v>
      </c>
      <c r="O82" s="2"/>
      <c r="P82" s="717">
        <v>0</v>
      </c>
      <c r="Q82" s="717">
        <v>0</v>
      </c>
      <c r="R82" s="717">
        <f t="shared" si="38"/>
        <v>0</v>
      </c>
    </row>
    <row r="83" spans="1:18">
      <c r="A83" s="2">
        <f t="shared" si="39"/>
        <v>64</v>
      </c>
      <c r="D83" t="s">
        <v>2204</v>
      </c>
      <c r="E83" s="2" t="s">
        <v>2205</v>
      </c>
      <c r="H83" s="717">
        <v>0</v>
      </c>
      <c r="I83" s="717">
        <v>0</v>
      </c>
      <c r="J83" s="717">
        <f t="shared" si="36"/>
        <v>0</v>
      </c>
      <c r="K83" s="410"/>
      <c r="L83" s="717">
        <v>0</v>
      </c>
      <c r="M83" s="717">
        <v>0</v>
      </c>
      <c r="N83" s="717">
        <f t="shared" si="37"/>
        <v>0</v>
      </c>
      <c r="O83" s="2"/>
      <c r="P83" s="717">
        <v>0</v>
      </c>
      <c r="Q83" s="717">
        <v>0</v>
      </c>
      <c r="R83" s="717">
        <f t="shared" si="38"/>
        <v>0</v>
      </c>
    </row>
    <row r="84" spans="1:18">
      <c r="A84" s="2">
        <f t="shared" si="39"/>
        <v>65</v>
      </c>
      <c r="D84" t="s">
        <v>2206</v>
      </c>
      <c r="E84" s="2" t="s">
        <v>2207</v>
      </c>
      <c r="H84" s="717">
        <v>0</v>
      </c>
      <c r="I84" s="717">
        <v>3693227.2727272729</v>
      </c>
      <c r="J84" s="717">
        <f t="shared" si="36"/>
        <v>3693227.2727272729</v>
      </c>
      <c r="K84" s="410"/>
      <c r="L84" s="717">
        <v>0</v>
      </c>
      <c r="M84" s="717">
        <v>12624972.969697013</v>
      </c>
      <c r="N84" s="717">
        <f t="shared" si="37"/>
        <v>12624972.969697013</v>
      </c>
      <c r="O84" s="2"/>
      <c r="P84" s="717">
        <v>0</v>
      </c>
      <c r="Q84" s="717">
        <v>13482534.060606059</v>
      </c>
      <c r="R84" s="717">
        <f t="shared" si="38"/>
        <v>13482534.060606059</v>
      </c>
    </row>
    <row r="85" spans="1:18">
      <c r="A85" s="2">
        <f t="shared" si="39"/>
        <v>65</v>
      </c>
      <c r="D85" t="s">
        <v>2208</v>
      </c>
      <c r="E85" s="2" t="s">
        <v>2209</v>
      </c>
      <c r="H85" s="717">
        <v>0</v>
      </c>
      <c r="I85" s="717">
        <v>0</v>
      </c>
      <c r="J85" s="717">
        <f t="shared" si="36"/>
        <v>0</v>
      </c>
      <c r="K85" s="410"/>
      <c r="L85" s="717">
        <v>0</v>
      </c>
      <c r="M85" s="717">
        <v>0</v>
      </c>
      <c r="N85" s="717">
        <f t="shared" si="37"/>
        <v>0</v>
      </c>
      <c r="O85" s="2"/>
      <c r="P85" s="717">
        <v>0</v>
      </c>
      <c r="Q85" s="717">
        <v>0</v>
      </c>
      <c r="R85" s="717">
        <f t="shared" si="38"/>
        <v>0</v>
      </c>
    </row>
    <row r="86" spans="1:18">
      <c r="A86" s="2">
        <f t="shared" si="39"/>
        <v>66</v>
      </c>
      <c r="D86" t="s">
        <v>2210</v>
      </c>
      <c r="E86" s="2" t="s">
        <v>2211</v>
      </c>
      <c r="H86" s="717">
        <v>311265.99959999998</v>
      </c>
      <c r="I86" s="717">
        <v>2844543.7373777777</v>
      </c>
      <c r="J86" s="717">
        <f t="shared" si="36"/>
        <v>3155809.7369777774</v>
      </c>
      <c r="K86" s="410"/>
      <c r="L86" s="717">
        <v>14400</v>
      </c>
      <c r="M86" s="717">
        <v>580008</v>
      </c>
      <c r="N86" s="717">
        <f t="shared" si="37"/>
        <v>594408</v>
      </c>
      <c r="O86" s="2"/>
      <c r="P86" s="717">
        <v>6360527.5</v>
      </c>
      <c r="Q86" s="717">
        <v>603208.31999999995</v>
      </c>
      <c r="R86" s="717">
        <f t="shared" si="38"/>
        <v>6963735.8200000003</v>
      </c>
    </row>
    <row r="87" spans="1:18">
      <c r="A87" s="2">
        <f t="shared" si="39"/>
        <v>66</v>
      </c>
      <c r="B87" s="2"/>
      <c r="D87" t="s">
        <v>2212</v>
      </c>
      <c r="E87" s="2" t="s">
        <v>2213</v>
      </c>
      <c r="H87" s="717">
        <v>0</v>
      </c>
      <c r="I87" s="717">
        <v>6090000</v>
      </c>
      <c r="J87" s="717">
        <f t="shared" si="36"/>
        <v>6090000</v>
      </c>
      <c r="K87" s="410"/>
      <c r="L87" s="717">
        <v>0</v>
      </c>
      <c r="M87" s="717">
        <v>4030000</v>
      </c>
      <c r="N87" s="717">
        <f t="shared" si="37"/>
        <v>4030000</v>
      </c>
      <c r="O87" s="2"/>
      <c r="P87" s="717">
        <v>0</v>
      </c>
      <c r="Q87" s="717">
        <v>1900000</v>
      </c>
      <c r="R87" s="717">
        <f t="shared" si="38"/>
        <v>1900000</v>
      </c>
    </row>
    <row r="88" spans="1:18">
      <c r="A88" s="2"/>
      <c r="B88" s="2"/>
      <c r="D88"/>
      <c r="E88"/>
    </row>
    <row r="89" spans="1:18">
      <c r="A89" s="2">
        <f>A87+1</f>
        <v>67</v>
      </c>
      <c r="B89" s="2"/>
      <c r="C89" s="705" t="s">
        <v>258</v>
      </c>
      <c r="D89" s="63"/>
      <c r="E89" s="63"/>
      <c r="F89" s="706"/>
      <c r="G89" s="706"/>
      <c r="H89" s="706">
        <f>H90</f>
        <v>0</v>
      </c>
      <c r="I89" s="706">
        <f t="shared" ref="I89:Q89" si="40">I90</f>
        <v>29274848.571428571</v>
      </c>
      <c r="J89" s="706">
        <f t="shared" ref="J89:J90" si="41">H89+I89</f>
        <v>29274848.571428571</v>
      </c>
      <c r="K89" s="410"/>
      <c r="L89" s="706">
        <f t="shared" si="40"/>
        <v>0</v>
      </c>
      <c r="M89" s="706">
        <f t="shared" si="40"/>
        <v>28220825.714285716</v>
      </c>
      <c r="N89" s="706">
        <f t="shared" ref="N89:N90" si="42">L89+M89</f>
        <v>28220825.714285716</v>
      </c>
      <c r="O89" s="2"/>
      <c r="P89" s="706">
        <f t="shared" si="40"/>
        <v>0</v>
      </c>
      <c r="Q89" s="706">
        <f t="shared" si="40"/>
        <v>29221358.942857146</v>
      </c>
      <c r="R89" s="706">
        <f t="shared" ref="R89:R90" si="43">P89+Q89</f>
        <v>29221358.942857146</v>
      </c>
    </row>
    <row r="90" spans="1:18">
      <c r="A90" s="2">
        <f t="shared" si="22"/>
        <v>68</v>
      </c>
      <c r="B90" s="2"/>
      <c r="D90" t="s">
        <v>2501</v>
      </c>
      <c r="H90" s="717"/>
      <c r="I90" s="408">
        <v>29274848.571428571</v>
      </c>
      <c r="J90" s="717">
        <f t="shared" si="41"/>
        <v>29274848.571428571</v>
      </c>
      <c r="K90" s="410"/>
      <c r="L90" s="717"/>
      <c r="M90" s="717">
        <v>28220825.714285716</v>
      </c>
      <c r="N90" s="717">
        <f t="shared" si="42"/>
        <v>28220825.714285716</v>
      </c>
      <c r="O90" s="2"/>
      <c r="P90" s="717"/>
      <c r="Q90" s="717">
        <v>29221358.942857146</v>
      </c>
      <c r="R90" s="717">
        <f t="shared" si="43"/>
        <v>29221358.942857146</v>
      </c>
    </row>
    <row r="91" spans="1:18">
      <c r="A91" s="2"/>
      <c r="D91"/>
      <c r="K91" s="410"/>
      <c r="O91" s="2"/>
    </row>
    <row r="92" spans="1:18">
      <c r="A92" s="2">
        <f>A90+1</f>
        <v>69</v>
      </c>
      <c r="B92" s="2"/>
      <c r="C92" s="710" t="s">
        <v>656</v>
      </c>
      <c r="D92" s="63"/>
      <c r="E92" s="63"/>
      <c r="F92" s="706"/>
      <c r="G92" s="706"/>
      <c r="H92" s="724">
        <f>H5+H17+H38+H44+H51+H56+H62+H76+H89+H35</f>
        <v>1533755685.2136185</v>
      </c>
      <c r="I92" s="724">
        <f>I5+I17+I38+I44+I51+I56+I62+I76+I89+I35</f>
        <v>638277486.46374106</v>
      </c>
      <c r="J92" s="724">
        <f>J5+J17+J38+J44+J51+J56+J62+J76+J89+J35</f>
        <v>2172033171.6773596</v>
      </c>
      <c r="K92" s="410"/>
      <c r="L92" s="724">
        <f>L5+L17+L38+L44+L51+L56+L62+L76+L89+L35</f>
        <v>2055482497.8424253</v>
      </c>
      <c r="M92" s="724">
        <f>M5+M17+M38+M44+M51+M56+M62+M76+M89+M35</f>
        <v>713671353.95831192</v>
      </c>
      <c r="N92" s="724">
        <f>N5+N17+N38+N44+N51+N56+N62+N76+N89+N35</f>
        <v>2769153851.8007374</v>
      </c>
      <c r="O92" s="2"/>
      <c r="P92" s="724">
        <f>P5+P17+P38+P44+P51+P56+P62+P76+P89+P35</f>
        <v>2022518272.416079</v>
      </c>
      <c r="Q92" s="724">
        <f>Q5+Q17+Q38+Q44+Q51+Q56+Q62+Q76+Q89+Q35</f>
        <v>814829188.06428349</v>
      </c>
      <c r="R92" s="724">
        <f>R5+R17+R38+R44+R51+R56+R62+R76+R89+R35</f>
        <v>2837347460.4803624</v>
      </c>
    </row>
    <row r="93" spans="1:18">
      <c r="K93" s="410"/>
      <c r="O93" s="2"/>
    </row>
    <row r="94" spans="1:18">
      <c r="H94" s="725"/>
      <c r="I94" s="725"/>
      <c r="J94" s="725"/>
      <c r="K94" s="719"/>
      <c r="L94" s="725"/>
      <c r="M94" s="725"/>
      <c r="N94" s="725"/>
      <c r="O94" s="720"/>
      <c r="P94" s="725"/>
      <c r="Q94" s="725"/>
      <c r="R94" s="725"/>
    </row>
  </sheetData>
  <mergeCells count="3">
    <mergeCell ref="H1:J1"/>
    <mergeCell ref="L1:N1"/>
    <mergeCell ref="P1:R1"/>
  </mergeCells>
  <pageMargins left="0.7" right="0.7" top="0.75" bottom="0.75" header="0.3" footer="0.3"/>
  <pageSetup scale="50" orientation="portrait" horizontalDpi="1200" verticalDpi="1200" r:id="rId1"/>
  <headerFooter>
    <oddHeader>&amp;LPuerto Rico Electric Power Authority 
Rate Review (NEPR-AP-2023-0003)
Projected Total Construction and Decommissioning Capital Expenditures 
&amp;RSchedule D-1 Constrained
Page &amp;P of &amp;N</oddHeader>
  </headerFooter>
  <rowBreaks count="1" manualBreakCount="1">
    <brk id="55" max="17" man="1"/>
  </rowBreaks>
  <colBreaks count="1" manualBreakCount="1">
    <brk id="10"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8CBBF-8ECA-4947-BDC3-042187E651AC}">
  <sheetPr>
    <tabColor theme="9" tint="0.79998168889431442"/>
  </sheetPr>
  <dimension ref="A2:R283"/>
  <sheetViews>
    <sheetView workbookViewId="0"/>
    <sheetView workbookViewId="1"/>
    <sheetView workbookViewId="2"/>
  </sheetViews>
  <sheetFormatPr defaultColWidth="8.5703125" defaultRowHeight="15"/>
  <cols>
    <col min="1" max="2" width="5.5703125" customWidth="1"/>
    <col min="3" max="3" width="26" bestFit="1" customWidth="1"/>
    <col min="4" max="4" width="62.5703125" style="61" bestFit="1" customWidth="1"/>
    <col min="5" max="5" width="8.85546875" style="2" bestFit="1" customWidth="1"/>
    <col min="6" max="7" width="5.5703125" customWidth="1"/>
    <col min="8" max="10" width="20.5703125" customWidth="1"/>
    <col min="11" max="11" width="5.5703125" customWidth="1"/>
    <col min="12" max="14" width="20.5703125" customWidth="1"/>
    <col min="15" max="15" width="5.5703125" customWidth="1"/>
    <col min="16" max="18" width="20.5703125" customWidth="1"/>
  </cols>
  <sheetData>
    <row r="2" spans="1:18">
      <c r="D2"/>
      <c r="H2" s="1206" t="s">
        <v>393</v>
      </c>
      <c r="I2" s="1206"/>
      <c r="J2" s="1206"/>
      <c r="L2" s="1206" t="s">
        <v>394</v>
      </c>
      <c r="M2" s="1206"/>
      <c r="N2" s="1206"/>
      <c r="P2" s="1206" t="s">
        <v>395</v>
      </c>
      <c r="Q2" s="1206"/>
      <c r="R2" s="1206"/>
    </row>
    <row r="3" spans="1:18" s="2" customFormat="1" ht="30">
      <c r="A3" s="58" t="s">
        <v>242</v>
      </c>
      <c r="C3" s="58" t="s">
        <v>2080</v>
      </c>
      <c r="D3" s="58" t="s">
        <v>2081</v>
      </c>
      <c r="E3" s="58" t="s">
        <v>2082</v>
      </c>
      <c r="H3" s="58" t="s">
        <v>2083</v>
      </c>
      <c r="I3" s="58" t="s">
        <v>2084</v>
      </c>
      <c r="J3" s="58" t="s">
        <v>656</v>
      </c>
      <c r="L3" s="58" t="s">
        <v>2085</v>
      </c>
      <c r="M3" s="58" t="s">
        <v>2086</v>
      </c>
      <c r="N3" s="58" t="s">
        <v>656</v>
      </c>
      <c r="P3" s="58" t="s">
        <v>2087</v>
      </c>
      <c r="Q3" s="58" t="s">
        <v>2088</v>
      </c>
      <c r="R3" s="58" t="s">
        <v>656</v>
      </c>
    </row>
    <row r="4" spans="1:18">
      <c r="A4" s="59"/>
      <c r="B4" s="2"/>
      <c r="C4" s="59"/>
      <c r="D4" s="59"/>
      <c r="E4" s="59"/>
      <c r="H4" s="59" t="s">
        <v>2089</v>
      </c>
      <c r="I4" s="59" t="s">
        <v>550</v>
      </c>
      <c r="J4" s="59" t="s">
        <v>552</v>
      </c>
      <c r="L4" s="59" t="s">
        <v>554</v>
      </c>
      <c r="M4" s="59" t="s">
        <v>555</v>
      </c>
      <c r="N4" s="59" t="s">
        <v>2090</v>
      </c>
      <c r="P4" s="59" t="s">
        <v>2091</v>
      </c>
      <c r="Q4" s="59" t="s">
        <v>559</v>
      </c>
      <c r="R4" s="59" t="s">
        <v>561</v>
      </c>
    </row>
    <row r="5" spans="1:18">
      <c r="A5" s="59"/>
      <c r="B5" s="2"/>
      <c r="C5" s="59"/>
      <c r="D5" s="59"/>
      <c r="E5" s="59"/>
      <c r="H5" s="59"/>
      <c r="I5" s="59"/>
      <c r="J5" s="59"/>
      <c r="L5" s="59"/>
      <c r="M5" s="59"/>
      <c r="N5" s="59"/>
      <c r="P5" s="59"/>
      <c r="Q5" s="59"/>
      <c r="R5" s="59"/>
    </row>
    <row r="6" spans="1:18">
      <c r="A6" s="2">
        <v>1</v>
      </c>
      <c r="B6" s="2"/>
      <c r="C6" s="705" t="s">
        <v>2215</v>
      </c>
      <c r="D6" s="63"/>
      <c r="E6" s="63"/>
      <c r="F6" s="706"/>
      <c r="G6" s="706"/>
      <c r="H6" s="706">
        <f>SUM(H7:H269)</f>
        <v>632365965.34263706</v>
      </c>
      <c r="I6" s="706">
        <f>SUM(I7:I269)</f>
        <v>209276668</v>
      </c>
      <c r="J6" s="706">
        <f>SUM(J7:J269)</f>
        <v>841642633.34263706</v>
      </c>
      <c r="K6" s="706"/>
      <c r="L6" s="706">
        <f>SUM(L7:L269)</f>
        <v>396533052.26478565</v>
      </c>
      <c r="M6" s="706">
        <f>SUM(M7:M269)</f>
        <v>179961323.26999998</v>
      </c>
      <c r="N6" s="706">
        <f>SUM(N7:N269)</f>
        <v>576494375.53478563</v>
      </c>
      <c r="O6" s="706"/>
      <c r="P6" s="706">
        <f>SUM(P7:P269)</f>
        <v>135613505.94726786</v>
      </c>
      <c r="Q6" s="706">
        <f>SUM(Q7:Q269)</f>
        <v>180358438</v>
      </c>
      <c r="R6" s="706">
        <f>SUM(R7:R269)</f>
        <v>315971943.94726789</v>
      </c>
    </row>
    <row r="7" spans="1:18" s="713" customFormat="1">
      <c r="A7" s="711">
        <v>1</v>
      </c>
      <c r="B7" s="711"/>
      <c r="C7" s="711"/>
      <c r="D7" s="712" t="s">
        <v>2216</v>
      </c>
      <c r="E7" s="711"/>
      <c r="H7" s="408">
        <v>394424</v>
      </c>
      <c r="I7" s="408">
        <v>0</v>
      </c>
      <c r="J7" s="714">
        <v>394424</v>
      </c>
      <c r="K7" s="715"/>
      <c r="L7" s="408">
        <v>0</v>
      </c>
      <c r="M7" s="408">
        <v>0</v>
      </c>
      <c r="N7" s="714">
        <v>0</v>
      </c>
      <c r="O7" s="716"/>
      <c r="P7" s="408">
        <v>0</v>
      </c>
      <c r="Q7" s="408">
        <v>0</v>
      </c>
      <c r="R7" s="714">
        <v>0</v>
      </c>
    </row>
    <row r="8" spans="1:18" s="713" customFormat="1">
      <c r="A8" s="711">
        <v>2</v>
      </c>
      <c r="B8" s="711"/>
      <c r="C8" s="711"/>
      <c r="D8" s="712" t="s">
        <v>2217</v>
      </c>
      <c r="E8" s="711"/>
      <c r="H8" s="408">
        <v>3161096</v>
      </c>
      <c r="I8" s="408">
        <v>0</v>
      </c>
      <c r="J8" s="714">
        <v>3161096</v>
      </c>
      <c r="K8" s="715"/>
      <c r="L8" s="408">
        <v>1725250</v>
      </c>
      <c r="M8" s="408">
        <v>0</v>
      </c>
      <c r="N8" s="714">
        <v>1725250</v>
      </c>
      <c r="O8" s="716"/>
      <c r="P8" s="408">
        <v>218190</v>
      </c>
      <c r="Q8" s="408">
        <v>0</v>
      </c>
      <c r="R8" s="714">
        <v>218190</v>
      </c>
    </row>
    <row r="9" spans="1:18" s="713" customFormat="1">
      <c r="A9" s="711">
        <v>3</v>
      </c>
      <c r="B9" s="711"/>
      <c r="C9" s="711"/>
      <c r="D9" s="712" t="s">
        <v>2218</v>
      </c>
      <c r="E9" s="711"/>
      <c r="H9" s="408">
        <v>0</v>
      </c>
      <c r="I9" s="408">
        <v>2749585</v>
      </c>
      <c r="J9" s="714">
        <v>2749585</v>
      </c>
      <c r="K9" s="715"/>
      <c r="L9" s="408">
        <v>0</v>
      </c>
      <c r="M9" s="408">
        <v>0</v>
      </c>
      <c r="N9" s="714">
        <v>0</v>
      </c>
      <c r="O9" s="716"/>
      <c r="P9" s="408">
        <v>0</v>
      </c>
      <c r="Q9" s="408">
        <v>0</v>
      </c>
      <c r="R9" s="714">
        <v>0</v>
      </c>
    </row>
    <row r="10" spans="1:18" s="713" customFormat="1">
      <c r="A10" s="711">
        <v>4</v>
      </c>
      <c r="B10" s="711"/>
      <c r="C10" s="711"/>
      <c r="D10" s="712" t="s">
        <v>2219</v>
      </c>
      <c r="E10" s="711"/>
      <c r="H10" s="408">
        <v>0</v>
      </c>
      <c r="I10" s="408">
        <v>2581430</v>
      </c>
      <c r="J10" s="714">
        <v>2581430</v>
      </c>
      <c r="K10" s="715"/>
      <c r="L10" s="408">
        <v>0</v>
      </c>
      <c r="M10" s="408">
        <v>0</v>
      </c>
      <c r="N10" s="714">
        <v>0</v>
      </c>
      <c r="O10" s="716"/>
      <c r="P10" s="408">
        <v>0</v>
      </c>
      <c r="Q10" s="408">
        <v>0</v>
      </c>
      <c r="R10" s="714">
        <v>0</v>
      </c>
    </row>
    <row r="11" spans="1:18" s="713" customFormat="1">
      <c r="A11" s="711">
        <v>5</v>
      </c>
      <c r="B11" s="711"/>
      <c r="C11" s="711"/>
      <c r="D11" s="712" t="s">
        <v>2220</v>
      </c>
      <c r="E11" s="711"/>
      <c r="H11" s="408">
        <v>0</v>
      </c>
      <c r="I11" s="408">
        <v>2339715</v>
      </c>
      <c r="J11" s="714">
        <v>2339715</v>
      </c>
      <c r="K11" s="715"/>
      <c r="L11" s="408">
        <v>0</v>
      </c>
      <c r="M11" s="408">
        <v>0</v>
      </c>
      <c r="N11" s="714">
        <v>0</v>
      </c>
      <c r="O11" s="716"/>
      <c r="P11" s="408">
        <v>0</v>
      </c>
      <c r="Q11" s="408">
        <v>0</v>
      </c>
      <c r="R11" s="714">
        <v>0</v>
      </c>
    </row>
    <row r="12" spans="1:18" s="713" customFormat="1">
      <c r="A12" s="711">
        <v>6</v>
      </c>
      <c r="B12" s="711"/>
      <c r="C12" s="711"/>
      <c r="D12" s="712" t="s">
        <v>2221</v>
      </c>
      <c r="E12" s="711"/>
      <c r="H12" s="408">
        <v>0</v>
      </c>
      <c r="I12" s="408">
        <v>2532954</v>
      </c>
      <c r="J12" s="714">
        <v>2532954</v>
      </c>
      <c r="K12" s="715"/>
      <c r="L12" s="408">
        <v>0</v>
      </c>
      <c r="M12" s="408">
        <v>0</v>
      </c>
      <c r="N12" s="714">
        <v>0</v>
      </c>
      <c r="O12" s="716"/>
      <c r="P12" s="408">
        <v>0</v>
      </c>
      <c r="Q12" s="408">
        <v>0</v>
      </c>
      <c r="R12" s="714">
        <v>0</v>
      </c>
    </row>
    <row r="13" spans="1:18" s="713" customFormat="1">
      <c r="A13" s="711">
        <v>7</v>
      </c>
      <c r="B13" s="711"/>
      <c r="C13" s="711"/>
      <c r="D13" s="712" t="s">
        <v>2222</v>
      </c>
      <c r="E13" s="711"/>
      <c r="H13" s="408">
        <v>0</v>
      </c>
      <c r="I13" s="408">
        <v>2532774</v>
      </c>
      <c r="J13" s="714">
        <v>2532774</v>
      </c>
      <c r="K13" s="715"/>
      <c r="L13" s="408">
        <v>0</v>
      </c>
      <c r="M13" s="408">
        <v>1485345</v>
      </c>
      <c r="N13" s="714">
        <v>1485345</v>
      </c>
      <c r="O13" s="716"/>
      <c r="P13" s="408">
        <v>0</v>
      </c>
      <c r="Q13" s="408">
        <v>0</v>
      </c>
      <c r="R13" s="714">
        <v>0</v>
      </c>
    </row>
    <row r="14" spans="1:18" s="713" customFormat="1">
      <c r="A14" s="711">
        <v>8</v>
      </c>
      <c r="B14" s="711"/>
      <c r="C14" s="711"/>
      <c r="D14" s="712" t="s">
        <v>2223</v>
      </c>
      <c r="E14" s="711"/>
      <c r="H14" s="408">
        <v>0</v>
      </c>
      <c r="I14" s="408">
        <v>16500</v>
      </c>
      <c r="J14" s="714">
        <v>16500</v>
      </c>
      <c r="K14" s="715"/>
      <c r="L14" s="408">
        <v>0</v>
      </c>
      <c r="M14" s="408">
        <v>0</v>
      </c>
      <c r="N14" s="714">
        <v>0</v>
      </c>
      <c r="O14" s="716"/>
      <c r="P14" s="408">
        <v>0</v>
      </c>
      <c r="Q14" s="408">
        <v>0</v>
      </c>
      <c r="R14" s="714">
        <v>0</v>
      </c>
    </row>
    <row r="15" spans="1:18" s="713" customFormat="1" ht="30">
      <c r="A15" s="711">
        <v>9</v>
      </c>
      <c r="B15" s="711"/>
      <c r="C15" s="711"/>
      <c r="D15" s="712" t="s">
        <v>2224</v>
      </c>
      <c r="E15" s="711"/>
      <c r="H15" s="408">
        <v>261817658.06</v>
      </c>
      <c r="I15" s="408">
        <v>0</v>
      </c>
      <c r="J15" s="714">
        <v>261817658.06</v>
      </c>
      <c r="K15" s="715"/>
      <c r="L15" s="408">
        <v>295897424.27999997</v>
      </c>
      <c r="M15" s="408">
        <v>0</v>
      </c>
      <c r="N15" s="714">
        <v>295897424.27999997</v>
      </c>
      <c r="O15" s="716"/>
      <c r="P15" s="408">
        <v>60425457.990000002</v>
      </c>
      <c r="Q15" s="408">
        <v>0</v>
      </c>
      <c r="R15" s="714">
        <v>60425457.990000002</v>
      </c>
    </row>
    <row r="16" spans="1:18" s="713" customFormat="1">
      <c r="A16" s="711">
        <v>10</v>
      </c>
      <c r="B16" s="711"/>
      <c r="C16" s="711"/>
      <c r="D16" s="712" t="s">
        <v>2225</v>
      </c>
      <c r="E16" s="711"/>
      <c r="H16" s="408">
        <v>27048807.750000004</v>
      </c>
      <c r="I16" s="408">
        <v>0</v>
      </c>
      <c r="J16" s="714">
        <v>27048807.750000004</v>
      </c>
      <c r="K16" s="715"/>
      <c r="L16" s="408">
        <v>292361.99000000011</v>
      </c>
      <c r="M16" s="408">
        <v>0</v>
      </c>
      <c r="N16" s="714">
        <v>292361.99000000011</v>
      </c>
      <c r="O16" s="716"/>
      <c r="P16" s="408">
        <v>2562.0100000000002</v>
      </c>
      <c r="Q16" s="408">
        <v>0</v>
      </c>
      <c r="R16" s="714">
        <v>2562.0100000000002</v>
      </c>
    </row>
    <row r="17" spans="1:18" s="713" customFormat="1">
      <c r="A17" s="711">
        <v>11</v>
      </c>
      <c r="B17" s="711"/>
      <c r="C17" s="711"/>
      <c r="D17" s="712" t="s">
        <v>2226</v>
      </c>
      <c r="E17" s="711"/>
      <c r="H17" s="408">
        <v>266433722.79999998</v>
      </c>
      <c r="I17" s="408">
        <v>0</v>
      </c>
      <c r="J17" s="714">
        <v>266433722.79999998</v>
      </c>
      <c r="K17" s="715"/>
      <c r="L17" s="408">
        <v>86298175.419999987</v>
      </c>
      <c r="M17" s="408">
        <v>0</v>
      </c>
      <c r="N17" s="714">
        <v>86298175.419999987</v>
      </c>
      <c r="O17" s="716"/>
      <c r="P17" s="408">
        <v>67556754.210000008</v>
      </c>
      <c r="Q17" s="408">
        <v>0</v>
      </c>
      <c r="R17" s="714">
        <v>67556754.210000008</v>
      </c>
    </row>
    <row r="18" spans="1:18" s="713" customFormat="1">
      <c r="A18" s="711">
        <v>12</v>
      </c>
      <c r="B18" s="711"/>
      <c r="C18" s="711"/>
      <c r="D18" s="712" t="s">
        <v>2227</v>
      </c>
      <c r="E18" s="711"/>
      <c r="H18" s="408">
        <v>236250</v>
      </c>
      <c r="I18" s="408">
        <v>0</v>
      </c>
      <c r="J18" s="714">
        <v>236250</v>
      </c>
      <c r="K18" s="715"/>
      <c r="L18" s="408">
        <v>236250</v>
      </c>
      <c r="M18" s="408">
        <v>0</v>
      </c>
      <c r="N18" s="714">
        <v>236250</v>
      </c>
      <c r="O18" s="716"/>
      <c r="P18" s="408">
        <v>59062.5</v>
      </c>
      <c r="Q18" s="408">
        <v>0</v>
      </c>
      <c r="R18" s="714">
        <v>59062.5</v>
      </c>
    </row>
    <row r="19" spans="1:18" s="713" customFormat="1">
      <c r="A19" s="711">
        <v>13</v>
      </c>
      <c r="B19" s="711"/>
      <c r="C19" s="711"/>
      <c r="D19" s="712" t="s">
        <v>2228</v>
      </c>
      <c r="E19" s="711"/>
      <c r="H19" s="408">
        <v>384090</v>
      </c>
      <c r="I19" s="408">
        <v>0</v>
      </c>
      <c r="J19" s="714">
        <v>384090</v>
      </c>
      <c r="K19" s="715"/>
      <c r="L19" s="408">
        <v>96022.5</v>
      </c>
      <c r="M19" s="408">
        <v>0</v>
      </c>
      <c r="N19" s="714">
        <v>96022.5</v>
      </c>
      <c r="O19" s="716"/>
      <c r="P19" s="408">
        <v>0</v>
      </c>
      <c r="Q19" s="408">
        <v>0</v>
      </c>
      <c r="R19" s="714">
        <v>0</v>
      </c>
    </row>
    <row r="20" spans="1:18" s="713" customFormat="1">
      <c r="A20" s="711">
        <v>14</v>
      </c>
      <c r="B20" s="711"/>
      <c r="C20" s="711"/>
      <c r="D20" s="712" t="s">
        <v>2229</v>
      </c>
      <c r="E20" s="711"/>
      <c r="H20" s="408">
        <v>1579984.7428571428</v>
      </c>
      <c r="I20" s="408">
        <v>0</v>
      </c>
      <c r="J20" s="714">
        <v>1579984.7428571428</v>
      </c>
      <c r="K20" s="715"/>
      <c r="L20" s="408">
        <v>0</v>
      </c>
      <c r="M20" s="408">
        <v>0</v>
      </c>
      <c r="N20" s="714">
        <v>0</v>
      </c>
      <c r="O20" s="716"/>
      <c r="P20" s="408">
        <v>0</v>
      </c>
      <c r="Q20" s="408">
        <v>0</v>
      </c>
      <c r="R20" s="714">
        <v>0</v>
      </c>
    </row>
    <row r="21" spans="1:18" s="713" customFormat="1" ht="30">
      <c r="A21" s="711">
        <v>15</v>
      </c>
      <c r="B21" s="711"/>
      <c r="C21" s="711"/>
      <c r="D21" s="712" t="s">
        <v>2230</v>
      </c>
      <c r="E21" s="711"/>
      <c r="H21" s="408">
        <v>0</v>
      </c>
      <c r="I21" s="408">
        <v>0</v>
      </c>
      <c r="J21" s="714">
        <v>0</v>
      </c>
      <c r="K21" s="715"/>
      <c r="L21" s="408">
        <v>0</v>
      </c>
      <c r="M21" s="408">
        <v>0</v>
      </c>
      <c r="N21" s="714">
        <v>0</v>
      </c>
      <c r="O21" s="716"/>
      <c r="P21" s="408">
        <v>0</v>
      </c>
      <c r="Q21" s="408">
        <v>0</v>
      </c>
      <c r="R21" s="714">
        <v>0</v>
      </c>
    </row>
    <row r="22" spans="1:18" s="713" customFormat="1">
      <c r="A22" s="711">
        <v>16</v>
      </c>
      <c r="B22" s="711"/>
      <c r="C22" s="711"/>
      <c r="D22" s="712" t="s">
        <v>2231</v>
      </c>
      <c r="E22" s="711"/>
      <c r="H22" s="408">
        <v>424675.5</v>
      </c>
      <c r="I22" s="408">
        <v>0</v>
      </c>
      <c r="J22" s="714">
        <v>424675.5</v>
      </c>
      <c r="K22" s="715"/>
      <c r="L22" s="408">
        <v>424675.5</v>
      </c>
      <c r="M22" s="408">
        <v>0</v>
      </c>
      <c r="N22" s="714">
        <v>424675.5</v>
      </c>
      <c r="O22" s="716"/>
      <c r="P22" s="408">
        <v>106168.875</v>
      </c>
      <c r="Q22" s="408">
        <v>0</v>
      </c>
      <c r="R22" s="714">
        <v>106168.875</v>
      </c>
    </row>
    <row r="23" spans="1:18" s="713" customFormat="1">
      <c r="A23" s="711">
        <v>17</v>
      </c>
      <c r="B23" s="711"/>
      <c r="C23" s="711"/>
      <c r="D23" s="712" t="s">
        <v>2232</v>
      </c>
      <c r="E23" s="711"/>
      <c r="H23" s="408">
        <v>26833580.21407143</v>
      </c>
      <c r="I23" s="408">
        <v>0</v>
      </c>
      <c r="J23" s="714">
        <v>26833580.21407143</v>
      </c>
      <c r="K23" s="715"/>
      <c r="L23" s="408">
        <v>0</v>
      </c>
      <c r="M23" s="408">
        <v>0</v>
      </c>
      <c r="N23" s="714">
        <v>0</v>
      </c>
      <c r="O23" s="716"/>
      <c r="P23" s="408">
        <v>0</v>
      </c>
      <c r="Q23" s="408">
        <v>0</v>
      </c>
      <c r="R23" s="714">
        <v>0</v>
      </c>
    </row>
    <row r="24" spans="1:18" s="713" customFormat="1">
      <c r="A24" s="711">
        <v>18</v>
      </c>
      <c r="B24" s="711"/>
      <c r="C24" s="711"/>
      <c r="D24" s="712" t="s">
        <v>2233</v>
      </c>
      <c r="E24" s="711"/>
      <c r="H24" s="408">
        <v>247428.54</v>
      </c>
      <c r="I24" s="408">
        <v>0</v>
      </c>
      <c r="J24" s="714">
        <v>247428.54</v>
      </c>
      <c r="K24" s="715"/>
      <c r="L24" s="408">
        <v>0</v>
      </c>
      <c r="M24" s="408">
        <v>0</v>
      </c>
      <c r="N24" s="714">
        <v>0</v>
      </c>
      <c r="O24" s="716"/>
      <c r="P24" s="408">
        <v>0</v>
      </c>
      <c r="Q24" s="408">
        <v>0</v>
      </c>
      <c r="R24" s="714">
        <v>0</v>
      </c>
    </row>
    <row r="25" spans="1:18" s="713" customFormat="1">
      <c r="A25" s="711">
        <v>19</v>
      </c>
      <c r="B25" s="711"/>
      <c r="C25" s="711"/>
      <c r="D25" s="712" t="s">
        <v>2234</v>
      </c>
      <c r="E25" s="711"/>
      <c r="H25" s="408">
        <v>378372.63472222211</v>
      </c>
      <c r="I25" s="408">
        <v>0</v>
      </c>
      <c r="J25" s="714">
        <v>378372.63472222211</v>
      </c>
      <c r="K25" s="715"/>
      <c r="L25" s="408">
        <v>156150.41250000001</v>
      </c>
      <c r="M25" s="408">
        <v>0</v>
      </c>
      <c r="N25" s="714">
        <v>156150.41250000001</v>
      </c>
      <c r="O25" s="716"/>
      <c r="P25" s="408">
        <v>39037.603124999994</v>
      </c>
      <c r="Q25" s="408">
        <v>0</v>
      </c>
      <c r="R25" s="714">
        <v>39037.603124999994</v>
      </c>
    </row>
    <row r="26" spans="1:18" s="713" customFormat="1">
      <c r="A26" s="711">
        <v>20</v>
      </c>
      <c r="B26" s="711"/>
      <c r="C26" s="711"/>
      <c r="D26" s="712" t="s">
        <v>2235</v>
      </c>
      <c r="E26" s="711"/>
      <c r="H26" s="408">
        <v>8011659.0419862494</v>
      </c>
      <c r="I26" s="408">
        <v>0</v>
      </c>
      <c r="J26" s="714">
        <v>8011659.0419862494</v>
      </c>
      <c r="K26" s="715"/>
      <c r="L26" s="408">
        <v>6695523.2142857136</v>
      </c>
      <c r="M26" s="408">
        <v>0</v>
      </c>
      <c r="N26" s="714">
        <v>6695523.2142857136</v>
      </c>
      <c r="O26" s="716"/>
      <c r="P26" s="408">
        <v>2102452.2321428573</v>
      </c>
      <c r="Q26" s="408">
        <v>0</v>
      </c>
      <c r="R26" s="714">
        <v>2102452.2321428573</v>
      </c>
    </row>
    <row r="27" spans="1:18" s="713" customFormat="1">
      <c r="A27" s="711">
        <v>21</v>
      </c>
      <c r="B27" s="711"/>
      <c r="C27" s="711"/>
      <c r="D27" s="712" t="s">
        <v>2236</v>
      </c>
      <c r="E27" s="711"/>
      <c r="H27" s="408">
        <v>18912976</v>
      </c>
      <c r="I27" s="408">
        <v>0</v>
      </c>
      <c r="J27" s="714">
        <v>18912976</v>
      </c>
      <c r="K27" s="715"/>
      <c r="L27" s="408">
        <v>0</v>
      </c>
      <c r="M27" s="408">
        <v>0</v>
      </c>
      <c r="N27" s="714">
        <v>0</v>
      </c>
      <c r="O27" s="716"/>
      <c r="P27" s="408">
        <v>0</v>
      </c>
      <c r="Q27" s="408">
        <v>0</v>
      </c>
      <c r="R27" s="714">
        <v>0</v>
      </c>
    </row>
    <row r="28" spans="1:18" s="713" customFormat="1">
      <c r="A28" s="711">
        <v>22</v>
      </c>
      <c r="B28" s="711"/>
      <c r="C28" s="711"/>
      <c r="D28" s="712" t="s">
        <v>2237</v>
      </c>
      <c r="E28" s="711"/>
      <c r="H28" s="408">
        <v>12182622.689999999</v>
      </c>
      <c r="I28" s="408">
        <v>0</v>
      </c>
      <c r="J28" s="714">
        <v>12182622.689999999</v>
      </c>
      <c r="K28" s="715"/>
      <c r="L28" s="408">
        <v>0</v>
      </c>
      <c r="M28" s="408">
        <v>0</v>
      </c>
      <c r="N28" s="714">
        <v>0</v>
      </c>
      <c r="O28" s="716"/>
      <c r="P28" s="408">
        <v>0</v>
      </c>
      <c r="Q28" s="408">
        <v>0</v>
      </c>
      <c r="R28" s="714">
        <v>0</v>
      </c>
    </row>
    <row r="29" spans="1:18" s="713" customFormat="1">
      <c r="A29" s="711">
        <v>23</v>
      </c>
      <c r="B29" s="711"/>
      <c r="C29" s="711"/>
      <c r="D29" s="712" t="s">
        <v>2238</v>
      </c>
      <c r="E29" s="711"/>
      <c r="H29" s="408">
        <v>4050233.7314999998</v>
      </c>
      <c r="I29" s="408">
        <v>0</v>
      </c>
      <c r="J29" s="714">
        <v>4050233.7314999998</v>
      </c>
      <c r="K29" s="715"/>
      <c r="L29" s="408">
        <v>4418436.7979999995</v>
      </c>
      <c r="M29" s="408">
        <v>0</v>
      </c>
      <c r="N29" s="714">
        <v>4418436.7979999995</v>
      </c>
      <c r="O29" s="716"/>
      <c r="P29" s="408">
        <v>4786639.8644999992</v>
      </c>
      <c r="Q29" s="408">
        <v>0</v>
      </c>
      <c r="R29" s="714">
        <v>4786639.8644999992</v>
      </c>
    </row>
    <row r="30" spans="1:18" s="713" customFormat="1">
      <c r="A30" s="711">
        <v>24</v>
      </c>
      <c r="B30" s="711"/>
      <c r="C30" s="711"/>
      <c r="D30" s="712" t="s">
        <v>2239</v>
      </c>
      <c r="E30" s="711"/>
      <c r="H30" s="408">
        <v>111587.4375</v>
      </c>
      <c r="I30" s="408">
        <v>0</v>
      </c>
      <c r="J30" s="714">
        <v>111587.4375</v>
      </c>
      <c r="K30" s="715"/>
      <c r="L30" s="408">
        <v>121731.75</v>
      </c>
      <c r="M30" s="408">
        <v>0</v>
      </c>
      <c r="N30" s="714">
        <v>121731.75</v>
      </c>
      <c r="O30" s="716"/>
      <c r="P30" s="408">
        <v>131876.0625</v>
      </c>
      <c r="Q30" s="408">
        <v>0</v>
      </c>
      <c r="R30" s="714">
        <v>131876.0625</v>
      </c>
    </row>
    <row r="31" spans="1:18" s="713" customFormat="1">
      <c r="A31" s="711">
        <v>25</v>
      </c>
      <c r="B31" s="711"/>
      <c r="C31" s="711"/>
      <c r="D31" s="712" t="s">
        <v>2240</v>
      </c>
      <c r="E31" s="711"/>
      <c r="H31" s="408">
        <v>156796.20000000001</v>
      </c>
      <c r="I31" s="408">
        <v>0</v>
      </c>
      <c r="J31" s="714">
        <v>156796.20000000001</v>
      </c>
      <c r="K31" s="715"/>
      <c r="L31" s="408">
        <v>171050.4</v>
      </c>
      <c r="M31" s="408">
        <v>0</v>
      </c>
      <c r="N31" s="714">
        <v>171050.4</v>
      </c>
      <c r="O31" s="716"/>
      <c r="P31" s="408">
        <v>185304.6</v>
      </c>
      <c r="Q31" s="408">
        <v>0</v>
      </c>
      <c r="R31" s="714">
        <v>185304.6</v>
      </c>
    </row>
    <row r="32" spans="1:18" s="713" customFormat="1" ht="30">
      <c r="A32" s="711">
        <v>26</v>
      </c>
      <c r="B32" s="711"/>
      <c r="C32" s="711" t="s">
        <v>2241</v>
      </c>
      <c r="D32" s="712" t="s">
        <v>2242</v>
      </c>
      <c r="E32" s="711"/>
      <c r="H32" s="408">
        <v>0</v>
      </c>
      <c r="I32" s="408">
        <v>109500</v>
      </c>
      <c r="J32" s="714">
        <v>109500</v>
      </c>
      <c r="K32" s="715"/>
      <c r="L32" s="408">
        <v>0</v>
      </c>
      <c r="M32" s="408">
        <v>109500</v>
      </c>
      <c r="N32" s="714">
        <v>109500</v>
      </c>
      <c r="O32" s="716"/>
      <c r="P32" s="408">
        <v>0</v>
      </c>
      <c r="Q32" s="408">
        <v>109500</v>
      </c>
      <c r="R32" s="714">
        <v>109500</v>
      </c>
    </row>
    <row r="33" spans="1:18" s="713" customFormat="1">
      <c r="A33" s="711">
        <v>27</v>
      </c>
      <c r="B33" s="711"/>
      <c r="C33" s="711" t="s">
        <v>2241</v>
      </c>
      <c r="D33" s="712" t="s">
        <v>2243</v>
      </c>
      <c r="E33" s="711"/>
      <c r="H33" s="408">
        <v>0</v>
      </c>
      <c r="I33" s="408">
        <v>547500</v>
      </c>
      <c r="J33" s="714">
        <v>547500</v>
      </c>
      <c r="K33" s="715"/>
      <c r="L33" s="408">
        <v>0</v>
      </c>
      <c r="M33" s="408">
        <v>547500</v>
      </c>
      <c r="N33" s="714">
        <v>547500</v>
      </c>
      <c r="O33" s="716"/>
      <c r="P33" s="408">
        <v>0</v>
      </c>
      <c r="Q33" s="408">
        <v>547500</v>
      </c>
      <c r="R33" s="714">
        <v>547500</v>
      </c>
    </row>
    <row r="34" spans="1:18" s="713" customFormat="1">
      <c r="A34" s="711">
        <v>28</v>
      </c>
      <c r="B34" s="711"/>
      <c r="C34" s="711" t="s">
        <v>2241</v>
      </c>
      <c r="D34" s="712" t="s">
        <v>2244</v>
      </c>
      <c r="E34" s="711"/>
      <c r="H34" s="408">
        <v>0</v>
      </c>
      <c r="I34" s="408">
        <v>255500</v>
      </c>
      <c r="J34" s="714">
        <v>255500</v>
      </c>
      <c r="K34" s="715"/>
      <c r="L34" s="408">
        <v>0</v>
      </c>
      <c r="M34" s="408">
        <v>365000</v>
      </c>
      <c r="N34" s="714">
        <v>365000</v>
      </c>
      <c r="O34" s="716"/>
      <c r="P34" s="408">
        <v>0</v>
      </c>
      <c r="Q34" s="408">
        <v>365000</v>
      </c>
      <c r="R34" s="714">
        <v>365000</v>
      </c>
    </row>
    <row r="35" spans="1:18" s="713" customFormat="1">
      <c r="A35" s="711">
        <v>29</v>
      </c>
      <c r="B35" s="711"/>
      <c r="C35" s="711" t="s">
        <v>2241</v>
      </c>
      <c r="D35" s="712" t="s">
        <v>2245</v>
      </c>
      <c r="E35" s="711"/>
      <c r="H35" s="408">
        <v>0</v>
      </c>
      <c r="I35" s="408">
        <v>365000</v>
      </c>
      <c r="J35" s="714">
        <v>365000</v>
      </c>
      <c r="K35" s="715"/>
      <c r="L35" s="408">
        <v>0</v>
      </c>
      <c r="M35" s="408">
        <v>365000</v>
      </c>
      <c r="N35" s="714">
        <v>365000</v>
      </c>
      <c r="O35" s="716"/>
      <c r="P35" s="408">
        <v>0</v>
      </c>
      <c r="Q35" s="408">
        <v>365000</v>
      </c>
      <c r="R35" s="714">
        <v>365000</v>
      </c>
    </row>
    <row r="36" spans="1:18" s="713" customFormat="1">
      <c r="A36" s="711">
        <v>30</v>
      </c>
      <c r="B36" s="711"/>
      <c r="C36" s="711" t="s">
        <v>2241</v>
      </c>
      <c r="D36" s="712" t="s">
        <v>2246</v>
      </c>
      <c r="E36" s="711"/>
      <c r="H36" s="408">
        <v>0</v>
      </c>
      <c r="I36" s="408">
        <v>547500</v>
      </c>
      <c r="J36" s="714">
        <v>547500</v>
      </c>
      <c r="K36" s="715"/>
      <c r="L36" s="408">
        <v>0</v>
      </c>
      <c r="M36" s="408">
        <v>365000</v>
      </c>
      <c r="N36" s="714">
        <v>365000</v>
      </c>
      <c r="O36" s="716"/>
      <c r="P36" s="408">
        <v>0</v>
      </c>
      <c r="Q36" s="408">
        <v>365000</v>
      </c>
      <c r="R36" s="714">
        <v>365000</v>
      </c>
    </row>
    <row r="37" spans="1:18" s="713" customFormat="1">
      <c r="A37" s="711">
        <v>31</v>
      </c>
      <c r="B37" s="711"/>
      <c r="C37" s="711" t="s">
        <v>2241</v>
      </c>
      <c r="D37" s="712" t="s">
        <v>2247</v>
      </c>
      <c r="E37" s="711"/>
      <c r="H37" s="408">
        <v>0</v>
      </c>
      <c r="I37" s="408">
        <v>730000</v>
      </c>
      <c r="J37" s="714">
        <v>730000</v>
      </c>
      <c r="K37" s="715"/>
      <c r="L37" s="408">
        <v>0</v>
      </c>
      <c r="M37" s="408">
        <v>1460000</v>
      </c>
      <c r="N37" s="714">
        <v>1460000</v>
      </c>
      <c r="O37" s="716"/>
      <c r="P37" s="408">
        <v>0</v>
      </c>
      <c r="Q37" s="408">
        <v>0</v>
      </c>
      <c r="R37" s="714">
        <v>0</v>
      </c>
    </row>
    <row r="38" spans="1:18" s="713" customFormat="1">
      <c r="A38" s="711">
        <v>32</v>
      </c>
      <c r="B38" s="711"/>
      <c r="C38" s="711" t="s">
        <v>2241</v>
      </c>
      <c r="D38" s="712" t="s">
        <v>2248</v>
      </c>
      <c r="E38" s="711"/>
      <c r="H38" s="408">
        <v>0</v>
      </c>
      <c r="I38" s="408">
        <v>0</v>
      </c>
      <c r="J38" s="714">
        <v>0</v>
      </c>
      <c r="K38" s="715"/>
      <c r="L38" s="408">
        <v>0</v>
      </c>
      <c r="M38" s="408">
        <v>0</v>
      </c>
      <c r="N38" s="714">
        <v>0</v>
      </c>
      <c r="O38" s="716"/>
      <c r="P38" s="408">
        <v>0</v>
      </c>
      <c r="Q38" s="408">
        <v>10000000</v>
      </c>
      <c r="R38" s="714">
        <v>10000000</v>
      </c>
    </row>
    <row r="39" spans="1:18" s="713" customFormat="1" ht="30">
      <c r="A39" s="711">
        <v>33</v>
      </c>
      <c r="B39" s="711"/>
      <c r="C39" s="711" t="s">
        <v>2241</v>
      </c>
      <c r="D39" s="712" t="s">
        <v>2249</v>
      </c>
      <c r="E39" s="711"/>
      <c r="H39" s="408">
        <v>0</v>
      </c>
      <c r="I39" s="408">
        <v>0</v>
      </c>
      <c r="J39" s="714">
        <v>0</v>
      </c>
      <c r="K39" s="715"/>
      <c r="L39" s="408">
        <v>0</v>
      </c>
      <c r="M39" s="408">
        <v>730000</v>
      </c>
      <c r="N39" s="714">
        <v>730000</v>
      </c>
      <c r="O39" s="716"/>
      <c r="P39" s="408">
        <v>0</v>
      </c>
      <c r="Q39" s="408">
        <v>730000</v>
      </c>
      <c r="R39" s="714">
        <v>730000</v>
      </c>
    </row>
    <row r="40" spans="1:18" s="713" customFormat="1">
      <c r="A40" s="711">
        <v>34</v>
      </c>
      <c r="B40" s="711"/>
      <c r="C40" s="711" t="s">
        <v>2241</v>
      </c>
      <c r="D40" s="712" t="s">
        <v>2250</v>
      </c>
      <c r="E40" s="711"/>
      <c r="H40" s="408">
        <v>0</v>
      </c>
      <c r="I40" s="408">
        <v>292000</v>
      </c>
      <c r="J40" s="714">
        <v>292000</v>
      </c>
      <c r="K40" s="715"/>
      <c r="L40" s="408">
        <v>0</v>
      </c>
      <c r="M40" s="408">
        <v>146000</v>
      </c>
      <c r="N40" s="714">
        <v>146000</v>
      </c>
      <c r="O40" s="716"/>
      <c r="P40" s="408">
        <v>0</v>
      </c>
      <c r="Q40" s="408">
        <v>0</v>
      </c>
      <c r="R40" s="714">
        <v>0</v>
      </c>
    </row>
    <row r="41" spans="1:18" s="713" customFormat="1">
      <c r="A41" s="711">
        <v>35</v>
      </c>
      <c r="B41" s="711"/>
      <c r="C41" s="711" t="s">
        <v>2241</v>
      </c>
      <c r="D41" s="712" t="s">
        <v>2251</v>
      </c>
      <c r="E41" s="711"/>
      <c r="H41" s="408">
        <v>0</v>
      </c>
      <c r="I41" s="408">
        <v>182500</v>
      </c>
      <c r="J41" s="714">
        <v>182500</v>
      </c>
      <c r="K41" s="715"/>
      <c r="L41" s="408">
        <v>0</v>
      </c>
      <c r="M41" s="408">
        <v>182500</v>
      </c>
      <c r="N41" s="714">
        <v>182500</v>
      </c>
      <c r="O41" s="716"/>
      <c r="P41" s="408">
        <v>0</v>
      </c>
      <c r="Q41" s="408">
        <v>182500</v>
      </c>
      <c r="R41" s="714">
        <v>182500</v>
      </c>
    </row>
    <row r="42" spans="1:18" s="713" customFormat="1" ht="30">
      <c r="A42" s="711">
        <v>36</v>
      </c>
      <c r="B42" s="711"/>
      <c r="C42" s="711" t="s">
        <v>2241</v>
      </c>
      <c r="D42" s="712" t="s">
        <v>2252</v>
      </c>
      <c r="E42" s="711"/>
      <c r="H42" s="408">
        <v>0</v>
      </c>
      <c r="I42" s="408">
        <v>109500</v>
      </c>
      <c r="J42" s="714">
        <v>109500</v>
      </c>
      <c r="K42" s="715"/>
      <c r="L42" s="408">
        <v>0</v>
      </c>
      <c r="M42" s="408">
        <v>109500</v>
      </c>
      <c r="N42" s="714">
        <v>109500</v>
      </c>
      <c r="O42" s="716"/>
      <c r="P42" s="408">
        <v>0</v>
      </c>
      <c r="Q42" s="408">
        <v>109500</v>
      </c>
      <c r="R42" s="714">
        <v>109500</v>
      </c>
    </row>
    <row r="43" spans="1:18" s="713" customFormat="1">
      <c r="A43" s="711">
        <v>37</v>
      </c>
      <c r="B43" s="711"/>
      <c r="C43" s="711" t="s">
        <v>2241</v>
      </c>
      <c r="D43" s="712" t="s">
        <v>2253</v>
      </c>
      <c r="E43" s="711"/>
      <c r="H43" s="408">
        <v>0</v>
      </c>
      <c r="I43" s="408">
        <v>255500</v>
      </c>
      <c r="J43" s="714">
        <v>255500</v>
      </c>
      <c r="K43" s="715"/>
      <c r="L43" s="408">
        <v>0</v>
      </c>
      <c r="M43" s="408">
        <v>365000</v>
      </c>
      <c r="N43" s="714">
        <v>365000</v>
      </c>
      <c r="O43" s="716"/>
      <c r="P43" s="408">
        <v>0</v>
      </c>
      <c r="Q43" s="408">
        <v>182500</v>
      </c>
      <c r="R43" s="714">
        <v>182500</v>
      </c>
    </row>
    <row r="44" spans="1:18" s="713" customFormat="1">
      <c r="A44" s="711">
        <v>38</v>
      </c>
      <c r="B44" s="711"/>
      <c r="C44" s="711" t="s">
        <v>2241</v>
      </c>
      <c r="D44" s="712" t="s">
        <v>2254</v>
      </c>
      <c r="E44" s="711"/>
      <c r="H44" s="408">
        <v>0</v>
      </c>
      <c r="I44" s="408">
        <v>547500</v>
      </c>
      <c r="J44" s="714">
        <v>547500</v>
      </c>
      <c r="K44" s="715"/>
      <c r="L44" s="408">
        <v>0</v>
      </c>
      <c r="M44" s="408">
        <v>584000</v>
      </c>
      <c r="N44" s="714">
        <v>584000</v>
      </c>
      <c r="O44" s="716"/>
      <c r="P44" s="408">
        <v>0</v>
      </c>
      <c r="Q44" s="408">
        <v>0</v>
      </c>
      <c r="R44" s="714">
        <v>0</v>
      </c>
    </row>
    <row r="45" spans="1:18" s="713" customFormat="1">
      <c r="A45" s="711">
        <v>39</v>
      </c>
      <c r="B45" s="711"/>
      <c r="C45" s="711" t="s">
        <v>2241</v>
      </c>
      <c r="D45" s="712" t="s">
        <v>2255</v>
      </c>
      <c r="E45" s="711"/>
      <c r="H45" s="408">
        <v>0</v>
      </c>
      <c r="I45" s="408">
        <v>0</v>
      </c>
      <c r="J45" s="714">
        <v>0</v>
      </c>
      <c r="K45" s="715"/>
      <c r="L45" s="408">
        <v>0</v>
      </c>
      <c r="M45" s="408">
        <v>730000</v>
      </c>
      <c r="N45" s="714">
        <v>730000</v>
      </c>
      <c r="O45" s="716"/>
      <c r="P45" s="408">
        <v>0</v>
      </c>
      <c r="Q45" s="408">
        <v>584000</v>
      </c>
      <c r="R45" s="714">
        <v>584000</v>
      </c>
    </row>
    <row r="46" spans="1:18" s="713" customFormat="1">
      <c r="A46" s="711">
        <v>40</v>
      </c>
      <c r="B46" s="711"/>
      <c r="C46" s="711" t="s">
        <v>2241</v>
      </c>
      <c r="D46" s="712" t="s">
        <v>2256</v>
      </c>
      <c r="E46" s="711"/>
      <c r="H46" s="408">
        <v>0</v>
      </c>
      <c r="I46" s="408">
        <v>0</v>
      </c>
      <c r="J46" s="714">
        <v>0</v>
      </c>
      <c r="K46" s="715"/>
      <c r="L46" s="408">
        <v>0</v>
      </c>
      <c r="M46" s="408">
        <v>0</v>
      </c>
      <c r="N46" s="714">
        <v>0</v>
      </c>
      <c r="O46" s="716"/>
      <c r="P46" s="408">
        <v>0</v>
      </c>
      <c r="Q46" s="408">
        <v>36500</v>
      </c>
      <c r="R46" s="714">
        <v>36500</v>
      </c>
    </row>
    <row r="47" spans="1:18" s="713" customFormat="1">
      <c r="A47" s="711">
        <v>41</v>
      </c>
      <c r="B47" s="711"/>
      <c r="C47" s="711" t="s">
        <v>2241</v>
      </c>
      <c r="D47" s="712" t="s">
        <v>2257</v>
      </c>
      <c r="E47" s="711"/>
      <c r="H47" s="408">
        <v>0</v>
      </c>
      <c r="I47" s="408">
        <v>146000</v>
      </c>
      <c r="J47" s="714">
        <v>146000</v>
      </c>
      <c r="K47" s="715"/>
      <c r="L47" s="408">
        <v>0</v>
      </c>
      <c r="M47" s="408">
        <v>146000</v>
      </c>
      <c r="N47" s="714">
        <v>146000</v>
      </c>
      <c r="O47" s="716"/>
      <c r="P47" s="408">
        <v>0</v>
      </c>
      <c r="Q47" s="408">
        <v>146000</v>
      </c>
      <c r="R47" s="714">
        <v>146000</v>
      </c>
    </row>
    <row r="48" spans="1:18" s="713" customFormat="1" ht="30">
      <c r="A48" s="711">
        <v>42</v>
      </c>
      <c r="B48" s="711"/>
      <c r="C48" s="711" t="s">
        <v>2241</v>
      </c>
      <c r="D48" s="712" t="s">
        <v>2258</v>
      </c>
      <c r="E48" s="711"/>
      <c r="H48" s="408">
        <v>0</v>
      </c>
      <c r="I48" s="408">
        <v>182500</v>
      </c>
      <c r="J48" s="714">
        <v>182500</v>
      </c>
      <c r="K48" s="715"/>
      <c r="L48" s="408">
        <v>0</v>
      </c>
      <c r="M48" s="408">
        <v>182500</v>
      </c>
      <c r="N48" s="714">
        <v>182500</v>
      </c>
      <c r="O48" s="716"/>
      <c r="P48" s="408">
        <v>0</v>
      </c>
      <c r="Q48" s="408">
        <v>182500</v>
      </c>
      <c r="R48" s="714">
        <v>182500</v>
      </c>
    </row>
    <row r="49" spans="1:18" s="713" customFormat="1">
      <c r="A49" s="711">
        <v>43</v>
      </c>
      <c r="B49" s="711"/>
      <c r="C49" s="711" t="s">
        <v>2241</v>
      </c>
      <c r="D49" s="712" t="s">
        <v>2259</v>
      </c>
      <c r="E49" s="711"/>
      <c r="H49" s="408">
        <v>0</v>
      </c>
      <c r="I49" s="408">
        <v>1825000</v>
      </c>
      <c r="J49" s="714">
        <v>1825000</v>
      </c>
      <c r="K49" s="715"/>
      <c r="L49" s="408">
        <v>0</v>
      </c>
      <c r="M49" s="408">
        <v>0</v>
      </c>
      <c r="N49" s="714">
        <v>0</v>
      </c>
      <c r="O49" s="716"/>
      <c r="P49" s="408">
        <v>0</v>
      </c>
      <c r="Q49" s="408">
        <v>0</v>
      </c>
      <c r="R49" s="714">
        <v>0</v>
      </c>
    </row>
    <row r="50" spans="1:18" s="713" customFormat="1">
      <c r="A50" s="711">
        <v>44</v>
      </c>
      <c r="B50" s="711"/>
      <c r="C50" s="711" t="s">
        <v>2241</v>
      </c>
      <c r="D50" s="712" t="s">
        <v>2260</v>
      </c>
      <c r="E50" s="711"/>
      <c r="H50" s="408">
        <v>0</v>
      </c>
      <c r="I50" s="408">
        <v>0</v>
      </c>
      <c r="J50" s="714">
        <v>0</v>
      </c>
      <c r="K50" s="715"/>
      <c r="L50" s="408">
        <v>0</v>
      </c>
      <c r="M50" s="408">
        <v>1825000</v>
      </c>
      <c r="N50" s="714">
        <v>1825000</v>
      </c>
      <c r="O50" s="716"/>
      <c r="P50" s="408">
        <v>0</v>
      </c>
      <c r="Q50" s="408">
        <v>0</v>
      </c>
      <c r="R50" s="714">
        <v>0</v>
      </c>
    </row>
    <row r="51" spans="1:18" s="713" customFormat="1" ht="45">
      <c r="A51" s="711">
        <v>45</v>
      </c>
      <c r="B51" s="711"/>
      <c r="C51" s="711" t="s">
        <v>2241</v>
      </c>
      <c r="D51" s="712" t="s">
        <v>2261</v>
      </c>
      <c r="E51" s="711"/>
      <c r="H51" s="408">
        <v>0</v>
      </c>
      <c r="I51" s="408">
        <v>547500</v>
      </c>
      <c r="J51" s="714">
        <v>547500</v>
      </c>
      <c r="K51" s="715"/>
      <c r="L51" s="408">
        <v>0</v>
      </c>
      <c r="M51" s="408">
        <v>547500</v>
      </c>
      <c r="N51" s="714">
        <v>547500</v>
      </c>
      <c r="O51" s="716"/>
      <c r="P51" s="408">
        <v>0</v>
      </c>
      <c r="Q51" s="408">
        <v>0</v>
      </c>
      <c r="R51" s="714">
        <v>0</v>
      </c>
    </row>
    <row r="52" spans="1:18" s="713" customFormat="1">
      <c r="A52" s="711">
        <v>46</v>
      </c>
      <c r="B52" s="711"/>
      <c r="C52" s="711" t="s">
        <v>2241</v>
      </c>
      <c r="D52" s="712" t="s">
        <v>2262</v>
      </c>
      <c r="E52" s="711"/>
      <c r="H52" s="408">
        <v>0</v>
      </c>
      <c r="I52" s="408">
        <v>365000</v>
      </c>
      <c r="J52" s="714">
        <v>365000</v>
      </c>
      <c r="K52" s="715"/>
      <c r="L52" s="408">
        <v>0</v>
      </c>
      <c r="M52" s="408">
        <v>730000</v>
      </c>
      <c r="N52" s="714">
        <v>730000</v>
      </c>
      <c r="O52" s="716"/>
      <c r="P52" s="408">
        <v>0</v>
      </c>
      <c r="Q52" s="408">
        <v>730000</v>
      </c>
      <c r="R52" s="714">
        <v>730000</v>
      </c>
    </row>
    <row r="53" spans="1:18" s="713" customFormat="1" ht="30">
      <c r="A53" s="711">
        <v>47</v>
      </c>
      <c r="B53" s="711"/>
      <c r="C53" s="711" t="s">
        <v>2241</v>
      </c>
      <c r="D53" s="712" t="s">
        <v>2263</v>
      </c>
      <c r="E53" s="711"/>
      <c r="H53" s="408">
        <v>0</v>
      </c>
      <c r="I53" s="408">
        <v>109500</v>
      </c>
      <c r="J53" s="714">
        <v>109500</v>
      </c>
      <c r="K53" s="715"/>
      <c r="L53" s="408">
        <v>0</v>
      </c>
      <c r="M53" s="408">
        <v>182500</v>
      </c>
      <c r="N53" s="714">
        <v>182500</v>
      </c>
      <c r="O53" s="716"/>
      <c r="P53" s="408">
        <v>0</v>
      </c>
      <c r="Q53" s="408">
        <v>73000</v>
      </c>
      <c r="R53" s="714">
        <v>73000</v>
      </c>
    </row>
    <row r="54" spans="1:18" s="713" customFormat="1" ht="30">
      <c r="A54" s="711">
        <v>48</v>
      </c>
      <c r="B54" s="711"/>
      <c r="C54" s="711" t="s">
        <v>2241</v>
      </c>
      <c r="D54" s="712" t="s">
        <v>2264</v>
      </c>
      <c r="E54" s="711"/>
      <c r="H54" s="408">
        <v>0</v>
      </c>
      <c r="I54" s="408">
        <v>255500</v>
      </c>
      <c r="J54" s="714">
        <v>255500</v>
      </c>
      <c r="K54" s="715"/>
      <c r="L54" s="408">
        <v>0</v>
      </c>
      <c r="M54" s="408">
        <v>0</v>
      </c>
      <c r="N54" s="714">
        <v>0</v>
      </c>
      <c r="O54" s="716"/>
      <c r="P54" s="408">
        <v>0</v>
      </c>
      <c r="Q54" s="408">
        <v>0</v>
      </c>
      <c r="R54" s="714">
        <v>0</v>
      </c>
    </row>
    <row r="55" spans="1:18" s="713" customFormat="1">
      <c r="A55" s="711">
        <v>49</v>
      </c>
      <c r="B55" s="711"/>
      <c r="C55" s="711" t="s">
        <v>2241</v>
      </c>
      <c r="D55" s="712" t="s">
        <v>2265</v>
      </c>
      <c r="E55" s="711"/>
      <c r="H55" s="408">
        <v>0</v>
      </c>
      <c r="I55" s="408">
        <v>260610</v>
      </c>
      <c r="J55" s="714">
        <v>260610</v>
      </c>
      <c r="K55" s="715"/>
      <c r="L55" s="408">
        <v>0</v>
      </c>
      <c r="M55" s="408">
        <v>0</v>
      </c>
      <c r="N55" s="714">
        <v>0</v>
      </c>
      <c r="O55" s="716"/>
      <c r="P55" s="408">
        <v>0</v>
      </c>
      <c r="Q55" s="408">
        <v>0</v>
      </c>
      <c r="R55" s="714">
        <v>0</v>
      </c>
    </row>
    <row r="56" spans="1:18" s="713" customFormat="1">
      <c r="A56" s="711">
        <v>50</v>
      </c>
      <c r="B56" s="711"/>
      <c r="C56" s="711" t="s">
        <v>2241</v>
      </c>
      <c r="D56" s="712" t="s">
        <v>2266</v>
      </c>
      <c r="E56" s="711"/>
      <c r="H56" s="408">
        <v>0</v>
      </c>
      <c r="I56" s="408">
        <v>260610</v>
      </c>
      <c r="J56" s="714">
        <v>260610</v>
      </c>
      <c r="K56" s="715"/>
      <c r="L56" s="408">
        <v>0</v>
      </c>
      <c r="M56" s="408">
        <v>0</v>
      </c>
      <c r="N56" s="714">
        <v>0</v>
      </c>
      <c r="O56" s="716"/>
      <c r="P56" s="408">
        <v>0</v>
      </c>
      <c r="Q56" s="408">
        <v>0</v>
      </c>
      <c r="R56" s="714">
        <v>0</v>
      </c>
    </row>
    <row r="57" spans="1:18" s="713" customFormat="1" ht="30">
      <c r="A57" s="711">
        <v>51</v>
      </c>
      <c r="B57" s="711"/>
      <c r="C57" s="711" t="s">
        <v>2241</v>
      </c>
      <c r="D57" s="712" t="s">
        <v>2267</v>
      </c>
      <c r="E57" s="711"/>
      <c r="H57" s="408">
        <v>0</v>
      </c>
      <c r="I57" s="408">
        <v>255500</v>
      </c>
      <c r="J57" s="714">
        <v>255500</v>
      </c>
      <c r="K57" s="715"/>
      <c r="L57" s="408">
        <v>0</v>
      </c>
      <c r="M57" s="408">
        <v>0</v>
      </c>
      <c r="N57" s="714">
        <v>0</v>
      </c>
      <c r="O57" s="716"/>
      <c r="P57" s="408">
        <v>0</v>
      </c>
      <c r="Q57" s="408">
        <v>0</v>
      </c>
      <c r="R57" s="714">
        <v>0</v>
      </c>
    </row>
    <row r="58" spans="1:18" s="713" customFormat="1" ht="30">
      <c r="A58" s="711">
        <v>52</v>
      </c>
      <c r="B58" s="711"/>
      <c r="C58" s="711" t="s">
        <v>2241</v>
      </c>
      <c r="D58" s="712" t="s">
        <v>2268</v>
      </c>
      <c r="E58" s="711"/>
      <c r="H58" s="408">
        <v>0</v>
      </c>
      <c r="I58" s="408">
        <v>113150</v>
      </c>
      <c r="J58" s="714">
        <v>113150</v>
      </c>
      <c r="K58" s="715"/>
      <c r="L58" s="408">
        <v>0</v>
      </c>
      <c r="M58" s="408">
        <v>113150</v>
      </c>
      <c r="N58" s="714">
        <v>113150</v>
      </c>
      <c r="O58" s="716"/>
      <c r="P58" s="408">
        <v>0</v>
      </c>
      <c r="Q58" s="408">
        <v>0</v>
      </c>
      <c r="R58" s="714">
        <v>0</v>
      </c>
    </row>
    <row r="59" spans="1:18" s="713" customFormat="1" ht="30">
      <c r="A59" s="711">
        <v>53</v>
      </c>
      <c r="B59" s="711"/>
      <c r="C59" s="711" t="s">
        <v>2241</v>
      </c>
      <c r="D59" s="712" t="s">
        <v>2269</v>
      </c>
      <c r="E59" s="711"/>
      <c r="H59" s="408">
        <v>0</v>
      </c>
      <c r="I59" s="408">
        <v>91250</v>
      </c>
      <c r="J59" s="714">
        <v>91250</v>
      </c>
      <c r="K59" s="715"/>
      <c r="L59" s="408">
        <v>0</v>
      </c>
      <c r="M59" s="408">
        <v>273750</v>
      </c>
      <c r="N59" s="714">
        <v>273750</v>
      </c>
      <c r="O59" s="716"/>
      <c r="P59" s="408">
        <v>0</v>
      </c>
      <c r="Q59" s="408">
        <v>0</v>
      </c>
      <c r="R59" s="714">
        <v>0</v>
      </c>
    </row>
    <row r="60" spans="1:18" s="713" customFormat="1">
      <c r="A60" s="711">
        <v>54</v>
      </c>
      <c r="B60" s="711"/>
      <c r="C60" s="711" t="s">
        <v>2241</v>
      </c>
      <c r="D60" s="712" t="s">
        <v>2270</v>
      </c>
      <c r="E60" s="711"/>
      <c r="H60" s="408">
        <v>0</v>
      </c>
      <c r="I60" s="408">
        <v>182500</v>
      </c>
      <c r="J60" s="714">
        <v>182500</v>
      </c>
      <c r="K60" s="715"/>
      <c r="L60" s="408">
        <v>0</v>
      </c>
      <c r="M60" s="408">
        <v>182500</v>
      </c>
      <c r="N60" s="714">
        <v>182500</v>
      </c>
      <c r="O60" s="716"/>
      <c r="P60" s="408">
        <v>0</v>
      </c>
      <c r="Q60" s="408">
        <v>182500</v>
      </c>
      <c r="R60" s="714">
        <v>182500</v>
      </c>
    </row>
    <row r="61" spans="1:18" s="713" customFormat="1">
      <c r="A61" s="711">
        <v>55</v>
      </c>
      <c r="B61" s="711"/>
      <c r="C61" s="711" t="s">
        <v>2241</v>
      </c>
      <c r="D61" s="712" t="s">
        <v>2271</v>
      </c>
      <c r="E61" s="711"/>
      <c r="H61" s="408">
        <v>0</v>
      </c>
      <c r="I61" s="408">
        <v>0</v>
      </c>
      <c r="J61" s="714">
        <v>0</v>
      </c>
      <c r="K61" s="715"/>
      <c r="L61" s="408">
        <v>0</v>
      </c>
      <c r="M61" s="408">
        <v>182500</v>
      </c>
      <c r="N61" s="714">
        <v>182500</v>
      </c>
      <c r="O61" s="716"/>
      <c r="P61" s="408">
        <v>0</v>
      </c>
      <c r="Q61" s="408">
        <v>0</v>
      </c>
      <c r="R61" s="714">
        <v>0</v>
      </c>
    </row>
    <row r="62" spans="1:18" s="713" customFormat="1">
      <c r="A62" s="711">
        <v>56</v>
      </c>
      <c r="B62" s="711"/>
      <c r="C62" s="711" t="s">
        <v>2241</v>
      </c>
      <c r="D62" s="712" t="s">
        <v>2272</v>
      </c>
      <c r="E62" s="711"/>
      <c r="H62" s="408">
        <v>0</v>
      </c>
      <c r="I62" s="408">
        <v>182500</v>
      </c>
      <c r="J62" s="714">
        <v>182500</v>
      </c>
      <c r="K62" s="715"/>
      <c r="L62" s="408">
        <v>0</v>
      </c>
      <c r="M62" s="408">
        <v>0</v>
      </c>
      <c r="N62" s="714">
        <v>0</v>
      </c>
      <c r="O62" s="716"/>
      <c r="P62" s="408">
        <v>0</v>
      </c>
      <c r="Q62" s="408">
        <v>0</v>
      </c>
      <c r="R62" s="714">
        <v>0</v>
      </c>
    </row>
    <row r="63" spans="1:18" s="713" customFormat="1">
      <c r="A63" s="711">
        <v>57</v>
      </c>
      <c r="B63" s="711"/>
      <c r="C63" s="711" t="s">
        <v>2241</v>
      </c>
      <c r="D63" s="712" t="s">
        <v>2273</v>
      </c>
      <c r="E63" s="711"/>
      <c r="H63" s="408">
        <v>0</v>
      </c>
      <c r="I63" s="408">
        <v>73000</v>
      </c>
      <c r="J63" s="714">
        <v>73000</v>
      </c>
      <c r="K63" s="715"/>
      <c r="L63" s="408">
        <v>0</v>
      </c>
      <c r="M63" s="408">
        <v>73000</v>
      </c>
      <c r="N63" s="714">
        <v>73000</v>
      </c>
      <c r="O63" s="716"/>
      <c r="P63" s="408">
        <v>0</v>
      </c>
      <c r="Q63" s="408">
        <v>0</v>
      </c>
      <c r="R63" s="714">
        <v>0</v>
      </c>
    </row>
    <row r="64" spans="1:18" s="713" customFormat="1">
      <c r="A64" s="711">
        <v>58</v>
      </c>
      <c r="B64" s="711"/>
      <c r="C64" s="711" t="s">
        <v>2241</v>
      </c>
      <c r="D64" s="712" t="s">
        <v>2274</v>
      </c>
      <c r="E64" s="711"/>
      <c r="H64" s="408">
        <v>0</v>
      </c>
      <c r="I64" s="408">
        <v>730000</v>
      </c>
      <c r="J64" s="714">
        <v>730000</v>
      </c>
      <c r="K64" s="715"/>
      <c r="L64" s="408">
        <v>0</v>
      </c>
      <c r="M64" s="408">
        <v>730000</v>
      </c>
      <c r="N64" s="714">
        <v>730000</v>
      </c>
      <c r="O64" s="716"/>
      <c r="P64" s="408">
        <v>0</v>
      </c>
      <c r="Q64" s="408">
        <v>730000</v>
      </c>
      <c r="R64" s="714">
        <v>730000</v>
      </c>
    </row>
    <row r="65" spans="1:18" s="713" customFormat="1" ht="30">
      <c r="A65" s="711">
        <v>59</v>
      </c>
      <c r="B65" s="711"/>
      <c r="C65" s="711" t="s">
        <v>2241</v>
      </c>
      <c r="D65" s="712" t="s">
        <v>2275</v>
      </c>
      <c r="E65" s="711"/>
      <c r="H65" s="408">
        <v>0</v>
      </c>
      <c r="I65" s="408">
        <v>365000</v>
      </c>
      <c r="J65" s="714">
        <v>365000</v>
      </c>
      <c r="K65" s="715"/>
      <c r="L65" s="408">
        <v>0</v>
      </c>
      <c r="M65" s="408">
        <v>365000</v>
      </c>
      <c r="N65" s="714">
        <v>365000</v>
      </c>
      <c r="O65" s="716"/>
      <c r="P65" s="408">
        <v>0</v>
      </c>
      <c r="Q65" s="408">
        <v>0</v>
      </c>
      <c r="R65" s="714">
        <v>0</v>
      </c>
    </row>
    <row r="66" spans="1:18" s="713" customFormat="1">
      <c r="A66" s="711">
        <v>60</v>
      </c>
      <c r="B66" s="711"/>
      <c r="C66" s="711" t="s">
        <v>2241</v>
      </c>
      <c r="D66" s="712" t="s">
        <v>2276</v>
      </c>
      <c r="E66" s="711"/>
      <c r="H66" s="408">
        <v>0</v>
      </c>
      <c r="I66" s="408">
        <v>146000</v>
      </c>
      <c r="J66" s="714">
        <v>146000</v>
      </c>
      <c r="K66" s="715"/>
      <c r="L66" s="408">
        <v>0</v>
      </c>
      <c r="M66" s="408">
        <v>146000</v>
      </c>
      <c r="N66" s="714">
        <v>146000</v>
      </c>
      <c r="O66" s="716"/>
      <c r="P66" s="408">
        <v>0</v>
      </c>
      <c r="Q66" s="408">
        <v>146000</v>
      </c>
      <c r="R66" s="714">
        <v>146000</v>
      </c>
    </row>
    <row r="67" spans="1:18" s="713" customFormat="1">
      <c r="A67" s="711">
        <v>61</v>
      </c>
      <c r="B67" s="711"/>
      <c r="C67" s="711" t="s">
        <v>2277</v>
      </c>
      <c r="D67" s="712" t="s">
        <v>2278</v>
      </c>
      <c r="E67" s="711"/>
      <c r="H67" s="408">
        <v>0</v>
      </c>
      <c r="I67" s="408">
        <v>13000000</v>
      </c>
      <c r="J67" s="714">
        <v>13000000</v>
      </c>
      <c r="K67" s="715"/>
      <c r="L67" s="408">
        <v>0</v>
      </c>
      <c r="M67" s="408">
        <v>6000000</v>
      </c>
      <c r="N67" s="714">
        <v>6000000</v>
      </c>
      <c r="O67" s="716"/>
      <c r="P67" s="408">
        <v>0</v>
      </c>
      <c r="Q67" s="408">
        <v>6100000</v>
      </c>
      <c r="R67" s="714">
        <v>6100000</v>
      </c>
    </row>
    <row r="68" spans="1:18" s="713" customFormat="1">
      <c r="A68" s="711">
        <v>62</v>
      </c>
      <c r="B68" s="711"/>
      <c r="C68" s="711" t="s">
        <v>2277</v>
      </c>
      <c r="D68" s="712" t="s">
        <v>2279</v>
      </c>
      <c r="E68" s="711"/>
      <c r="H68" s="408">
        <v>0</v>
      </c>
      <c r="I68" s="408">
        <v>10000000</v>
      </c>
      <c r="J68" s="714">
        <v>10000000</v>
      </c>
      <c r="K68" s="715"/>
      <c r="L68" s="408">
        <v>0</v>
      </c>
      <c r="M68" s="408">
        <v>0</v>
      </c>
      <c r="N68" s="714">
        <v>0</v>
      </c>
      <c r="O68" s="716"/>
      <c r="P68" s="408">
        <v>0</v>
      </c>
      <c r="Q68" s="408">
        <v>0</v>
      </c>
      <c r="R68" s="714">
        <v>0</v>
      </c>
    </row>
    <row r="69" spans="1:18" s="713" customFormat="1">
      <c r="A69" s="711">
        <v>63</v>
      </c>
      <c r="B69" s="711"/>
      <c r="C69" s="711" t="s">
        <v>2277</v>
      </c>
      <c r="D69" s="712" t="s">
        <v>2280</v>
      </c>
      <c r="E69" s="711"/>
      <c r="H69" s="408">
        <v>0</v>
      </c>
      <c r="I69" s="408">
        <v>365000</v>
      </c>
      <c r="J69" s="714">
        <v>365000</v>
      </c>
      <c r="K69" s="715"/>
      <c r="L69" s="408">
        <v>0</v>
      </c>
      <c r="M69" s="408">
        <v>0</v>
      </c>
      <c r="N69" s="714">
        <v>0</v>
      </c>
      <c r="O69" s="716"/>
      <c r="P69" s="408">
        <v>0</v>
      </c>
      <c r="Q69" s="408">
        <v>0</v>
      </c>
      <c r="R69" s="714">
        <v>0</v>
      </c>
    </row>
    <row r="70" spans="1:18" s="713" customFormat="1">
      <c r="A70" s="711">
        <v>64</v>
      </c>
      <c r="B70" s="711"/>
      <c r="C70" s="711" t="s">
        <v>2277</v>
      </c>
      <c r="D70" s="712" t="s">
        <v>2281</v>
      </c>
      <c r="E70" s="711"/>
      <c r="H70" s="408">
        <v>0</v>
      </c>
      <c r="I70" s="408">
        <v>0</v>
      </c>
      <c r="J70" s="714">
        <v>0</v>
      </c>
      <c r="K70" s="715"/>
      <c r="L70" s="408">
        <v>0</v>
      </c>
      <c r="M70" s="408">
        <v>109500</v>
      </c>
      <c r="N70" s="714">
        <v>109500</v>
      </c>
      <c r="O70" s="716"/>
      <c r="P70" s="408">
        <v>0</v>
      </c>
      <c r="Q70" s="408">
        <v>0</v>
      </c>
      <c r="R70" s="714">
        <v>0</v>
      </c>
    </row>
    <row r="71" spans="1:18" s="713" customFormat="1">
      <c r="A71" s="711">
        <v>65</v>
      </c>
      <c r="B71" s="711"/>
      <c r="C71" s="711" t="s">
        <v>2277</v>
      </c>
      <c r="D71" s="712" t="s">
        <v>2282</v>
      </c>
      <c r="E71" s="711"/>
      <c r="H71" s="408">
        <v>0</v>
      </c>
      <c r="I71" s="408">
        <v>0</v>
      </c>
      <c r="J71" s="714">
        <v>0</v>
      </c>
      <c r="K71" s="715"/>
      <c r="L71" s="408">
        <v>0</v>
      </c>
      <c r="M71" s="408">
        <v>73000</v>
      </c>
      <c r="N71" s="714">
        <v>73000</v>
      </c>
      <c r="O71" s="716"/>
      <c r="P71" s="408">
        <v>0</v>
      </c>
      <c r="Q71" s="408">
        <v>146000</v>
      </c>
      <c r="R71" s="714">
        <v>146000</v>
      </c>
    </row>
    <row r="72" spans="1:18" s="713" customFormat="1">
      <c r="A72" s="711">
        <v>66</v>
      </c>
      <c r="B72" s="711"/>
      <c r="C72" s="711" t="s">
        <v>2277</v>
      </c>
      <c r="D72" s="712" t="s">
        <v>2283</v>
      </c>
      <c r="E72" s="711"/>
      <c r="H72" s="408">
        <v>0</v>
      </c>
      <c r="I72" s="408">
        <v>438000</v>
      </c>
      <c r="J72" s="714">
        <v>438000</v>
      </c>
      <c r="K72" s="715"/>
      <c r="L72" s="408">
        <v>0</v>
      </c>
      <c r="M72" s="408">
        <v>0</v>
      </c>
      <c r="N72" s="714">
        <v>0</v>
      </c>
      <c r="O72" s="716"/>
      <c r="P72" s="408">
        <v>0</v>
      </c>
      <c r="Q72" s="408">
        <v>0</v>
      </c>
      <c r="R72" s="714">
        <v>0</v>
      </c>
    </row>
    <row r="73" spans="1:18" s="713" customFormat="1" ht="30">
      <c r="A73" s="711">
        <v>67</v>
      </c>
      <c r="B73" s="711"/>
      <c r="C73" s="711" t="s">
        <v>2277</v>
      </c>
      <c r="D73" s="712" t="s">
        <v>2284</v>
      </c>
      <c r="E73" s="711"/>
      <c r="H73" s="408">
        <v>0</v>
      </c>
      <c r="I73" s="408">
        <v>273750</v>
      </c>
      <c r="J73" s="714">
        <v>273750</v>
      </c>
      <c r="K73" s="715"/>
      <c r="L73" s="408">
        <v>0</v>
      </c>
      <c r="M73" s="408">
        <v>36500</v>
      </c>
      <c r="N73" s="714">
        <v>36500</v>
      </c>
      <c r="O73" s="716"/>
      <c r="P73" s="408">
        <v>0</v>
      </c>
      <c r="Q73" s="408">
        <v>36500</v>
      </c>
      <c r="R73" s="714">
        <v>36500</v>
      </c>
    </row>
    <row r="74" spans="1:18" s="713" customFormat="1">
      <c r="A74" s="711">
        <v>68</v>
      </c>
      <c r="B74" s="711"/>
      <c r="C74" s="711" t="s">
        <v>2277</v>
      </c>
      <c r="D74" s="712" t="s">
        <v>2285</v>
      </c>
      <c r="E74" s="711"/>
      <c r="H74" s="408">
        <v>0</v>
      </c>
      <c r="I74" s="408">
        <v>146000</v>
      </c>
      <c r="J74" s="714">
        <v>146000</v>
      </c>
      <c r="K74" s="715"/>
      <c r="L74" s="408">
        <v>0</v>
      </c>
      <c r="M74" s="408">
        <v>146000</v>
      </c>
      <c r="N74" s="714">
        <v>146000</v>
      </c>
      <c r="O74" s="716"/>
      <c r="P74" s="408">
        <v>0</v>
      </c>
      <c r="Q74" s="408">
        <v>0</v>
      </c>
      <c r="R74" s="714">
        <v>0</v>
      </c>
    </row>
    <row r="75" spans="1:18" s="713" customFormat="1" ht="30">
      <c r="A75" s="711">
        <v>69</v>
      </c>
      <c r="B75" s="711"/>
      <c r="C75" s="711" t="s">
        <v>2277</v>
      </c>
      <c r="D75" s="712" t="s">
        <v>2286</v>
      </c>
      <c r="E75" s="711"/>
      <c r="H75" s="408">
        <v>0</v>
      </c>
      <c r="I75" s="408">
        <v>365000</v>
      </c>
      <c r="J75" s="714">
        <v>365000</v>
      </c>
      <c r="K75" s="715"/>
      <c r="L75" s="408">
        <v>0</v>
      </c>
      <c r="M75" s="408">
        <v>255500</v>
      </c>
      <c r="N75" s="714">
        <v>255500</v>
      </c>
      <c r="O75" s="716"/>
      <c r="P75" s="408">
        <v>0</v>
      </c>
      <c r="Q75" s="408">
        <v>182500</v>
      </c>
      <c r="R75" s="714">
        <v>182500</v>
      </c>
    </row>
    <row r="76" spans="1:18" s="713" customFormat="1">
      <c r="A76" s="711">
        <v>70</v>
      </c>
      <c r="B76" s="711"/>
      <c r="C76" s="711" t="s">
        <v>2277</v>
      </c>
      <c r="D76" s="712" t="s">
        <v>2287</v>
      </c>
      <c r="E76" s="711"/>
      <c r="H76" s="408">
        <v>0</v>
      </c>
      <c r="I76" s="408">
        <v>0</v>
      </c>
      <c r="J76" s="714">
        <v>0</v>
      </c>
      <c r="K76" s="715"/>
      <c r="L76" s="408">
        <v>0</v>
      </c>
      <c r="M76" s="408">
        <v>1277500</v>
      </c>
      <c r="N76" s="714">
        <v>1277500</v>
      </c>
      <c r="O76" s="716"/>
      <c r="P76" s="408">
        <v>0</v>
      </c>
      <c r="Q76" s="408">
        <v>1277500</v>
      </c>
      <c r="R76" s="714">
        <v>1277500</v>
      </c>
    </row>
    <row r="77" spans="1:18" s="713" customFormat="1">
      <c r="A77" s="711">
        <v>71</v>
      </c>
      <c r="B77" s="711"/>
      <c r="C77" s="711" t="s">
        <v>2277</v>
      </c>
      <c r="D77" s="712" t="s">
        <v>2288</v>
      </c>
      <c r="E77" s="711"/>
      <c r="H77" s="408">
        <v>0</v>
      </c>
      <c r="I77" s="408">
        <v>547500</v>
      </c>
      <c r="J77" s="714">
        <v>547500</v>
      </c>
      <c r="K77" s="715"/>
      <c r="L77" s="408">
        <v>0</v>
      </c>
      <c r="M77" s="408">
        <v>0</v>
      </c>
      <c r="N77" s="714">
        <v>0</v>
      </c>
      <c r="O77" s="716"/>
      <c r="P77" s="408">
        <v>0</v>
      </c>
      <c r="Q77" s="408">
        <v>0</v>
      </c>
      <c r="R77" s="714">
        <v>0</v>
      </c>
    </row>
    <row r="78" spans="1:18" s="713" customFormat="1" ht="30">
      <c r="A78" s="711">
        <v>72</v>
      </c>
      <c r="B78" s="711"/>
      <c r="C78" s="711" t="s">
        <v>2277</v>
      </c>
      <c r="D78" s="712" t="s">
        <v>2289</v>
      </c>
      <c r="E78" s="711"/>
      <c r="H78" s="408">
        <v>0</v>
      </c>
      <c r="I78" s="408">
        <v>36500</v>
      </c>
      <c r="J78" s="714">
        <v>36500</v>
      </c>
      <c r="K78" s="715"/>
      <c r="L78" s="408">
        <v>0</v>
      </c>
      <c r="M78" s="408">
        <v>36500</v>
      </c>
      <c r="N78" s="714">
        <v>36500</v>
      </c>
      <c r="O78" s="716"/>
      <c r="P78" s="408">
        <v>0</v>
      </c>
      <c r="Q78" s="408">
        <v>36500</v>
      </c>
      <c r="R78" s="714">
        <v>36500</v>
      </c>
    </row>
    <row r="79" spans="1:18" s="713" customFormat="1">
      <c r="A79" s="711">
        <v>73</v>
      </c>
      <c r="B79" s="711"/>
      <c r="C79" s="711" t="s">
        <v>2277</v>
      </c>
      <c r="D79" s="712" t="s">
        <v>2290</v>
      </c>
      <c r="E79" s="711"/>
      <c r="H79" s="408">
        <v>0</v>
      </c>
      <c r="I79" s="408">
        <v>109500</v>
      </c>
      <c r="J79" s="714">
        <v>109500</v>
      </c>
      <c r="K79" s="715"/>
      <c r="L79" s="408">
        <v>0</v>
      </c>
      <c r="M79" s="408">
        <v>109500</v>
      </c>
      <c r="N79" s="714">
        <v>109500</v>
      </c>
      <c r="O79" s="716"/>
      <c r="P79" s="408">
        <v>0</v>
      </c>
      <c r="Q79" s="408">
        <v>127750</v>
      </c>
      <c r="R79" s="714">
        <v>127750</v>
      </c>
    </row>
    <row r="80" spans="1:18" s="713" customFormat="1">
      <c r="A80" s="711">
        <v>74</v>
      </c>
      <c r="B80" s="711"/>
      <c r="C80" s="711" t="s">
        <v>2277</v>
      </c>
      <c r="D80" s="712" t="s">
        <v>2291</v>
      </c>
      <c r="E80" s="711"/>
      <c r="H80" s="408">
        <v>0</v>
      </c>
      <c r="I80" s="408">
        <v>730000</v>
      </c>
      <c r="J80" s="714">
        <v>730000</v>
      </c>
      <c r="K80" s="715"/>
      <c r="L80" s="408">
        <v>0</v>
      </c>
      <c r="M80" s="408">
        <v>730000</v>
      </c>
      <c r="N80" s="714">
        <v>730000</v>
      </c>
      <c r="O80" s="716"/>
      <c r="P80" s="408">
        <v>0</v>
      </c>
      <c r="Q80" s="408">
        <v>730000</v>
      </c>
      <c r="R80" s="714">
        <v>730000</v>
      </c>
    </row>
    <row r="81" spans="1:18" s="713" customFormat="1">
      <c r="A81" s="711">
        <v>75</v>
      </c>
      <c r="B81" s="711"/>
      <c r="C81" s="711" t="s">
        <v>2277</v>
      </c>
      <c r="D81" s="712" t="s">
        <v>2292</v>
      </c>
      <c r="E81" s="711"/>
      <c r="H81" s="408">
        <v>0</v>
      </c>
      <c r="I81" s="408">
        <v>730000</v>
      </c>
      <c r="J81" s="714">
        <v>730000</v>
      </c>
      <c r="K81" s="715"/>
      <c r="L81" s="408">
        <v>0</v>
      </c>
      <c r="M81" s="408">
        <v>365000</v>
      </c>
      <c r="N81" s="714">
        <v>365000</v>
      </c>
      <c r="O81" s="716"/>
      <c r="P81" s="408">
        <v>0</v>
      </c>
      <c r="Q81" s="408">
        <v>365000</v>
      </c>
      <c r="R81" s="714">
        <v>365000</v>
      </c>
    </row>
    <row r="82" spans="1:18" s="713" customFormat="1">
      <c r="A82" s="711">
        <v>76</v>
      </c>
      <c r="B82" s="711"/>
      <c r="C82" s="711" t="s">
        <v>2277</v>
      </c>
      <c r="D82" s="712" t="s">
        <v>2293</v>
      </c>
      <c r="E82" s="711"/>
      <c r="H82" s="408">
        <v>0</v>
      </c>
      <c r="I82" s="408">
        <v>281050</v>
      </c>
      <c r="J82" s="714">
        <v>281050</v>
      </c>
      <c r="K82" s="715"/>
      <c r="L82" s="408">
        <v>0</v>
      </c>
      <c r="M82" s="408">
        <v>0</v>
      </c>
      <c r="N82" s="714">
        <v>0</v>
      </c>
      <c r="O82" s="716"/>
      <c r="P82" s="408">
        <v>0</v>
      </c>
      <c r="Q82" s="408">
        <v>0</v>
      </c>
      <c r="R82" s="714">
        <v>0</v>
      </c>
    </row>
    <row r="83" spans="1:18" s="713" customFormat="1" ht="30">
      <c r="A83" s="711">
        <v>77</v>
      </c>
      <c r="B83" s="711"/>
      <c r="C83" s="711" t="s">
        <v>2277</v>
      </c>
      <c r="D83" s="712" t="s">
        <v>2294</v>
      </c>
      <c r="E83" s="711"/>
      <c r="H83" s="408">
        <v>0</v>
      </c>
      <c r="I83" s="408">
        <v>0</v>
      </c>
      <c r="J83" s="714">
        <v>0</v>
      </c>
      <c r="K83" s="715"/>
      <c r="L83" s="408">
        <v>0</v>
      </c>
      <c r="M83" s="408">
        <v>0</v>
      </c>
      <c r="N83" s="714">
        <v>0</v>
      </c>
      <c r="O83" s="716"/>
      <c r="P83" s="408">
        <v>0</v>
      </c>
      <c r="Q83" s="408">
        <v>292000</v>
      </c>
      <c r="R83" s="714">
        <v>292000</v>
      </c>
    </row>
    <row r="84" spans="1:18" s="713" customFormat="1">
      <c r="A84" s="711">
        <v>78</v>
      </c>
      <c r="B84" s="711"/>
      <c r="C84" s="711" t="s">
        <v>2277</v>
      </c>
      <c r="D84" s="712" t="s">
        <v>2295</v>
      </c>
      <c r="E84" s="711"/>
      <c r="H84" s="408">
        <v>0</v>
      </c>
      <c r="I84" s="408">
        <v>80300</v>
      </c>
      <c r="J84" s="714">
        <v>80300</v>
      </c>
      <c r="K84" s="715"/>
      <c r="L84" s="408">
        <v>0</v>
      </c>
      <c r="M84" s="408">
        <v>0</v>
      </c>
      <c r="N84" s="714">
        <v>0</v>
      </c>
      <c r="O84" s="716"/>
      <c r="P84" s="408">
        <v>0</v>
      </c>
      <c r="Q84" s="408">
        <v>80300</v>
      </c>
      <c r="R84" s="714">
        <v>80300</v>
      </c>
    </row>
    <row r="85" spans="1:18" s="713" customFormat="1">
      <c r="A85" s="711">
        <v>79</v>
      </c>
      <c r="B85" s="711"/>
      <c r="C85" s="711" t="s">
        <v>2277</v>
      </c>
      <c r="D85" s="712" t="s">
        <v>2296</v>
      </c>
      <c r="E85" s="711"/>
      <c r="H85" s="408">
        <v>0</v>
      </c>
      <c r="I85" s="408">
        <v>0</v>
      </c>
      <c r="J85" s="714">
        <v>0</v>
      </c>
      <c r="K85" s="715"/>
      <c r="L85" s="408">
        <v>0</v>
      </c>
      <c r="M85" s="408">
        <v>0</v>
      </c>
      <c r="N85" s="714">
        <v>0</v>
      </c>
      <c r="O85" s="716"/>
      <c r="P85" s="408">
        <v>0</v>
      </c>
      <c r="Q85" s="408">
        <v>182500</v>
      </c>
      <c r="R85" s="714">
        <v>182500</v>
      </c>
    </row>
    <row r="86" spans="1:18" s="713" customFormat="1">
      <c r="A86" s="711">
        <v>80</v>
      </c>
      <c r="B86" s="711"/>
      <c r="C86" s="711" t="s">
        <v>2277</v>
      </c>
      <c r="D86" s="712" t="s">
        <v>2297</v>
      </c>
      <c r="E86" s="711"/>
      <c r="H86" s="408">
        <v>0</v>
      </c>
      <c r="I86" s="408">
        <v>0</v>
      </c>
      <c r="J86" s="714">
        <v>0</v>
      </c>
      <c r="K86" s="715"/>
      <c r="L86" s="408">
        <v>0</v>
      </c>
      <c r="M86" s="408">
        <v>127750</v>
      </c>
      <c r="N86" s="714">
        <v>127750</v>
      </c>
      <c r="O86" s="716"/>
      <c r="P86" s="408">
        <v>0</v>
      </c>
      <c r="Q86" s="408">
        <v>73000</v>
      </c>
      <c r="R86" s="714">
        <v>73000</v>
      </c>
    </row>
    <row r="87" spans="1:18" s="713" customFormat="1">
      <c r="A87" s="711">
        <v>81</v>
      </c>
      <c r="B87" s="711"/>
      <c r="C87" s="711" t="s">
        <v>2277</v>
      </c>
      <c r="D87" s="712" t="s">
        <v>2298</v>
      </c>
      <c r="E87" s="711"/>
      <c r="H87" s="408">
        <v>0</v>
      </c>
      <c r="I87" s="408">
        <v>0</v>
      </c>
      <c r="J87" s="714">
        <v>0</v>
      </c>
      <c r="K87" s="715"/>
      <c r="L87" s="408">
        <v>0</v>
      </c>
      <c r="M87" s="408">
        <v>182500</v>
      </c>
      <c r="N87" s="714">
        <v>182500</v>
      </c>
      <c r="O87" s="716"/>
      <c r="P87" s="408">
        <v>0</v>
      </c>
      <c r="Q87" s="408">
        <v>182500</v>
      </c>
      <c r="R87" s="714">
        <v>182500</v>
      </c>
    </row>
    <row r="88" spans="1:18" s="713" customFormat="1">
      <c r="A88" s="711">
        <v>82</v>
      </c>
      <c r="B88" s="711"/>
      <c r="C88" s="711" t="s">
        <v>2277</v>
      </c>
      <c r="D88" s="712" t="s">
        <v>2299</v>
      </c>
      <c r="E88" s="711"/>
      <c r="H88" s="408">
        <v>0</v>
      </c>
      <c r="I88" s="408">
        <v>0</v>
      </c>
      <c r="J88" s="714">
        <v>0</v>
      </c>
      <c r="K88" s="715"/>
      <c r="L88" s="408">
        <v>0</v>
      </c>
      <c r="M88" s="408">
        <v>730000</v>
      </c>
      <c r="N88" s="714">
        <v>730000</v>
      </c>
      <c r="O88" s="716"/>
      <c r="P88" s="408">
        <v>0</v>
      </c>
      <c r="Q88" s="408">
        <v>2190000</v>
      </c>
      <c r="R88" s="714">
        <v>2190000</v>
      </c>
    </row>
    <row r="89" spans="1:18" s="713" customFormat="1">
      <c r="A89" s="711">
        <v>83</v>
      </c>
      <c r="B89" s="711"/>
      <c r="C89" s="711" t="s">
        <v>2277</v>
      </c>
      <c r="D89" s="712" t="s">
        <v>2300</v>
      </c>
      <c r="E89" s="711"/>
      <c r="H89" s="408">
        <v>0</v>
      </c>
      <c r="I89" s="408">
        <v>146000</v>
      </c>
      <c r="J89" s="714">
        <v>146000</v>
      </c>
      <c r="K89" s="715"/>
      <c r="L89" s="408">
        <v>0</v>
      </c>
      <c r="M89" s="408">
        <v>36500</v>
      </c>
      <c r="N89" s="714">
        <v>36500</v>
      </c>
      <c r="O89" s="716"/>
      <c r="P89" s="408">
        <v>0</v>
      </c>
      <c r="Q89" s="408">
        <v>146000</v>
      </c>
      <c r="R89" s="714">
        <v>146000</v>
      </c>
    </row>
    <row r="90" spans="1:18" s="713" customFormat="1" ht="30">
      <c r="A90" s="711">
        <v>84</v>
      </c>
      <c r="B90" s="711"/>
      <c r="C90" s="711" t="s">
        <v>2277</v>
      </c>
      <c r="D90" s="712" t="s">
        <v>2301</v>
      </c>
      <c r="E90" s="711"/>
      <c r="H90" s="408">
        <v>0</v>
      </c>
      <c r="I90" s="408">
        <v>54750</v>
      </c>
      <c r="J90" s="714">
        <v>54750</v>
      </c>
      <c r="K90" s="715"/>
      <c r="L90" s="408">
        <v>0</v>
      </c>
      <c r="M90" s="408">
        <v>54750</v>
      </c>
      <c r="N90" s="714">
        <v>54750</v>
      </c>
      <c r="O90" s="716"/>
      <c r="P90" s="408">
        <v>0</v>
      </c>
      <c r="Q90" s="408">
        <v>54750</v>
      </c>
      <c r="R90" s="714">
        <v>54750</v>
      </c>
    </row>
    <row r="91" spans="1:18" s="713" customFormat="1">
      <c r="A91" s="711">
        <v>85</v>
      </c>
      <c r="B91" s="711"/>
      <c r="C91" s="711" t="s">
        <v>2277</v>
      </c>
      <c r="D91" s="712" t="s">
        <v>2302</v>
      </c>
      <c r="E91" s="711"/>
      <c r="H91" s="408">
        <v>0</v>
      </c>
      <c r="I91" s="408">
        <v>43800</v>
      </c>
      <c r="J91" s="714">
        <v>43800</v>
      </c>
      <c r="K91" s="715"/>
      <c r="L91" s="408">
        <v>0</v>
      </c>
      <c r="M91" s="408">
        <v>0</v>
      </c>
      <c r="N91" s="714">
        <v>0</v>
      </c>
      <c r="O91" s="716"/>
      <c r="P91" s="408">
        <v>0</v>
      </c>
      <c r="Q91" s="408">
        <v>0</v>
      </c>
      <c r="R91" s="714">
        <v>0</v>
      </c>
    </row>
    <row r="92" spans="1:18" s="713" customFormat="1">
      <c r="A92" s="711">
        <v>86</v>
      </c>
      <c r="B92" s="711"/>
      <c r="C92" s="711" t="s">
        <v>2277</v>
      </c>
      <c r="D92" s="712" t="s">
        <v>2303</v>
      </c>
      <c r="E92" s="711"/>
      <c r="H92" s="408">
        <v>0</v>
      </c>
      <c r="I92" s="408">
        <v>0</v>
      </c>
      <c r="J92" s="714">
        <v>0</v>
      </c>
      <c r="K92" s="715"/>
      <c r="L92" s="408">
        <v>0</v>
      </c>
      <c r="M92" s="408">
        <v>365000</v>
      </c>
      <c r="N92" s="714">
        <v>365000</v>
      </c>
      <c r="O92" s="716"/>
      <c r="P92" s="408">
        <v>0</v>
      </c>
      <c r="Q92" s="408">
        <v>1095000</v>
      </c>
      <c r="R92" s="714">
        <v>1095000</v>
      </c>
    </row>
    <row r="93" spans="1:18" s="713" customFormat="1">
      <c r="A93" s="711">
        <v>87</v>
      </c>
      <c r="B93" s="711"/>
      <c r="C93" s="711" t="s">
        <v>2277</v>
      </c>
      <c r="D93" s="712" t="s">
        <v>2304</v>
      </c>
      <c r="E93" s="711"/>
      <c r="H93" s="408">
        <v>0</v>
      </c>
      <c r="I93" s="408">
        <v>365000</v>
      </c>
      <c r="J93" s="714">
        <v>365000</v>
      </c>
      <c r="K93" s="715"/>
      <c r="L93" s="408">
        <v>0</v>
      </c>
      <c r="M93" s="408">
        <v>2190000</v>
      </c>
      <c r="N93" s="714">
        <v>2190000</v>
      </c>
      <c r="O93" s="716"/>
      <c r="P93" s="408">
        <v>0</v>
      </c>
      <c r="Q93" s="408">
        <v>8395000</v>
      </c>
      <c r="R93" s="714">
        <v>8395000</v>
      </c>
    </row>
    <row r="94" spans="1:18" s="713" customFormat="1">
      <c r="A94" s="711">
        <v>88</v>
      </c>
      <c r="B94" s="711"/>
      <c r="C94" s="711" t="s">
        <v>2277</v>
      </c>
      <c r="D94" s="712" t="s">
        <v>2305</v>
      </c>
      <c r="E94" s="711"/>
      <c r="H94" s="408">
        <v>0</v>
      </c>
      <c r="I94" s="408">
        <v>0</v>
      </c>
      <c r="J94" s="714">
        <v>0</v>
      </c>
      <c r="K94" s="715"/>
      <c r="L94" s="408">
        <v>0</v>
      </c>
      <c r="M94" s="408">
        <v>1825000</v>
      </c>
      <c r="N94" s="714">
        <v>1825000</v>
      </c>
      <c r="O94" s="716"/>
      <c r="P94" s="408">
        <v>0</v>
      </c>
      <c r="Q94" s="408">
        <v>0</v>
      </c>
      <c r="R94" s="714">
        <v>0</v>
      </c>
    </row>
    <row r="95" spans="1:18" s="713" customFormat="1">
      <c r="A95" s="711">
        <v>89</v>
      </c>
      <c r="B95" s="711"/>
      <c r="C95" s="711" t="s">
        <v>2277</v>
      </c>
      <c r="D95" s="712" t="s">
        <v>2306</v>
      </c>
      <c r="E95" s="711"/>
      <c r="H95" s="408">
        <v>0</v>
      </c>
      <c r="I95" s="408">
        <v>0</v>
      </c>
      <c r="J95" s="714">
        <v>0</v>
      </c>
      <c r="K95" s="715"/>
      <c r="L95" s="408">
        <v>0</v>
      </c>
      <c r="M95" s="408">
        <v>1825000</v>
      </c>
      <c r="N95" s="714">
        <v>1825000</v>
      </c>
      <c r="O95" s="716"/>
      <c r="P95" s="408">
        <v>0</v>
      </c>
      <c r="Q95" s="408">
        <v>0</v>
      </c>
      <c r="R95" s="714">
        <v>0</v>
      </c>
    </row>
    <row r="96" spans="1:18" s="713" customFormat="1">
      <c r="A96" s="711">
        <v>90</v>
      </c>
      <c r="B96" s="711"/>
      <c r="C96" s="711" t="s">
        <v>2277</v>
      </c>
      <c r="D96" s="712" t="s">
        <v>2307</v>
      </c>
      <c r="E96" s="711"/>
      <c r="H96" s="408">
        <v>0</v>
      </c>
      <c r="I96" s="408">
        <v>730000</v>
      </c>
      <c r="J96" s="714">
        <v>730000</v>
      </c>
      <c r="K96" s="715"/>
      <c r="L96" s="408">
        <v>0</v>
      </c>
      <c r="M96" s="408">
        <v>730000</v>
      </c>
      <c r="N96" s="714">
        <v>730000</v>
      </c>
      <c r="O96" s="716"/>
      <c r="P96" s="408">
        <v>0</v>
      </c>
      <c r="Q96" s="408">
        <v>730000</v>
      </c>
      <c r="R96" s="714">
        <v>730000</v>
      </c>
    </row>
    <row r="97" spans="1:18" s="713" customFormat="1">
      <c r="A97" s="711">
        <v>91</v>
      </c>
      <c r="B97" s="711"/>
      <c r="C97" s="711" t="s">
        <v>2277</v>
      </c>
      <c r="D97" s="712" t="s">
        <v>2308</v>
      </c>
      <c r="E97" s="711"/>
      <c r="H97" s="408">
        <v>0</v>
      </c>
      <c r="I97" s="408">
        <v>109500</v>
      </c>
      <c r="J97" s="714">
        <v>109500</v>
      </c>
      <c r="K97" s="715"/>
      <c r="L97" s="408">
        <v>0</v>
      </c>
      <c r="M97" s="408">
        <v>219000</v>
      </c>
      <c r="N97" s="714">
        <v>219000</v>
      </c>
      <c r="O97" s="716"/>
      <c r="P97" s="408">
        <v>0</v>
      </c>
      <c r="Q97" s="408">
        <v>1095000</v>
      </c>
      <c r="R97" s="714">
        <v>1095000</v>
      </c>
    </row>
    <row r="98" spans="1:18" s="713" customFormat="1">
      <c r="A98" s="711">
        <v>92</v>
      </c>
      <c r="B98" s="711"/>
      <c r="C98" s="711" t="s">
        <v>2277</v>
      </c>
      <c r="D98" s="712" t="s">
        <v>2309</v>
      </c>
      <c r="E98" s="711"/>
      <c r="H98" s="408">
        <v>0</v>
      </c>
      <c r="I98" s="408">
        <v>182500</v>
      </c>
      <c r="J98" s="714">
        <v>182500</v>
      </c>
      <c r="K98" s="715"/>
      <c r="L98" s="408">
        <v>0</v>
      </c>
      <c r="M98" s="408">
        <v>1460000</v>
      </c>
      <c r="N98" s="714">
        <v>1460000</v>
      </c>
      <c r="O98" s="716"/>
      <c r="P98" s="408">
        <v>0</v>
      </c>
      <c r="Q98" s="408">
        <v>0</v>
      </c>
      <c r="R98" s="714">
        <v>0</v>
      </c>
    </row>
    <row r="99" spans="1:18" s="713" customFormat="1" ht="30">
      <c r="A99" s="711">
        <v>93</v>
      </c>
      <c r="B99" s="711"/>
      <c r="C99" s="711" t="s">
        <v>2277</v>
      </c>
      <c r="D99" s="712" t="s">
        <v>2310</v>
      </c>
      <c r="E99" s="711"/>
      <c r="H99" s="408">
        <v>0</v>
      </c>
      <c r="I99" s="408">
        <v>73000</v>
      </c>
      <c r="J99" s="714">
        <v>73000</v>
      </c>
      <c r="K99" s="715"/>
      <c r="L99" s="408">
        <v>0</v>
      </c>
      <c r="M99" s="408">
        <v>0</v>
      </c>
      <c r="N99" s="714">
        <v>0</v>
      </c>
      <c r="O99" s="716"/>
      <c r="P99" s="408">
        <v>0</v>
      </c>
      <c r="Q99" s="408">
        <v>0</v>
      </c>
      <c r="R99" s="714">
        <v>0</v>
      </c>
    </row>
    <row r="100" spans="1:18" s="713" customFormat="1">
      <c r="A100" s="711">
        <v>94</v>
      </c>
      <c r="B100" s="711"/>
      <c r="C100" s="711" t="s">
        <v>2277</v>
      </c>
      <c r="D100" s="712" t="s">
        <v>2311</v>
      </c>
      <c r="E100" s="711"/>
      <c r="H100" s="408">
        <v>0</v>
      </c>
      <c r="I100" s="408">
        <v>0</v>
      </c>
      <c r="J100" s="714">
        <v>0</v>
      </c>
      <c r="K100" s="715"/>
      <c r="L100" s="408">
        <v>0</v>
      </c>
      <c r="M100" s="408">
        <v>292000</v>
      </c>
      <c r="N100" s="714">
        <v>292000</v>
      </c>
      <c r="O100" s="716"/>
      <c r="P100" s="408">
        <v>0</v>
      </c>
      <c r="Q100" s="408">
        <v>182500</v>
      </c>
      <c r="R100" s="714">
        <v>182500</v>
      </c>
    </row>
    <row r="101" spans="1:18" s="713" customFormat="1">
      <c r="A101" s="711">
        <v>95</v>
      </c>
      <c r="B101" s="711"/>
      <c r="C101" s="711" t="s">
        <v>2277</v>
      </c>
      <c r="D101" s="712" t="s">
        <v>2312</v>
      </c>
      <c r="E101" s="711"/>
      <c r="H101" s="408">
        <v>0</v>
      </c>
      <c r="I101" s="408">
        <v>109500</v>
      </c>
      <c r="J101" s="714">
        <v>109500</v>
      </c>
      <c r="K101" s="715"/>
      <c r="L101" s="408">
        <v>0</v>
      </c>
      <c r="M101" s="408">
        <v>219000</v>
      </c>
      <c r="N101" s="714">
        <v>219000</v>
      </c>
      <c r="O101" s="716"/>
      <c r="P101" s="408">
        <v>0</v>
      </c>
      <c r="Q101" s="408">
        <v>0</v>
      </c>
      <c r="R101" s="714">
        <v>0</v>
      </c>
    </row>
    <row r="102" spans="1:18" s="713" customFormat="1" ht="30">
      <c r="A102" s="711">
        <v>96</v>
      </c>
      <c r="B102" s="711"/>
      <c r="C102" s="711" t="s">
        <v>2277</v>
      </c>
      <c r="D102" s="712" t="s">
        <v>2313</v>
      </c>
      <c r="E102" s="711"/>
      <c r="H102" s="408">
        <v>0</v>
      </c>
      <c r="I102" s="408">
        <v>73000</v>
      </c>
      <c r="J102" s="714">
        <v>73000</v>
      </c>
      <c r="K102" s="715"/>
      <c r="L102" s="408">
        <v>0</v>
      </c>
      <c r="M102" s="408">
        <v>219000</v>
      </c>
      <c r="N102" s="714">
        <v>219000</v>
      </c>
      <c r="O102" s="716"/>
      <c r="P102" s="408">
        <v>0</v>
      </c>
      <c r="Q102" s="408">
        <v>0</v>
      </c>
      <c r="R102" s="714">
        <v>0</v>
      </c>
    </row>
    <row r="103" spans="1:18" s="713" customFormat="1">
      <c r="A103" s="711">
        <v>97</v>
      </c>
      <c r="B103" s="711"/>
      <c r="C103" s="711" t="s">
        <v>2277</v>
      </c>
      <c r="D103" s="712" t="s">
        <v>2314</v>
      </c>
      <c r="E103" s="711"/>
      <c r="H103" s="408">
        <v>0</v>
      </c>
      <c r="I103" s="408">
        <v>109500</v>
      </c>
      <c r="J103" s="714">
        <v>109500</v>
      </c>
      <c r="K103" s="715"/>
      <c r="L103" s="408">
        <v>0</v>
      </c>
      <c r="M103" s="408">
        <v>36500</v>
      </c>
      <c r="N103" s="714">
        <v>36500</v>
      </c>
      <c r="O103" s="716"/>
      <c r="P103" s="408">
        <v>0</v>
      </c>
      <c r="Q103" s="408">
        <v>1095000</v>
      </c>
      <c r="R103" s="714">
        <v>1095000</v>
      </c>
    </row>
    <row r="104" spans="1:18" s="713" customFormat="1">
      <c r="A104" s="711">
        <v>98</v>
      </c>
      <c r="B104" s="711"/>
      <c r="C104" s="711" t="s">
        <v>2277</v>
      </c>
      <c r="D104" s="712" t="s">
        <v>2315</v>
      </c>
      <c r="E104" s="711"/>
      <c r="H104" s="408">
        <v>0</v>
      </c>
      <c r="I104" s="408">
        <v>146000</v>
      </c>
      <c r="J104" s="714">
        <v>146000</v>
      </c>
      <c r="K104" s="715"/>
      <c r="L104" s="408">
        <v>0</v>
      </c>
      <c r="M104" s="408">
        <v>365000</v>
      </c>
      <c r="N104" s="714">
        <v>365000</v>
      </c>
      <c r="O104" s="716"/>
      <c r="P104" s="408">
        <v>0</v>
      </c>
      <c r="Q104" s="408">
        <v>0</v>
      </c>
      <c r="R104" s="714">
        <v>0</v>
      </c>
    </row>
    <row r="105" spans="1:18" s="713" customFormat="1">
      <c r="A105" s="711">
        <v>99</v>
      </c>
      <c r="B105" s="711"/>
      <c r="C105" s="711" t="s">
        <v>2277</v>
      </c>
      <c r="D105" s="712" t="s">
        <v>2316</v>
      </c>
      <c r="E105" s="711"/>
      <c r="H105" s="408">
        <v>0</v>
      </c>
      <c r="I105" s="408">
        <v>109500</v>
      </c>
      <c r="J105" s="714">
        <v>109500</v>
      </c>
      <c r="K105" s="715"/>
      <c r="L105" s="408">
        <v>0</v>
      </c>
      <c r="M105" s="408">
        <v>109500</v>
      </c>
      <c r="N105" s="714">
        <v>109500</v>
      </c>
      <c r="O105" s="716"/>
      <c r="P105" s="408">
        <v>0</v>
      </c>
      <c r="Q105" s="408">
        <v>219000</v>
      </c>
      <c r="R105" s="714">
        <v>219000</v>
      </c>
    </row>
    <row r="106" spans="1:18" s="713" customFormat="1">
      <c r="A106" s="711">
        <v>100</v>
      </c>
      <c r="B106" s="711"/>
      <c r="C106" s="711" t="s">
        <v>2277</v>
      </c>
      <c r="D106" s="712" t="s">
        <v>2317</v>
      </c>
      <c r="E106" s="711"/>
      <c r="H106" s="408">
        <v>0</v>
      </c>
      <c r="I106" s="408">
        <v>73000</v>
      </c>
      <c r="J106" s="714">
        <v>73000</v>
      </c>
      <c r="K106" s="715"/>
      <c r="L106" s="408">
        <v>0</v>
      </c>
      <c r="M106" s="408">
        <v>292000</v>
      </c>
      <c r="N106" s="714">
        <v>292000</v>
      </c>
      <c r="O106" s="716"/>
      <c r="P106" s="408">
        <v>0</v>
      </c>
      <c r="Q106" s="408">
        <v>0</v>
      </c>
      <c r="R106" s="714">
        <v>0</v>
      </c>
    </row>
    <row r="107" spans="1:18" s="713" customFormat="1">
      <c r="A107" s="711">
        <v>101</v>
      </c>
      <c r="B107" s="711"/>
      <c r="C107" s="711" t="s">
        <v>2277</v>
      </c>
      <c r="D107" s="712" t="s">
        <v>2318</v>
      </c>
      <c r="E107" s="711"/>
      <c r="H107" s="408">
        <v>0</v>
      </c>
      <c r="I107" s="408">
        <v>36500</v>
      </c>
      <c r="J107" s="714">
        <v>36500</v>
      </c>
      <c r="K107" s="715"/>
      <c r="L107" s="408">
        <v>0</v>
      </c>
      <c r="M107" s="408">
        <v>109500</v>
      </c>
      <c r="N107" s="714">
        <v>109500</v>
      </c>
      <c r="O107" s="716"/>
      <c r="P107" s="408">
        <v>0</v>
      </c>
      <c r="Q107" s="408">
        <v>0</v>
      </c>
      <c r="R107" s="714">
        <v>0</v>
      </c>
    </row>
    <row r="108" spans="1:18" s="713" customFormat="1">
      <c r="A108" s="711">
        <v>102</v>
      </c>
      <c r="B108" s="711"/>
      <c r="C108" s="711" t="s">
        <v>2277</v>
      </c>
      <c r="D108" s="712" t="s">
        <v>2319</v>
      </c>
      <c r="E108" s="711"/>
      <c r="H108" s="408">
        <v>0</v>
      </c>
      <c r="I108" s="408">
        <v>109500</v>
      </c>
      <c r="J108" s="714">
        <v>109500</v>
      </c>
      <c r="K108" s="715"/>
      <c r="L108" s="408">
        <v>0</v>
      </c>
      <c r="M108" s="408">
        <v>0</v>
      </c>
      <c r="N108" s="714">
        <v>0</v>
      </c>
      <c r="O108" s="716"/>
      <c r="P108" s="408">
        <v>0</v>
      </c>
      <c r="Q108" s="408">
        <v>438000</v>
      </c>
      <c r="R108" s="714">
        <v>438000</v>
      </c>
    </row>
    <row r="109" spans="1:18" s="713" customFormat="1">
      <c r="A109" s="711">
        <v>103</v>
      </c>
      <c r="B109" s="711"/>
      <c r="C109" s="711" t="s">
        <v>2277</v>
      </c>
      <c r="D109" s="712" t="s">
        <v>2320</v>
      </c>
      <c r="E109" s="711"/>
      <c r="H109" s="408">
        <v>0</v>
      </c>
      <c r="I109" s="408">
        <v>730000</v>
      </c>
      <c r="J109" s="714">
        <v>730000</v>
      </c>
      <c r="K109" s="715"/>
      <c r="L109" s="408">
        <v>0</v>
      </c>
      <c r="M109" s="408">
        <v>0</v>
      </c>
      <c r="N109" s="714">
        <v>0</v>
      </c>
      <c r="O109" s="716"/>
      <c r="P109" s="408">
        <v>0</v>
      </c>
      <c r="Q109" s="408">
        <v>0</v>
      </c>
      <c r="R109" s="714">
        <v>0</v>
      </c>
    </row>
    <row r="110" spans="1:18" s="713" customFormat="1">
      <c r="A110" s="711">
        <v>104</v>
      </c>
      <c r="B110" s="711"/>
      <c r="C110" s="711" t="s">
        <v>2277</v>
      </c>
      <c r="D110" s="712" t="s">
        <v>2321</v>
      </c>
      <c r="E110" s="711"/>
      <c r="H110" s="408">
        <v>0</v>
      </c>
      <c r="I110" s="408">
        <v>43800</v>
      </c>
      <c r="J110" s="714">
        <v>43800</v>
      </c>
      <c r="K110" s="715"/>
      <c r="L110" s="408">
        <v>0</v>
      </c>
      <c r="M110" s="408">
        <v>102200</v>
      </c>
      <c r="N110" s="714">
        <v>102200</v>
      </c>
      <c r="O110" s="716"/>
      <c r="P110" s="408">
        <v>0</v>
      </c>
      <c r="Q110" s="408">
        <v>146000</v>
      </c>
      <c r="R110" s="714">
        <v>146000</v>
      </c>
    </row>
    <row r="111" spans="1:18" s="713" customFormat="1">
      <c r="A111" s="711">
        <v>105</v>
      </c>
      <c r="B111" s="711"/>
      <c r="C111" s="711" t="s">
        <v>2277</v>
      </c>
      <c r="D111" s="712" t="s">
        <v>2322</v>
      </c>
      <c r="E111" s="711"/>
      <c r="H111" s="408">
        <v>0</v>
      </c>
      <c r="I111" s="408">
        <v>350400</v>
      </c>
      <c r="J111" s="714">
        <v>350400</v>
      </c>
      <c r="K111" s="715"/>
      <c r="L111" s="408">
        <v>0</v>
      </c>
      <c r="M111" s="408">
        <v>0</v>
      </c>
      <c r="N111" s="714">
        <v>0</v>
      </c>
      <c r="O111" s="716"/>
      <c r="P111" s="408">
        <v>0</v>
      </c>
      <c r="Q111" s="408">
        <v>0</v>
      </c>
      <c r="R111" s="714">
        <v>0</v>
      </c>
    </row>
    <row r="112" spans="1:18" s="713" customFormat="1">
      <c r="A112" s="711">
        <v>106</v>
      </c>
      <c r="B112" s="711"/>
      <c r="C112" s="711" t="s">
        <v>2277</v>
      </c>
      <c r="D112" s="712" t="s">
        <v>2323</v>
      </c>
      <c r="E112" s="711"/>
      <c r="H112" s="408">
        <v>0</v>
      </c>
      <c r="I112" s="408">
        <v>242921</v>
      </c>
      <c r="J112" s="714">
        <v>242921</v>
      </c>
      <c r="K112" s="715"/>
      <c r="L112" s="408">
        <v>0</v>
      </c>
      <c r="M112" s="408">
        <v>0</v>
      </c>
      <c r="N112" s="714">
        <v>0</v>
      </c>
      <c r="O112" s="716"/>
      <c r="P112" s="408">
        <v>0</v>
      </c>
      <c r="Q112" s="408">
        <v>0</v>
      </c>
      <c r="R112" s="714">
        <v>0</v>
      </c>
    </row>
    <row r="113" spans="1:18" s="713" customFormat="1">
      <c r="A113" s="711">
        <v>107</v>
      </c>
      <c r="B113" s="711"/>
      <c r="C113" s="711" t="s">
        <v>2277</v>
      </c>
      <c r="D113" s="712" t="s">
        <v>2324</v>
      </c>
      <c r="E113" s="711"/>
      <c r="H113" s="408">
        <v>0</v>
      </c>
      <c r="I113" s="408">
        <v>54750</v>
      </c>
      <c r="J113" s="714">
        <v>54750</v>
      </c>
      <c r="K113" s="715"/>
      <c r="L113" s="408">
        <v>0</v>
      </c>
      <c r="M113" s="408">
        <v>0</v>
      </c>
      <c r="N113" s="714">
        <v>0</v>
      </c>
      <c r="O113" s="716"/>
      <c r="P113" s="408">
        <v>0</v>
      </c>
      <c r="Q113" s="408">
        <v>0</v>
      </c>
      <c r="R113" s="714">
        <v>0</v>
      </c>
    </row>
    <row r="114" spans="1:18" s="713" customFormat="1">
      <c r="A114" s="711">
        <v>108</v>
      </c>
      <c r="B114" s="711"/>
      <c r="C114" s="711" t="s">
        <v>2277</v>
      </c>
      <c r="D114" s="712" t="s">
        <v>2325</v>
      </c>
      <c r="E114" s="711"/>
      <c r="H114" s="408">
        <v>0</v>
      </c>
      <c r="I114" s="408">
        <v>36500</v>
      </c>
      <c r="J114" s="714">
        <v>36500</v>
      </c>
      <c r="K114" s="715"/>
      <c r="L114" s="408">
        <v>0</v>
      </c>
      <c r="M114" s="408">
        <v>0</v>
      </c>
      <c r="N114" s="714">
        <v>0</v>
      </c>
      <c r="O114" s="716"/>
      <c r="P114" s="408">
        <v>0</v>
      </c>
      <c r="Q114" s="408">
        <v>0</v>
      </c>
      <c r="R114" s="714">
        <v>0</v>
      </c>
    </row>
    <row r="115" spans="1:18" s="713" customFormat="1">
      <c r="A115" s="711">
        <v>109</v>
      </c>
      <c r="B115" s="711"/>
      <c r="C115" s="711" t="s">
        <v>2277</v>
      </c>
      <c r="D115" s="712" t="s">
        <v>2326</v>
      </c>
      <c r="E115" s="711"/>
      <c r="H115" s="408">
        <v>0</v>
      </c>
      <c r="I115" s="408">
        <v>73000</v>
      </c>
      <c r="J115" s="714">
        <v>73000</v>
      </c>
      <c r="K115" s="715"/>
      <c r="L115" s="408">
        <v>0</v>
      </c>
      <c r="M115" s="408">
        <v>365000</v>
      </c>
      <c r="N115" s="714">
        <v>365000</v>
      </c>
      <c r="O115" s="716"/>
      <c r="P115" s="408">
        <v>0</v>
      </c>
      <c r="Q115" s="408">
        <v>365000</v>
      </c>
      <c r="R115" s="714">
        <v>365000</v>
      </c>
    </row>
    <row r="116" spans="1:18" s="713" customFormat="1">
      <c r="A116" s="711">
        <v>110</v>
      </c>
      <c r="B116" s="711"/>
      <c r="C116" s="711" t="s">
        <v>2277</v>
      </c>
      <c r="D116" s="712" t="s">
        <v>2327</v>
      </c>
      <c r="E116" s="711"/>
      <c r="H116" s="408">
        <v>0</v>
      </c>
      <c r="I116" s="408">
        <v>365000</v>
      </c>
      <c r="J116" s="714">
        <v>365000</v>
      </c>
      <c r="K116" s="715"/>
      <c r="L116" s="408">
        <v>0</v>
      </c>
      <c r="M116" s="408">
        <v>0</v>
      </c>
      <c r="N116" s="714">
        <v>0</v>
      </c>
      <c r="O116" s="716"/>
      <c r="P116" s="408">
        <v>0</v>
      </c>
      <c r="Q116" s="408">
        <v>365000</v>
      </c>
      <c r="R116" s="714">
        <v>365000</v>
      </c>
    </row>
    <row r="117" spans="1:18" s="713" customFormat="1">
      <c r="A117" s="711">
        <v>111</v>
      </c>
      <c r="B117" s="711"/>
      <c r="C117" s="711" t="s">
        <v>2277</v>
      </c>
      <c r="D117" s="712" t="s">
        <v>2328</v>
      </c>
      <c r="E117" s="711"/>
      <c r="H117" s="408">
        <v>0</v>
      </c>
      <c r="I117" s="408">
        <v>0</v>
      </c>
      <c r="J117" s="714">
        <v>0</v>
      </c>
      <c r="K117" s="715"/>
      <c r="L117" s="408">
        <v>0</v>
      </c>
      <c r="M117" s="408">
        <v>0</v>
      </c>
      <c r="N117" s="714">
        <v>0</v>
      </c>
      <c r="O117" s="716"/>
      <c r="P117" s="408">
        <v>0</v>
      </c>
      <c r="Q117" s="408">
        <v>0</v>
      </c>
      <c r="R117" s="714">
        <v>0</v>
      </c>
    </row>
    <row r="118" spans="1:18" s="713" customFormat="1">
      <c r="A118" s="711">
        <v>112</v>
      </c>
      <c r="B118" s="711"/>
      <c r="C118" s="711" t="s">
        <v>2277</v>
      </c>
      <c r="D118" s="712" t="s">
        <v>2329</v>
      </c>
      <c r="E118" s="711"/>
      <c r="H118" s="408">
        <v>0</v>
      </c>
      <c r="I118" s="408">
        <v>1100000</v>
      </c>
      <c r="J118" s="714">
        <v>1100000</v>
      </c>
      <c r="K118" s="715"/>
      <c r="L118" s="408">
        <v>0</v>
      </c>
      <c r="M118" s="408">
        <v>1400000</v>
      </c>
      <c r="N118" s="714">
        <v>1400000</v>
      </c>
      <c r="O118" s="716"/>
      <c r="P118" s="408">
        <v>0</v>
      </c>
      <c r="Q118" s="408">
        <v>0</v>
      </c>
      <c r="R118" s="714">
        <v>0</v>
      </c>
    </row>
    <row r="119" spans="1:18" s="713" customFormat="1">
      <c r="A119" s="711">
        <v>113</v>
      </c>
      <c r="B119" s="711"/>
      <c r="C119" s="711" t="s">
        <v>2330</v>
      </c>
      <c r="D119" s="712" t="s">
        <v>2331</v>
      </c>
      <c r="E119" s="711"/>
      <c r="H119" s="408">
        <v>0</v>
      </c>
      <c r="I119" s="408">
        <v>73000</v>
      </c>
      <c r="J119" s="714">
        <v>73000</v>
      </c>
      <c r="K119" s="715"/>
      <c r="L119" s="408">
        <v>0</v>
      </c>
      <c r="M119" s="408">
        <v>0</v>
      </c>
      <c r="N119" s="714">
        <v>0</v>
      </c>
      <c r="O119" s="716"/>
      <c r="P119" s="408">
        <v>0</v>
      </c>
      <c r="Q119" s="408">
        <v>0</v>
      </c>
      <c r="R119" s="714">
        <v>0</v>
      </c>
    </row>
    <row r="120" spans="1:18" s="713" customFormat="1">
      <c r="A120" s="711">
        <v>114</v>
      </c>
      <c r="B120" s="711"/>
      <c r="C120" s="711" t="s">
        <v>2330</v>
      </c>
      <c r="D120" s="712" t="s">
        <v>2332</v>
      </c>
      <c r="E120" s="711"/>
      <c r="H120" s="408">
        <v>0</v>
      </c>
      <c r="I120" s="408">
        <v>273750</v>
      </c>
      <c r="J120" s="714">
        <v>273750</v>
      </c>
      <c r="K120" s="715"/>
      <c r="L120" s="408">
        <v>0</v>
      </c>
      <c r="M120" s="408">
        <v>730000</v>
      </c>
      <c r="N120" s="714">
        <v>730000</v>
      </c>
      <c r="O120" s="716"/>
      <c r="P120" s="408">
        <v>0</v>
      </c>
      <c r="Q120" s="408">
        <v>365000</v>
      </c>
      <c r="R120" s="714">
        <v>365000</v>
      </c>
    </row>
    <row r="121" spans="1:18" s="713" customFormat="1">
      <c r="A121" s="711">
        <v>115</v>
      </c>
      <c r="B121" s="711"/>
      <c r="C121" s="711" t="s">
        <v>2330</v>
      </c>
      <c r="D121" s="712" t="s">
        <v>2251</v>
      </c>
      <c r="E121" s="711"/>
      <c r="H121" s="408">
        <v>0</v>
      </c>
      <c r="I121" s="408">
        <v>365000</v>
      </c>
      <c r="J121" s="714">
        <v>365000</v>
      </c>
      <c r="K121" s="715"/>
      <c r="L121" s="408">
        <v>0</v>
      </c>
      <c r="M121" s="408">
        <v>182500</v>
      </c>
      <c r="N121" s="714">
        <v>182500</v>
      </c>
      <c r="O121" s="716"/>
      <c r="P121" s="408">
        <v>0</v>
      </c>
      <c r="Q121" s="408">
        <v>182500</v>
      </c>
      <c r="R121" s="714">
        <v>182500</v>
      </c>
    </row>
    <row r="122" spans="1:18" s="713" customFormat="1">
      <c r="A122" s="711">
        <v>116</v>
      </c>
      <c r="B122" s="711"/>
      <c r="C122" s="711" t="s">
        <v>2330</v>
      </c>
      <c r="D122" s="712" t="s">
        <v>2333</v>
      </c>
      <c r="E122" s="711"/>
      <c r="H122" s="408">
        <v>0</v>
      </c>
      <c r="I122" s="408">
        <v>109500</v>
      </c>
      <c r="J122" s="714">
        <v>109500</v>
      </c>
      <c r="K122" s="715"/>
      <c r="L122" s="408">
        <v>0</v>
      </c>
      <c r="M122" s="408">
        <v>0</v>
      </c>
      <c r="N122" s="714">
        <v>0</v>
      </c>
      <c r="O122" s="716"/>
      <c r="P122" s="408">
        <v>0</v>
      </c>
      <c r="Q122" s="408">
        <v>0</v>
      </c>
      <c r="R122" s="714">
        <v>0</v>
      </c>
    </row>
    <row r="123" spans="1:18" s="713" customFormat="1">
      <c r="A123" s="711">
        <v>117</v>
      </c>
      <c r="B123" s="711"/>
      <c r="C123" s="711" t="s">
        <v>2330</v>
      </c>
      <c r="D123" s="712" t="s">
        <v>2334</v>
      </c>
      <c r="E123" s="711"/>
      <c r="H123" s="408">
        <v>0</v>
      </c>
      <c r="I123" s="408">
        <v>547500</v>
      </c>
      <c r="J123" s="714">
        <v>547500</v>
      </c>
      <c r="K123" s="715"/>
      <c r="L123" s="408">
        <v>0</v>
      </c>
      <c r="M123" s="408">
        <v>1679000</v>
      </c>
      <c r="N123" s="714">
        <v>1679000</v>
      </c>
      <c r="O123" s="716"/>
      <c r="P123" s="408">
        <v>0</v>
      </c>
      <c r="Q123" s="408">
        <v>0</v>
      </c>
      <c r="R123" s="714">
        <v>0</v>
      </c>
    </row>
    <row r="124" spans="1:18" s="713" customFormat="1">
      <c r="A124" s="711">
        <v>118</v>
      </c>
      <c r="B124" s="711"/>
      <c r="C124" s="711" t="s">
        <v>2330</v>
      </c>
      <c r="D124" s="712" t="s">
        <v>2335</v>
      </c>
      <c r="E124" s="711"/>
      <c r="H124" s="408">
        <v>0</v>
      </c>
      <c r="I124" s="408">
        <v>730000</v>
      </c>
      <c r="J124" s="714">
        <v>730000</v>
      </c>
      <c r="K124" s="715"/>
      <c r="L124" s="408">
        <v>0</v>
      </c>
      <c r="M124" s="408">
        <v>730000</v>
      </c>
      <c r="N124" s="714">
        <v>730000</v>
      </c>
      <c r="O124" s="716"/>
      <c r="P124" s="408">
        <v>0</v>
      </c>
      <c r="Q124" s="408">
        <v>730000</v>
      </c>
      <c r="R124" s="714">
        <v>730000</v>
      </c>
    </row>
    <row r="125" spans="1:18" s="713" customFormat="1">
      <c r="A125" s="711">
        <v>119</v>
      </c>
      <c r="B125" s="711"/>
      <c r="C125" s="711" t="s">
        <v>2330</v>
      </c>
      <c r="D125" s="712" t="s">
        <v>2336</v>
      </c>
      <c r="E125" s="711"/>
      <c r="H125" s="408">
        <v>0</v>
      </c>
      <c r="I125" s="408">
        <v>0</v>
      </c>
      <c r="J125" s="714">
        <v>0</v>
      </c>
      <c r="K125" s="715"/>
      <c r="L125" s="408">
        <v>0</v>
      </c>
      <c r="M125" s="408">
        <v>724343</v>
      </c>
      <c r="N125" s="714">
        <v>724343</v>
      </c>
      <c r="O125" s="716"/>
      <c r="P125" s="408">
        <v>0</v>
      </c>
      <c r="Q125" s="408">
        <v>0</v>
      </c>
      <c r="R125" s="714">
        <v>0</v>
      </c>
    </row>
    <row r="126" spans="1:18" s="713" customFormat="1">
      <c r="A126" s="711">
        <v>120</v>
      </c>
      <c r="B126" s="711"/>
      <c r="C126" s="711" t="s">
        <v>2330</v>
      </c>
      <c r="D126" s="712" t="s">
        <v>2337</v>
      </c>
      <c r="E126" s="711"/>
      <c r="H126" s="408">
        <v>0</v>
      </c>
      <c r="I126" s="408">
        <v>109500</v>
      </c>
      <c r="J126" s="714">
        <v>109500</v>
      </c>
      <c r="K126" s="715"/>
      <c r="L126" s="408">
        <v>0</v>
      </c>
      <c r="M126" s="408">
        <v>113150</v>
      </c>
      <c r="N126" s="714">
        <v>113150</v>
      </c>
      <c r="O126" s="716"/>
      <c r="P126" s="408">
        <v>0</v>
      </c>
      <c r="Q126" s="408">
        <v>116800</v>
      </c>
      <c r="R126" s="714">
        <v>116800</v>
      </c>
    </row>
    <row r="127" spans="1:18" s="713" customFormat="1">
      <c r="A127" s="711">
        <v>121</v>
      </c>
      <c r="B127" s="711"/>
      <c r="C127" s="711" t="s">
        <v>2330</v>
      </c>
      <c r="D127" s="712" t="s">
        <v>2338</v>
      </c>
      <c r="E127" s="711"/>
      <c r="H127" s="408">
        <v>0</v>
      </c>
      <c r="I127" s="408">
        <v>73000</v>
      </c>
      <c r="J127" s="714">
        <v>73000</v>
      </c>
      <c r="K127" s="715"/>
      <c r="L127" s="408">
        <v>0</v>
      </c>
      <c r="M127" s="408">
        <v>73000</v>
      </c>
      <c r="N127" s="714">
        <v>73000</v>
      </c>
      <c r="O127" s="716"/>
      <c r="P127" s="408">
        <v>0</v>
      </c>
      <c r="Q127" s="408">
        <v>73000</v>
      </c>
      <c r="R127" s="714">
        <v>73000</v>
      </c>
    </row>
    <row r="128" spans="1:18" s="713" customFormat="1">
      <c r="A128" s="711">
        <v>122</v>
      </c>
      <c r="B128" s="711"/>
      <c r="C128" s="711" t="s">
        <v>2330</v>
      </c>
      <c r="D128" s="712" t="s">
        <v>2339</v>
      </c>
      <c r="E128" s="711"/>
      <c r="H128" s="408">
        <v>0</v>
      </c>
      <c r="I128" s="408">
        <v>182500</v>
      </c>
      <c r="J128" s="714">
        <v>182500</v>
      </c>
      <c r="K128" s="715"/>
      <c r="L128" s="408">
        <v>0</v>
      </c>
      <c r="M128" s="408">
        <v>73000</v>
      </c>
      <c r="N128" s="714">
        <v>73000</v>
      </c>
      <c r="O128" s="716"/>
      <c r="P128" s="408">
        <v>0</v>
      </c>
      <c r="Q128" s="408">
        <v>73000</v>
      </c>
      <c r="R128" s="714">
        <v>73000</v>
      </c>
    </row>
    <row r="129" spans="1:18" s="713" customFormat="1">
      <c r="A129" s="711">
        <v>123</v>
      </c>
      <c r="B129" s="711"/>
      <c r="C129" s="711" t="s">
        <v>2330</v>
      </c>
      <c r="D129" s="712" t="s">
        <v>2340</v>
      </c>
      <c r="E129" s="711"/>
      <c r="H129" s="408">
        <v>0</v>
      </c>
      <c r="I129" s="408">
        <v>191625</v>
      </c>
      <c r="J129" s="714">
        <v>191625</v>
      </c>
      <c r="K129" s="715"/>
      <c r="L129" s="408">
        <v>0</v>
      </c>
      <c r="M129" s="408">
        <v>201206</v>
      </c>
      <c r="N129" s="714">
        <v>201206</v>
      </c>
      <c r="O129" s="716"/>
      <c r="P129" s="408">
        <v>0</v>
      </c>
      <c r="Q129" s="408">
        <v>0</v>
      </c>
      <c r="R129" s="714">
        <v>0</v>
      </c>
    </row>
    <row r="130" spans="1:18" s="713" customFormat="1">
      <c r="A130" s="711">
        <v>124</v>
      </c>
      <c r="B130" s="711"/>
      <c r="C130" s="711" t="s">
        <v>2330</v>
      </c>
      <c r="D130" s="712" t="s">
        <v>2341</v>
      </c>
      <c r="E130" s="711"/>
      <c r="H130" s="408">
        <v>0</v>
      </c>
      <c r="I130" s="408">
        <v>38325</v>
      </c>
      <c r="J130" s="714">
        <v>38325</v>
      </c>
      <c r="K130" s="715"/>
      <c r="L130" s="408">
        <v>0</v>
      </c>
      <c r="M130" s="408">
        <v>40241</v>
      </c>
      <c r="N130" s="714">
        <v>40241</v>
      </c>
      <c r="O130" s="716"/>
      <c r="P130" s="408">
        <v>0</v>
      </c>
      <c r="Q130" s="408">
        <v>0</v>
      </c>
      <c r="R130" s="714">
        <v>0</v>
      </c>
    </row>
    <row r="131" spans="1:18" s="713" customFormat="1">
      <c r="A131" s="711">
        <v>125</v>
      </c>
      <c r="B131" s="711"/>
      <c r="C131" s="711" t="s">
        <v>2330</v>
      </c>
      <c r="D131" s="712" t="s">
        <v>2342</v>
      </c>
      <c r="E131" s="711"/>
      <c r="H131" s="408">
        <v>0</v>
      </c>
      <c r="I131" s="408">
        <v>255500</v>
      </c>
      <c r="J131" s="714">
        <v>255500</v>
      </c>
      <c r="K131" s="715"/>
      <c r="L131" s="408">
        <v>0</v>
      </c>
      <c r="M131" s="408">
        <v>292000</v>
      </c>
      <c r="N131" s="714">
        <v>292000</v>
      </c>
      <c r="O131" s="716"/>
      <c r="P131" s="408">
        <v>0</v>
      </c>
      <c r="Q131" s="408">
        <v>0</v>
      </c>
      <c r="R131" s="714">
        <v>0</v>
      </c>
    </row>
    <row r="132" spans="1:18" s="713" customFormat="1">
      <c r="A132" s="711">
        <v>126</v>
      </c>
      <c r="B132" s="711"/>
      <c r="C132" s="711" t="s">
        <v>2330</v>
      </c>
      <c r="D132" s="712" t="s">
        <v>2343</v>
      </c>
      <c r="E132" s="711"/>
      <c r="H132" s="408">
        <v>0</v>
      </c>
      <c r="I132" s="408">
        <v>249113</v>
      </c>
      <c r="J132" s="714">
        <v>249113</v>
      </c>
      <c r="K132" s="715"/>
      <c r="L132" s="408">
        <v>0</v>
      </c>
      <c r="M132" s="408">
        <v>0</v>
      </c>
      <c r="N132" s="714">
        <v>0</v>
      </c>
      <c r="O132" s="716"/>
      <c r="P132" s="408">
        <v>0</v>
      </c>
      <c r="Q132" s="408">
        <v>0</v>
      </c>
      <c r="R132" s="714">
        <v>0</v>
      </c>
    </row>
    <row r="133" spans="1:18" s="713" customFormat="1">
      <c r="A133" s="711">
        <v>127</v>
      </c>
      <c r="B133" s="711"/>
      <c r="C133" s="711" t="s">
        <v>2330</v>
      </c>
      <c r="D133" s="712" t="s">
        <v>2344</v>
      </c>
      <c r="E133" s="711"/>
      <c r="H133" s="408">
        <v>0</v>
      </c>
      <c r="I133" s="408">
        <v>1460000</v>
      </c>
      <c r="J133" s="714">
        <v>1460000</v>
      </c>
      <c r="K133" s="715"/>
      <c r="L133" s="408">
        <v>0</v>
      </c>
      <c r="M133" s="408">
        <v>0</v>
      </c>
      <c r="N133" s="714">
        <v>0</v>
      </c>
      <c r="O133" s="716"/>
      <c r="P133" s="408">
        <v>0</v>
      </c>
      <c r="Q133" s="408">
        <v>1460000</v>
      </c>
      <c r="R133" s="714">
        <v>1460000</v>
      </c>
    </row>
    <row r="134" spans="1:18" s="713" customFormat="1">
      <c r="A134" s="711">
        <v>128</v>
      </c>
      <c r="B134" s="711"/>
      <c r="C134" s="711" t="s">
        <v>2330</v>
      </c>
      <c r="D134" s="712" t="s">
        <v>2345</v>
      </c>
      <c r="E134" s="711"/>
      <c r="H134" s="408">
        <v>0</v>
      </c>
      <c r="I134" s="408">
        <v>0</v>
      </c>
      <c r="J134" s="714">
        <v>0</v>
      </c>
      <c r="K134" s="715"/>
      <c r="L134" s="408">
        <v>0</v>
      </c>
      <c r="M134" s="408">
        <v>2190000</v>
      </c>
      <c r="N134" s="714">
        <v>2190000</v>
      </c>
      <c r="O134" s="716"/>
      <c r="P134" s="408">
        <v>0</v>
      </c>
      <c r="Q134" s="408">
        <v>0</v>
      </c>
      <c r="R134" s="714">
        <v>0</v>
      </c>
    </row>
    <row r="135" spans="1:18" s="713" customFormat="1">
      <c r="A135" s="711">
        <v>129</v>
      </c>
      <c r="B135" s="711"/>
      <c r="C135" s="711" t="s">
        <v>2330</v>
      </c>
      <c r="D135" s="712" t="s">
        <v>2346</v>
      </c>
      <c r="E135" s="711"/>
      <c r="H135" s="408">
        <v>0</v>
      </c>
      <c r="I135" s="408">
        <v>160600</v>
      </c>
      <c r="J135" s="714">
        <v>160600</v>
      </c>
      <c r="K135" s="715"/>
      <c r="L135" s="408">
        <v>0</v>
      </c>
      <c r="M135" s="408">
        <v>160600</v>
      </c>
      <c r="N135" s="714">
        <v>160600</v>
      </c>
      <c r="O135" s="716"/>
      <c r="P135" s="408">
        <v>0</v>
      </c>
      <c r="Q135" s="408">
        <v>0</v>
      </c>
      <c r="R135" s="714">
        <v>0</v>
      </c>
    </row>
    <row r="136" spans="1:18" s="713" customFormat="1">
      <c r="A136" s="711">
        <v>130</v>
      </c>
      <c r="B136" s="711"/>
      <c r="C136" s="711" t="s">
        <v>2330</v>
      </c>
      <c r="D136" s="712" t="s">
        <v>2347</v>
      </c>
      <c r="E136" s="711"/>
      <c r="H136" s="408">
        <v>0</v>
      </c>
      <c r="I136" s="408">
        <v>109500</v>
      </c>
      <c r="J136" s="714">
        <v>109500</v>
      </c>
      <c r="K136" s="715"/>
      <c r="L136" s="408">
        <v>0</v>
      </c>
      <c r="M136" s="408">
        <v>109500</v>
      </c>
      <c r="N136" s="714">
        <v>109500</v>
      </c>
      <c r="O136" s="716"/>
      <c r="P136" s="408">
        <v>0</v>
      </c>
      <c r="Q136" s="408">
        <v>0</v>
      </c>
      <c r="R136" s="714">
        <v>0</v>
      </c>
    </row>
    <row r="137" spans="1:18" s="713" customFormat="1">
      <c r="A137" s="711">
        <v>131</v>
      </c>
      <c r="B137" s="711"/>
      <c r="C137" s="711" t="s">
        <v>2330</v>
      </c>
      <c r="D137" s="712" t="s">
        <v>2348</v>
      </c>
      <c r="E137" s="711"/>
      <c r="H137" s="408">
        <v>0</v>
      </c>
      <c r="I137" s="408">
        <v>73000</v>
      </c>
      <c r="J137" s="714">
        <v>73000</v>
      </c>
      <c r="K137" s="715"/>
      <c r="L137" s="408">
        <v>0</v>
      </c>
      <c r="M137" s="408">
        <v>0</v>
      </c>
      <c r="N137" s="714">
        <v>0</v>
      </c>
      <c r="O137" s="716"/>
      <c r="P137" s="408">
        <v>0</v>
      </c>
      <c r="Q137" s="408">
        <v>0</v>
      </c>
      <c r="R137" s="714">
        <v>0</v>
      </c>
    </row>
    <row r="138" spans="1:18" s="713" customFormat="1">
      <c r="A138" s="711">
        <v>132</v>
      </c>
      <c r="B138" s="711"/>
      <c r="C138" s="711" t="s">
        <v>2330</v>
      </c>
      <c r="D138" s="712" t="s">
        <v>2349</v>
      </c>
      <c r="E138" s="711"/>
      <c r="H138" s="408">
        <v>0</v>
      </c>
      <c r="I138" s="408">
        <v>182500</v>
      </c>
      <c r="J138" s="714">
        <v>182500</v>
      </c>
      <c r="K138" s="715"/>
      <c r="L138" s="408">
        <v>0</v>
      </c>
      <c r="M138" s="408">
        <v>36500</v>
      </c>
      <c r="N138" s="714">
        <v>36500</v>
      </c>
      <c r="O138" s="716"/>
      <c r="P138" s="408">
        <v>0</v>
      </c>
      <c r="Q138" s="408">
        <v>36500</v>
      </c>
      <c r="R138" s="714">
        <v>36500</v>
      </c>
    </row>
    <row r="139" spans="1:18" s="713" customFormat="1">
      <c r="A139" s="711">
        <v>133</v>
      </c>
      <c r="B139" s="711"/>
      <c r="C139" s="711" t="s">
        <v>2330</v>
      </c>
      <c r="D139" s="712" t="s">
        <v>2350</v>
      </c>
      <c r="E139" s="711"/>
      <c r="H139" s="408">
        <v>0</v>
      </c>
      <c r="I139" s="408">
        <v>438000</v>
      </c>
      <c r="J139" s="714">
        <v>438000</v>
      </c>
      <c r="K139" s="715"/>
      <c r="L139" s="408">
        <v>0</v>
      </c>
      <c r="M139" s="408">
        <v>73000</v>
      </c>
      <c r="N139" s="714">
        <v>73000</v>
      </c>
      <c r="O139" s="716"/>
      <c r="P139" s="408">
        <v>0</v>
      </c>
      <c r="Q139" s="408">
        <v>73000</v>
      </c>
      <c r="R139" s="714">
        <v>73000</v>
      </c>
    </row>
    <row r="140" spans="1:18" s="713" customFormat="1">
      <c r="A140" s="711">
        <v>134</v>
      </c>
      <c r="B140" s="711"/>
      <c r="C140" s="711" t="s">
        <v>2330</v>
      </c>
      <c r="D140" s="712" t="s">
        <v>2351</v>
      </c>
      <c r="E140" s="711"/>
      <c r="H140" s="408">
        <v>0</v>
      </c>
      <c r="I140" s="408">
        <v>0</v>
      </c>
      <c r="J140" s="714">
        <v>0</v>
      </c>
      <c r="K140" s="715"/>
      <c r="L140" s="408">
        <v>0</v>
      </c>
      <c r="M140" s="408">
        <v>36500</v>
      </c>
      <c r="N140" s="714">
        <v>36500</v>
      </c>
      <c r="O140" s="716"/>
      <c r="P140" s="408">
        <v>0</v>
      </c>
      <c r="Q140" s="408">
        <v>36500</v>
      </c>
      <c r="R140" s="714">
        <v>36500</v>
      </c>
    </row>
    <row r="141" spans="1:18" s="713" customFormat="1">
      <c r="A141" s="711">
        <v>135</v>
      </c>
      <c r="B141" s="711"/>
      <c r="C141" s="711" t="s">
        <v>2330</v>
      </c>
      <c r="D141" s="712" t="s">
        <v>2352</v>
      </c>
      <c r="E141" s="711"/>
      <c r="H141" s="408">
        <v>0</v>
      </c>
      <c r="I141" s="408">
        <v>54750</v>
      </c>
      <c r="J141" s="714">
        <v>54750</v>
      </c>
      <c r="K141" s="715"/>
      <c r="L141" s="408">
        <v>0</v>
      </c>
      <c r="M141" s="408">
        <v>54750</v>
      </c>
      <c r="N141" s="714">
        <v>54750</v>
      </c>
      <c r="O141" s="716"/>
      <c r="P141" s="408">
        <v>0</v>
      </c>
      <c r="Q141" s="408">
        <v>0</v>
      </c>
      <c r="R141" s="714">
        <v>0</v>
      </c>
    </row>
    <row r="142" spans="1:18" s="713" customFormat="1">
      <c r="A142" s="711">
        <v>136</v>
      </c>
      <c r="B142" s="711"/>
      <c r="C142" s="711" t="s">
        <v>2330</v>
      </c>
      <c r="D142" s="712" t="s">
        <v>2353</v>
      </c>
      <c r="E142" s="711"/>
      <c r="H142" s="408">
        <v>0</v>
      </c>
      <c r="I142" s="408">
        <v>54750</v>
      </c>
      <c r="J142" s="714">
        <v>54750</v>
      </c>
      <c r="K142" s="715"/>
      <c r="L142" s="408">
        <v>0</v>
      </c>
      <c r="M142" s="408">
        <v>54750</v>
      </c>
      <c r="N142" s="714">
        <v>54750</v>
      </c>
      <c r="O142" s="716"/>
      <c r="P142" s="408">
        <v>0</v>
      </c>
      <c r="Q142" s="408">
        <v>0</v>
      </c>
      <c r="R142" s="714">
        <v>0</v>
      </c>
    </row>
    <row r="143" spans="1:18" s="713" customFormat="1">
      <c r="A143" s="711">
        <v>137</v>
      </c>
      <c r="B143" s="711"/>
      <c r="C143" s="711" t="s">
        <v>2120</v>
      </c>
      <c r="D143" s="712" t="s">
        <v>2354</v>
      </c>
      <c r="E143" s="711"/>
      <c r="H143" s="408">
        <v>0</v>
      </c>
      <c r="I143" s="408">
        <v>0</v>
      </c>
      <c r="J143" s="714">
        <v>0</v>
      </c>
      <c r="K143" s="715"/>
      <c r="L143" s="408">
        <v>0</v>
      </c>
      <c r="M143" s="408">
        <v>730000</v>
      </c>
      <c r="N143" s="714">
        <v>730000</v>
      </c>
      <c r="O143" s="716"/>
      <c r="P143" s="408">
        <v>0</v>
      </c>
      <c r="Q143" s="408">
        <v>2190000</v>
      </c>
      <c r="R143" s="714">
        <v>2190000</v>
      </c>
    </row>
    <row r="144" spans="1:18" s="713" customFormat="1">
      <c r="A144" s="711">
        <v>138</v>
      </c>
      <c r="B144" s="711"/>
      <c r="C144" s="711" t="s">
        <v>2120</v>
      </c>
      <c r="D144" s="712" t="s">
        <v>2355</v>
      </c>
      <c r="E144" s="711"/>
      <c r="H144" s="408">
        <v>0</v>
      </c>
      <c r="I144" s="408">
        <v>0</v>
      </c>
      <c r="J144" s="714">
        <v>0</v>
      </c>
      <c r="K144" s="715"/>
      <c r="L144" s="408">
        <v>0</v>
      </c>
      <c r="M144" s="408">
        <v>0</v>
      </c>
      <c r="N144" s="714">
        <v>0</v>
      </c>
      <c r="O144" s="716"/>
      <c r="P144" s="408">
        <v>0</v>
      </c>
      <c r="Q144" s="408">
        <v>2190000</v>
      </c>
      <c r="R144" s="714">
        <v>2190000</v>
      </c>
    </row>
    <row r="145" spans="1:18" s="713" customFormat="1">
      <c r="A145" s="711">
        <v>139</v>
      </c>
      <c r="B145" s="711"/>
      <c r="C145" s="711" t="s">
        <v>2120</v>
      </c>
      <c r="D145" s="712" t="s">
        <v>2356</v>
      </c>
      <c r="E145" s="711"/>
      <c r="H145" s="408">
        <v>0</v>
      </c>
      <c r="I145" s="408">
        <v>730000</v>
      </c>
      <c r="J145" s="714">
        <v>730000</v>
      </c>
      <c r="K145" s="715"/>
      <c r="L145" s="408">
        <v>0</v>
      </c>
      <c r="M145" s="408">
        <v>730000</v>
      </c>
      <c r="N145" s="714">
        <v>730000</v>
      </c>
      <c r="O145" s="716"/>
      <c r="P145" s="408">
        <v>0</v>
      </c>
      <c r="Q145" s="408">
        <v>1460000</v>
      </c>
      <c r="R145" s="714">
        <v>1460000</v>
      </c>
    </row>
    <row r="146" spans="1:18" s="713" customFormat="1">
      <c r="A146" s="711">
        <v>140</v>
      </c>
      <c r="B146" s="711"/>
      <c r="C146" s="711" t="s">
        <v>2120</v>
      </c>
      <c r="D146" s="712" t="s">
        <v>2357</v>
      </c>
      <c r="E146" s="711"/>
      <c r="H146" s="408">
        <v>0</v>
      </c>
      <c r="I146" s="408">
        <v>328500</v>
      </c>
      <c r="J146" s="714">
        <v>328500</v>
      </c>
      <c r="K146" s="715"/>
      <c r="L146" s="408">
        <v>0</v>
      </c>
      <c r="M146" s="408">
        <v>328500</v>
      </c>
      <c r="N146" s="714">
        <v>328500</v>
      </c>
      <c r="O146" s="716"/>
      <c r="P146" s="408">
        <v>0</v>
      </c>
      <c r="Q146" s="408">
        <v>0</v>
      </c>
      <c r="R146" s="714">
        <v>0</v>
      </c>
    </row>
    <row r="147" spans="1:18" s="713" customFormat="1">
      <c r="A147" s="711">
        <v>141</v>
      </c>
      <c r="B147" s="711"/>
      <c r="C147" s="711" t="s">
        <v>2120</v>
      </c>
      <c r="D147" s="712" t="s">
        <v>2358</v>
      </c>
      <c r="E147" s="711"/>
      <c r="H147" s="408">
        <v>0</v>
      </c>
      <c r="I147" s="408">
        <v>0</v>
      </c>
      <c r="J147" s="714">
        <v>0</v>
      </c>
      <c r="K147" s="715"/>
      <c r="L147" s="408">
        <v>0</v>
      </c>
      <c r="M147" s="408">
        <v>365000</v>
      </c>
      <c r="N147" s="714">
        <v>365000</v>
      </c>
      <c r="O147" s="716"/>
      <c r="P147" s="408">
        <v>0</v>
      </c>
      <c r="Q147" s="408">
        <v>730000</v>
      </c>
      <c r="R147" s="714">
        <v>730000</v>
      </c>
    </row>
    <row r="148" spans="1:18" s="713" customFormat="1">
      <c r="A148" s="711">
        <v>142</v>
      </c>
      <c r="B148" s="711"/>
      <c r="C148" s="711" t="s">
        <v>2120</v>
      </c>
      <c r="D148" s="712" t="s">
        <v>2359</v>
      </c>
      <c r="E148" s="711"/>
      <c r="H148" s="408">
        <v>0</v>
      </c>
      <c r="I148" s="408">
        <v>0</v>
      </c>
      <c r="J148" s="714">
        <v>0</v>
      </c>
      <c r="K148" s="715"/>
      <c r="L148" s="408">
        <v>0</v>
      </c>
      <c r="M148" s="408">
        <v>365000</v>
      </c>
      <c r="N148" s="714">
        <v>365000</v>
      </c>
      <c r="O148" s="716"/>
      <c r="P148" s="408">
        <v>0</v>
      </c>
      <c r="Q148" s="408">
        <v>730000</v>
      </c>
      <c r="R148" s="714">
        <v>730000</v>
      </c>
    </row>
    <row r="149" spans="1:18" s="713" customFormat="1" ht="30">
      <c r="A149" s="711">
        <v>143</v>
      </c>
      <c r="B149" s="711"/>
      <c r="C149" s="711" t="s">
        <v>2120</v>
      </c>
      <c r="D149" s="712" t="s">
        <v>2360</v>
      </c>
      <c r="E149" s="711"/>
      <c r="H149" s="408">
        <v>0</v>
      </c>
      <c r="I149" s="408">
        <v>127750</v>
      </c>
      <c r="J149" s="714">
        <v>127750</v>
      </c>
      <c r="K149" s="715"/>
      <c r="L149" s="408">
        <v>0</v>
      </c>
      <c r="M149" s="408">
        <v>127750</v>
      </c>
      <c r="N149" s="714">
        <v>127750</v>
      </c>
      <c r="O149" s="716"/>
      <c r="P149" s="408">
        <v>0</v>
      </c>
      <c r="Q149" s="408">
        <v>0</v>
      </c>
      <c r="R149" s="714">
        <v>0</v>
      </c>
    </row>
    <row r="150" spans="1:18" s="713" customFormat="1">
      <c r="A150" s="711">
        <v>144</v>
      </c>
      <c r="B150" s="711"/>
      <c r="C150" s="711" t="s">
        <v>2120</v>
      </c>
      <c r="D150" s="712" t="s">
        <v>2361</v>
      </c>
      <c r="E150" s="711"/>
      <c r="H150" s="408">
        <v>0</v>
      </c>
      <c r="I150" s="408">
        <v>0</v>
      </c>
      <c r="J150" s="714">
        <v>0</v>
      </c>
      <c r="K150" s="715"/>
      <c r="L150" s="408">
        <v>0</v>
      </c>
      <c r="M150" s="408">
        <v>273750</v>
      </c>
      <c r="N150" s="714">
        <v>273750</v>
      </c>
      <c r="O150" s="716"/>
      <c r="P150" s="408">
        <v>0</v>
      </c>
      <c r="Q150" s="408">
        <v>0</v>
      </c>
      <c r="R150" s="714">
        <v>0</v>
      </c>
    </row>
    <row r="151" spans="1:18" s="713" customFormat="1">
      <c r="A151" s="711">
        <v>145</v>
      </c>
      <c r="B151" s="711"/>
      <c r="C151" s="711" t="s">
        <v>2120</v>
      </c>
      <c r="D151" s="712" t="s">
        <v>2362</v>
      </c>
      <c r="E151" s="711"/>
      <c r="H151" s="408">
        <v>0</v>
      </c>
      <c r="I151" s="408">
        <v>273750</v>
      </c>
      <c r="J151" s="714">
        <v>273750</v>
      </c>
      <c r="K151" s="715"/>
      <c r="L151" s="408">
        <v>0</v>
      </c>
      <c r="M151" s="408">
        <v>0</v>
      </c>
      <c r="N151" s="714">
        <v>0</v>
      </c>
      <c r="O151" s="716"/>
      <c r="P151" s="408">
        <v>0</v>
      </c>
      <c r="Q151" s="408">
        <v>0</v>
      </c>
      <c r="R151" s="714">
        <v>0</v>
      </c>
    </row>
    <row r="152" spans="1:18" s="713" customFormat="1">
      <c r="A152" s="711">
        <v>146</v>
      </c>
      <c r="B152" s="711"/>
      <c r="C152" s="711" t="s">
        <v>2120</v>
      </c>
      <c r="D152" s="712" t="s">
        <v>2363</v>
      </c>
      <c r="E152" s="711"/>
      <c r="H152" s="408">
        <v>0</v>
      </c>
      <c r="I152" s="408">
        <v>1168000</v>
      </c>
      <c r="J152" s="714">
        <v>1168000</v>
      </c>
      <c r="K152" s="715"/>
      <c r="L152" s="408">
        <v>0</v>
      </c>
      <c r="M152" s="408">
        <v>0</v>
      </c>
      <c r="N152" s="714">
        <v>0</v>
      </c>
      <c r="O152" s="716"/>
      <c r="P152" s="408">
        <v>0</v>
      </c>
      <c r="Q152" s="408">
        <v>0</v>
      </c>
      <c r="R152" s="714">
        <v>0</v>
      </c>
    </row>
    <row r="153" spans="1:18" s="713" customFormat="1">
      <c r="A153" s="711">
        <v>147</v>
      </c>
      <c r="B153" s="711"/>
      <c r="C153" s="711" t="s">
        <v>2120</v>
      </c>
      <c r="D153" s="712" t="s">
        <v>2364</v>
      </c>
      <c r="E153" s="711"/>
      <c r="H153" s="408">
        <v>0</v>
      </c>
      <c r="I153" s="408">
        <v>2000000</v>
      </c>
      <c r="J153" s="714">
        <v>2000000</v>
      </c>
      <c r="K153" s="715"/>
      <c r="L153" s="408">
        <v>0</v>
      </c>
      <c r="M153" s="408">
        <v>5000000</v>
      </c>
      <c r="N153" s="714">
        <v>5000000</v>
      </c>
      <c r="O153" s="716"/>
      <c r="P153" s="408">
        <v>0</v>
      </c>
      <c r="Q153" s="408">
        <v>0</v>
      </c>
      <c r="R153" s="714">
        <v>0</v>
      </c>
    </row>
    <row r="154" spans="1:18" s="713" customFormat="1">
      <c r="A154" s="711">
        <v>148</v>
      </c>
      <c r="B154" s="711"/>
      <c r="C154" s="711" t="s">
        <v>2120</v>
      </c>
      <c r="D154" s="712" t="s">
        <v>2365</v>
      </c>
      <c r="E154" s="711"/>
      <c r="H154" s="408">
        <v>0</v>
      </c>
      <c r="I154" s="408">
        <v>2000000</v>
      </c>
      <c r="J154" s="714">
        <v>2000000</v>
      </c>
      <c r="K154" s="715"/>
      <c r="L154" s="408">
        <v>0</v>
      </c>
      <c r="M154" s="408">
        <v>5000000</v>
      </c>
      <c r="N154" s="714">
        <v>5000000</v>
      </c>
      <c r="O154" s="716"/>
      <c r="P154" s="408">
        <v>0</v>
      </c>
      <c r="Q154" s="408">
        <v>0</v>
      </c>
      <c r="R154" s="714">
        <v>0</v>
      </c>
    </row>
    <row r="155" spans="1:18" s="713" customFormat="1">
      <c r="A155" s="711">
        <v>149</v>
      </c>
      <c r="B155" s="711"/>
      <c r="C155" s="711" t="s">
        <v>2120</v>
      </c>
      <c r="D155" s="712" t="s">
        <v>2366</v>
      </c>
      <c r="E155" s="711"/>
      <c r="H155" s="408">
        <v>0</v>
      </c>
      <c r="I155" s="408">
        <v>200750</v>
      </c>
      <c r="J155" s="714">
        <v>200750</v>
      </c>
      <c r="K155" s="715"/>
      <c r="L155" s="408">
        <v>0</v>
      </c>
      <c r="M155" s="408">
        <v>109500</v>
      </c>
      <c r="N155" s="714">
        <v>109500</v>
      </c>
      <c r="O155" s="716"/>
      <c r="P155" s="408">
        <v>0</v>
      </c>
      <c r="Q155" s="408">
        <v>0</v>
      </c>
      <c r="R155" s="714">
        <v>0</v>
      </c>
    </row>
    <row r="156" spans="1:18" s="713" customFormat="1">
      <c r="A156" s="711">
        <v>150</v>
      </c>
      <c r="B156" s="711"/>
      <c r="C156" s="711" t="s">
        <v>2120</v>
      </c>
      <c r="D156" s="712" t="s">
        <v>2367</v>
      </c>
      <c r="E156" s="711"/>
      <c r="H156" s="408">
        <v>0</v>
      </c>
      <c r="I156" s="408">
        <v>0</v>
      </c>
      <c r="J156" s="714">
        <v>0</v>
      </c>
      <c r="K156" s="715"/>
      <c r="L156" s="408">
        <v>0</v>
      </c>
      <c r="M156" s="408">
        <v>0</v>
      </c>
      <c r="N156" s="714">
        <v>0</v>
      </c>
      <c r="O156" s="716"/>
      <c r="P156" s="408">
        <v>0</v>
      </c>
      <c r="Q156" s="408">
        <v>273750</v>
      </c>
      <c r="R156" s="714">
        <v>273750</v>
      </c>
    </row>
    <row r="157" spans="1:18" s="713" customFormat="1">
      <c r="A157" s="711">
        <v>151</v>
      </c>
      <c r="B157" s="711"/>
      <c r="C157" s="711" t="s">
        <v>2120</v>
      </c>
      <c r="D157" s="712" t="s">
        <v>2368</v>
      </c>
      <c r="E157" s="711"/>
      <c r="H157" s="408">
        <v>0</v>
      </c>
      <c r="I157" s="408">
        <v>0</v>
      </c>
      <c r="J157" s="714">
        <v>0</v>
      </c>
      <c r="K157" s="715"/>
      <c r="L157" s="408">
        <v>0</v>
      </c>
      <c r="M157" s="408">
        <v>1168000</v>
      </c>
      <c r="N157" s="714">
        <v>1168000</v>
      </c>
      <c r="O157" s="716"/>
      <c r="P157" s="408">
        <v>0</v>
      </c>
      <c r="Q157" s="408">
        <v>0</v>
      </c>
      <c r="R157" s="714">
        <v>0</v>
      </c>
    </row>
    <row r="158" spans="1:18" s="713" customFormat="1">
      <c r="A158" s="711">
        <v>152</v>
      </c>
      <c r="B158" s="711"/>
      <c r="C158" s="711" t="s">
        <v>2120</v>
      </c>
      <c r="D158" s="712" t="s">
        <v>2369</v>
      </c>
      <c r="E158" s="711"/>
      <c r="H158" s="408">
        <v>0</v>
      </c>
      <c r="I158" s="408">
        <v>1825000</v>
      </c>
      <c r="J158" s="714">
        <v>1825000</v>
      </c>
      <c r="K158" s="715"/>
      <c r="L158" s="408">
        <v>0</v>
      </c>
      <c r="M158" s="408">
        <v>0</v>
      </c>
      <c r="N158" s="714">
        <v>0</v>
      </c>
      <c r="O158" s="716"/>
      <c r="P158" s="408">
        <v>0</v>
      </c>
      <c r="Q158" s="408">
        <v>0</v>
      </c>
      <c r="R158" s="714">
        <v>0</v>
      </c>
    </row>
    <row r="159" spans="1:18" s="713" customFormat="1">
      <c r="A159" s="711">
        <v>153</v>
      </c>
      <c r="B159" s="711"/>
      <c r="C159" s="711" t="s">
        <v>2120</v>
      </c>
      <c r="D159" s="712" t="s">
        <v>2370</v>
      </c>
      <c r="E159" s="711"/>
      <c r="H159" s="408">
        <v>0</v>
      </c>
      <c r="I159" s="408">
        <v>1460000</v>
      </c>
      <c r="J159" s="714">
        <v>1460000</v>
      </c>
      <c r="K159" s="715"/>
      <c r="L159" s="408">
        <v>0</v>
      </c>
      <c r="M159" s="408">
        <v>0</v>
      </c>
      <c r="N159" s="714">
        <v>0</v>
      </c>
      <c r="O159" s="716"/>
      <c r="P159" s="408">
        <v>0</v>
      </c>
      <c r="Q159" s="408">
        <v>0</v>
      </c>
      <c r="R159" s="714">
        <v>0</v>
      </c>
    </row>
    <row r="160" spans="1:18" s="713" customFormat="1">
      <c r="A160" s="711">
        <v>154</v>
      </c>
      <c r="B160" s="711"/>
      <c r="C160" s="711" t="s">
        <v>2120</v>
      </c>
      <c r="D160" s="712" t="s">
        <v>2371</v>
      </c>
      <c r="E160" s="711"/>
      <c r="H160" s="408">
        <v>0</v>
      </c>
      <c r="I160" s="408">
        <v>4380000</v>
      </c>
      <c r="J160" s="714">
        <v>4380000</v>
      </c>
      <c r="K160" s="715"/>
      <c r="L160" s="408">
        <v>0</v>
      </c>
      <c r="M160" s="408">
        <v>0</v>
      </c>
      <c r="N160" s="714">
        <v>0</v>
      </c>
      <c r="O160" s="716"/>
      <c r="P160" s="408">
        <v>0</v>
      </c>
      <c r="Q160" s="408">
        <v>0</v>
      </c>
      <c r="R160" s="714">
        <v>0</v>
      </c>
    </row>
    <row r="161" spans="1:18" s="713" customFormat="1">
      <c r="A161" s="711">
        <v>155</v>
      </c>
      <c r="B161" s="711"/>
      <c r="C161" s="711" t="s">
        <v>2120</v>
      </c>
      <c r="D161" s="712" t="s">
        <v>2372</v>
      </c>
      <c r="E161" s="711"/>
      <c r="H161" s="408">
        <v>0</v>
      </c>
      <c r="I161" s="408">
        <v>4015000</v>
      </c>
      <c r="J161" s="714">
        <v>4015000</v>
      </c>
      <c r="K161" s="715"/>
      <c r="L161" s="408">
        <v>0</v>
      </c>
      <c r="M161" s="408">
        <v>0</v>
      </c>
      <c r="N161" s="714">
        <v>0</v>
      </c>
      <c r="O161" s="716"/>
      <c r="P161" s="408">
        <v>0</v>
      </c>
      <c r="Q161" s="408">
        <v>0</v>
      </c>
      <c r="R161" s="714">
        <v>0</v>
      </c>
    </row>
    <row r="162" spans="1:18" s="713" customFormat="1">
      <c r="A162" s="711">
        <v>156</v>
      </c>
      <c r="B162" s="711"/>
      <c r="C162" s="711" t="s">
        <v>2120</v>
      </c>
      <c r="D162" s="712" t="s">
        <v>2373</v>
      </c>
      <c r="E162" s="711"/>
      <c r="H162" s="408">
        <v>0</v>
      </c>
      <c r="I162" s="408">
        <v>0</v>
      </c>
      <c r="J162" s="714">
        <v>0</v>
      </c>
      <c r="K162" s="715"/>
      <c r="L162" s="408">
        <v>0</v>
      </c>
      <c r="M162" s="408">
        <v>10000000</v>
      </c>
      <c r="N162" s="714">
        <v>10000000</v>
      </c>
      <c r="O162" s="716"/>
      <c r="P162" s="408">
        <v>0</v>
      </c>
      <c r="Q162" s="408">
        <v>0</v>
      </c>
      <c r="R162" s="714">
        <v>0</v>
      </c>
    </row>
    <row r="163" spans="1:18" s="713" customFormat="1">
      <c r="A163" s="711">
        <v>157</v>
      </c>
      <c r="B163" s="711"/>
      <c r="C163" s="711" t="s">
        <v>2120</v>
      </c>
      <c r="D163" s="712" t="s">
        <v>2374</v>
      </c>
      <c r="E163" s="711"/>
      <c r="H163" s="408">
        <v>0</v>
      </c>
      <c r="I163" s="408">
        <v>730000</v>
      </c>
      <c r="J163" s="714">
        <v>730000</v>
      </c>
      <c r="K163" s="715"/>
      <c r="L163" s="408">
        <v>0</v>
      </c>
      <c r="M163" s="408">
        <v>730000</v>
      </c>
      <c r="N163" s="714">
        <v>730000</v>
      </c>
      <c r="O163" s="716"/>
      <c r="P163" s="408">
        <v>0</v>
      </c>
      <c r="Q163" s="408">
        <v>0</v>
      </c>
      <c r="R163" s="714">
        <v>0</v>
      </c>
    </row>
    <row r="164" spans="1:18" s="713" customFormat="1">
      <c r="A164" s="711">
        <v>158</v>
      </c>
      <c r="B164" s="711"/>
      <c r="C164" s="711" t="s">
        <v>2120</v>
      </c>
      <c r="D164" s="712" t="s">
        <v>2375</v>
      </c>
      <c r="E164" s="711"/>
      <c r="H164" s="408">
        <v>0</v>
      </c>
      <c r="I164" s="408">
        <v>146000</v>
      </c>
      <c r="J164" s="714">
        <v>146000</v>
      </c>
      <c r="K164" s="715"/>
      <c r="L164" s="408">
        <v>0</v>
      </c>
      <c r="M164" s="408">
        <v>146000</v>
      </c>
      <c r="N164" s="714">
        <v>146000</v>
      </c>
      <c r="O164" s="716"/>
      <c r="P164" s="408">
        <v>0</v>
      </c>
      <c r="Q164" s="408">
        <v>146000</v>
      </c>
      <c r="R164" s="714">
        <v>146000</v>
      </c>
    </row>
    <row r="165" spans="1:18" s="713" customFormat="1">
      <c r="A165" s="711">
        <v>159</v>
      </c>
      <c r="B165" s="711"/>
      <c r="C165" s="711" t="s">
        <v>2120</v>
      </c>
      <c r="D165" s="712" t="s">
        <v>2376</v>
      </c>
      <c r="E165" s="711"/>
      <c r="H165" s="408">
        <v>0</v>
      </c>
      <c r="I165" s="408">
        <v>36500</v>
      </c>
      <c r="J165" s="714">
        <v>36500</v>
      </c>
      <c r="K165" s="715"/>
      <c r="L165" s="408">
        <v>0</v>
      </c>
      <c r="M165" s="408">
        <v>36500</v>
      </c>
      <c r="N165" s="714">
        <v>36500</v>
      </c>
      <c r="O165" s="716"/>
      <c r="P165" s="408">
        <v>0</v>
      </c>
      <c r="Q165" s="408">
        <v>0</v>
      </c>
      <c r="R165" s="714">
        <v>0</v>
      </c>
    </row>
    <row r="166" spans="1:18" s="713" customFormat="1" ht="30">
      <c r="A166" s="711">
        <v>160</v>
      </c>
      <c r="B166" s="711"/>
      <c r="C166" s="711" t="s">
        <v>2120</v>
      </c>
      <c r="D166" s="712" t="s">
        <v>2377</v>
      </c>
      <c r="E166" s="711"/>
      <c r="H166" s="408">
        <v>0</v>
      </c>
      <c r="I166" s="408">
        <v>200000</v>
      </c>
      <c r="J166" s="714">
        <v>200000</v>
      </c>
      <c r="K166" s="715"/>
      <c r="L166" s="408">
        <v>0</v>
      </c>
      <c r="M166" s="408">
        <v>200000</v>
      </c>
      <c r="N166" s="714">
        <v>200000</v>
      </c>
      <c r="O166" s="716"/>
      <c r="P166" s="408">
        <v>0</v>
      </c>
      <c r="Q166" s="408">
        <v>200000</v>
      </c>
      <c r="R166" s="714">
        <v>200000</v>
      </c>
    </row>
    <row r="167" spans="1:18" s="713" customFormat="1">
      <c r="A167" s="711">
        <v>161</v>
      </c>
      <c r="B167" s="711"/>
      <c r="C167" s="711" t="s">
        <v>2120</v>
      </c>
      <c r="D167" s="712" t="s">
        <v>2378</v>
      </c>
      <c r="E167" s="711"/>
      <c r="H167" s="408">
        <v>0</v>
      </c>
      <c r="I167" s="408">
        <v>438000</v>
      </c>
      <c r="J167" s="714">
        <v>438000</v>
      </c>
      <c r="K167" s="715"/>
      <c r="L167" s="408">
        <v>0</v>
      </c>
      <c r="M167" s="408">
        <v>73000</v>
      </c>
      <c r="N167" s="714">
        <v>73000</v>
      </c>
      <c r="O167" s="716"/>
      <c r="P167" s="408">
        <v>0</v>
      </c>
      <c r="Q167" s="408">
        <v>0</v>
      </c>
      <c r="R167" s="714">
        <v>0</v>
      </c>
    </row>
    <row r="168" spans="1:18" s="713" customFormat="1">
      <c r="A168" s="711">
        <v>162</v>
      </c>
      <c r="B168" s="711"/>
      <c r="C168" s="711" t="s">
        <v>2120</v>
      </c>
      <c r="D168" s="712" t="s">
        <v>2379</v>
      </c>
      <c r="E168" s="711"/>
      <c r="H168" s="408">
        <v>0</v>
      </c>
      <c r="I168" s="408">
        <v>0</v>
      </c>
      <c r="J168" s="714">
        <v>0</v>
      </c>
      <c r="K168" s="715"/>
      <c r="L168" s="408">
        <v>0</v>
      </c>
      <c r="M168" s="408">
        <v>182500</v>
      </c>
      <c r="N168" s="714">
        <v>182500</v>
      </c>
      <c r="O168" s="716"/>
      <c r="P168" s="408">
        <v>0</v>
      </c>
      <c r="Q168" s="408">
        <v>0</v>
      </c>
      <c r="R168" s="714">
        <v>0</v>
      </c>
    </row>
    <row r="169" spans="1:18" s="713" customFormat="1">
      <c r="A169" s="711">
        <v>163</v>
      </c>
      <c r="B169" s="711"/>
      <c r="C169" s="711" t="s">
        <v>2120</v>
      </c>
      <c r="D169" s="712" t="s">
        <v>2380</v>
      </c>
      <c r="E169" s="711"/>
      <c r="H169" s="408">
        <v>0</v>
      </c>
      <c r="I169" s="408">
        <v>1000000</v>
      </c>
      <c r="J169" s="714">
        <v>1000000</v>
      </c>
      <c r="K169" s="715"/>
      <c r="L169" s="408">
        <v>0</v>
      </c>
      <c r="M169" s="408">
        <v>1095000</v>
      </c>
      <c r="N169" s="714">
        <v>1095000</v>
      </c>
      <c r="O169" s="716"/>
      <c r="P169" s="408">
        <v>0</v>
      </c>
      <c r="Q169" s="408">
        <v>1095000</v>
      </c>
      <c r="R169" s="714">
        <v>1095000</v>
      </c>
    </row>
    <row r="170" spans="1:18" s="713" customFormat="1">
      <c r="A170" s="711">
        <v>164</v>
      </c>
      <c r="B170" s="711"/>
      <c r="C170" s="711" t="s">
        <v>2120</v>
      </c>
      <c r="D170" s="712" t="s">
        <v>2381</v>
      </c>
      <c r="E170" s="711"/>
      <c r="H170" s="408">
        <v>0</v>
      </c>
      <c r="I170" s="408">
        <v>146000</v>
      </c>
      <c r="J170" s="714">
        <v>146000</v>
      </c>
      <c r="K170" s="715"/>
      <c r="L170" s="408">
        <v>0</v>
      </c>
      <c r="M170" s="408">
        <v>0</v>
      </c>
      <c r="N170" s="714">
        <v>0</v>
      </c>
      <c r="O170" s="716"/>
      <c r="P170" s="408">
        <v>0</v>
      </c>
      <c r="Q170" s="408">
        <v>0</v>
      </c>
      <c r="R170" s="714">
        <v>0</v>
      </c>
    </row>
    <row r="171" spans="1:18" s="713" customFormat="1">
      <c r="A171" s="711">
        <v>165</v>
      </c>
      <c r="B171" s="711"/>
      <c r="C171" s="711" t="s">
        <v>2120</v>
      </c>
      <c r="D171" s="712" t="s">
        <v>2382</v>
      </c>
      <c r="E171" s="711"/>
      <c r="H171" s="408">
        <v>0</v>
      </c>
      <c r="I171" s="408">
        <v>73000</v>
      </c>
      <c r="J171" s="714">
        <v>73000</v>
      </c>
      <c r="K171" s="715"/>
      <c r="L171" s="408">
        <v>0</v>
      </c>
      <c r="M171" s="408">
        <v>0</v>
      </c>
      <c r="N171" s="714">
        <v>0</v>
      </c>
      <c r="O171" s="716"/>
      <c r="P171" s="408">
        <v>0</v>
      </c>
      <c r="Q171" s="408">
        <v>0</v>
      </c>
      <c r="R171" s="714">
        <v>0</v>
      </c>
    </row>
    <row r="172" spans="1:18" s="713" customFormat="1">
      <c r="A172" s="711">
        <v>166</v>
      </c>
      <c r="B172" s="711"/>
      <c r="C172" s="711" t="s">
        <v>2120</v>
      </c>
      <c r="D172" s="712" t="s">
        <v>2383</v>
      </c>
      <c r="E172" s="711"/>
      <c r="H172" s="408">
        <v>0</v>
      </c>
      <c r="I172" s="408">
        <v>250000</v>
      </c>
      <c r="J172" s="714">
        <v>250000</v>
      </c>
      <c r="K172" s="715"/>
      <c r="L172" s="408">
        <v>0</v>
      </c>
      <c r="M172" s="408">
        <v>500000</v>
      </c>
      <c r="N172" s="714">
        <v>500000</v>
      </c>
      <c r="O172" s="716"/>
      <c r="P172" s="408">
        <v>0</v>
      </c>
      <c r="Q172" s="408">
        <v>500000</v>
      </c>
      <c r="R172" s="714">
        <v>500000</v>
      </c>
    </row>
    <row r="173" spans="1:18" s="713" customFormat="1">
      <c r="A173" s="711">
        <v>167</v>
      </c>
      <c r="B173" s="711"/>
      <c r="C173" s="711" t="s">
        <v>2120</v>
      </c>
      <c r="D173" s="712" t="s">
        <v>2384</v>
      </c>
      <c r="E173" s="711"/>
      <c r="H173" s="408">
        <v>0</v>
      </c>
      <c r="I173" s="408">
        <v>547500</v>
      </c>
      <c r="J173" s="714">
        <v>547500</v>
      </c>
      <c r="K173" s="715"/>
      <c r="L173" s="408">
        <v>0</v>
      </c>
      <c r="M173" s="408">
        <v>547500</v>
      </c>
      <c r="N173" s="714">
        <v>547500</v>
      </c>
      <c r="O173" s="716"/>
      <c r="P173" s="408">
        <v>0</v>
      </c>
      <c r="Q173" s="408">
        <v>0</v>
      </c>
      <c r="R173" s="714">
        <v>0</v>
      </c>
    </row>
    <row r="174" spans="1:18" s="713" customFormat="1">
      <c r="A174" s="711">
        <v>168</v>
      </c>
      <c r="B174" s="711"/>
      <c r="C174" s="711" t="s">
        <v>2120</v>
      </c>
      <c r="D174" s="712" t="s">
        <v>2385</v>
      </c>
      <c r="E174" s="711"/>
      <c r="H174" s="408">
        <v>0</v>
      </c>
      <c r="I174" s="408">
        <v>140160</v>
      </c>
      <c r="J174" s="714">
        <v>140160</v>
      </c>
      <c r="K174" s="715"/>
      <c r="L174" s="408">
        <v>0</v>
      </c>
      <c r="M174" s="408">
        <v>0</v>
      </c>
      <c r="N174" s="714">
        <v>0</v>
      </c>
      <c r="O174" s="716"/>
      <c r="P174" s="408">
        <v>0</v>
      </c>
      <c r="Q174" s="408">
        <v>0</v>
      </c>
      <c r="R174" s="714">
        <v>0</v>
      </c>
    </row>
    <row r="175" spans="1:18" s="713" customFormat="1">
      <c r="A175" s="711">
        <v>169</v>
      </c>
      <c r="B175" s="711"/>
      <c r="C175" s="711" t="s">
        <v>2120</v>
      </c>
      <c r="D175" s="712" t="s">
        <v>2386</v>
      </c>
      <c r="E175" s="711"/>
      <c r="H175" s="408">
        <v>0</v>
      </c>
      <c r="I175" s="408">
        <v>0</v>
      </c>
      <c r="J175" s="714">
        <v>0</v>
      </c>
      <c r="K175" s="715"/>
      <c r="L175" s="408">
        <v>0</v>
      </c>
      <c r="M175" s="408">
        <v>0</v>
      </c>
      <c r="N175" s="714">
        <v>0</v>
      </c>
      <c r="O175" s="716"/>
      <c r="P175" s="408">
        <v>0</v>
      </c>
      <c r="Q175" s="408">
        <v>438000</v>
      </c>
      <c r="R175" s="714">
        <v>438000</v>
      </c>
    </row>
    <row r="176" spans="1:18" s="713" customFormat="1">
      <c r="A176" s="711">
        <v>170</v>
      </c>
      <c r="B176" s="711"/>
      <c r="C176" s="711" t="s">
        <v>2120</v>
      </c>
      <c r="D176" s="712" t="s">
        <v>2387</v>
      </c>
      <c r="E176" s="711"/>
      <c r="H176" s="408">
        <v>0</v>
      </c>
      <c r="I176" s="408">
        <v>182500</v>
      </c>
      <c r="J176" s="714">
        <v>182500</v>
      </c>
      <c r="K176" s="715"/>
      <c r="L176" s="408">
        <v>0</v>
      </c>
      <c r="M176" s="408">
        <v>0</v>
      </c>
      <c r="N176" s="714">
        <v>0</v>
      </c>
      <c r="O176" s="716"/>
      <c r="P176" s="408">
        <v>0</v>
      </c>
      <c r="Q176" s="408">
        <v>0</v>
      </c>
      <c r="R176" s="714">
        <v>0</v>
      </c>
    </row>
    <row r="177" spans="1:18" s="713" customFormat="1">
      <c r="A177" s="711">
        <v>171</v>
      </c>
      <c r="B177" s="711"/>
      <c r="C177" s="711" t="s">
        <v>2120</v>
      </c>
      <c r="D177" s="712" t="s">
        <v>2388</v>
      </c>
      <c r="E177" s="711"/>
      <c r="H177" s="408">
        <v>0</v>
      </c>
      <c r="I177" s="408">
        <v>0</v>
      </c>
      <c r="J177" s="714">
        <v>0</v>
      </c>
      <c r="K177" s="715"/>
      <c r="L177" s="408">
        <v>0</v>
      </c>
      <c r="M177" s="408">
        <v>730000</v>
      </c>
      <c r="N177" s="714">
        <v>730000</v>
      </c>
      <c r="O177" s="716"/>
      <c r="P177" s="408">
        <v>0</v>
      </c>
      <c r="Q177" s="408">
        <v>1460000</v>
      </c>
      <c r="R177" s="714">
        <v>1460000</v>
      </c>
    </row>
    <row r="178" spans="1:18" s="713" customFormat="1">
      <c r="A178" s="711">
        <v>172</v>
      </c>
      <c r="B178" s="711"/>
      <c r="C178" s="711" t="s">
        <v>2120</v>
      </c>
      <c r="D178" s="712" t="s">
        <v>2389</v>
      </c>
      <c r="E178" s="711"/>
      <c r="H178" s="408">
        <v>0</v>
      </c>
      <c r="I178" s="408">
        <v>36500</v>
      </c>
      <c r="J178" s="714">
        <v>36500</v>
      </c>
      <c r="K178" s="715"/>
      <c r="L178" s="408">
        <v>0</v>
      </c>
      <c r="M178" s="408">
        <v>43800</v>
      </c>
      <c r="N178" s="714">
        <v>43800</v>
      </c>
      <c r="O178" s="716"/>
      <c r="P178" s="408">
        <v>0</v>
      </c>
      <c r="Q178" s="408">
        <v>52560</v>
      </c>
      <c r="R178" s="714">
        <v>52560</v>
      </c>
    </row>
    <row r="179" spans="1:18" s="713" customFormat="1">
      <c r="A179" s="711">
        <v>173</v>
      </c>
      <c r="B179" s="711"/>
      <c r="C179" s="711" t="s">
        <v>2120</v>
      </c>
      <c r="D179" s="712" t="s">
        <v>2390</v>
      </c>
      <c r="E179" s="711"/>
      <c r="H179" s="408">
        <v>0</v>
      </c>
      <c r="I179" s="408">
        <v>36500</v>
      </c>
      <c r="J179" s="714">
        <v>36500</v>
      </c>
      <c r="K179" s="715"/>
      <c r="L179" s="408">
        <v>0</v>
      </c>
      <c r="M179" s="408">
        <v>43800</v>
      </c>
      <c r="N179" s="714">
        <v>43800</v>
      </c>
      <c r="O179" s="716"/>
      <c r="P179" s="408">
        <v>0</v>
      </c>
      <c r="Q179" s="408">
        <v>52560</v>
      </c>
      <c r="R179" s="714">
        <v>52560</v>
      </c>
    </row>
    <row r="180" spans="1:18" s="713" customFormat="1" ht="30">
      <c r="A180" s="711">
        <v>174</v>
      </c>
      <c r="B180" s="711"/>
      <c r="C180" s="711" t="s">
        <v>2120</v>
      </c>
      <c r="D180" s="712" t="s">
        <v>2391</v>
      </c>
      <c r="E180" s="711"/>
      <c r="H180" s="408">
        <v>0</v>
      </c>
      <c r="I180" s="408">
        <v>73000</v>
      </c>
      <c r="J180" s="714">
        <v>73000</v>
      </c>
      <c r="K180" s="715"/>
      <c r="L180" s="408">
        <v>0</v>
      </c>
      <c r="M180" s="408">
        <v>0</v>
      </c>
      <c r="N180" s="714">
        <v>0</v>
      </c>
      <c r="O180" s="716"/>
      <c r="P180" s="408">
        <v>0</v>
      </c>
      <c r="Q180" s="408">
        <v>0</v>
      </c>
      <c r="R180" s="714">
        <v>0</v>
      </c>
    </row>
    <row r="181" spans="1:18" s="713" customFormat="1">
      <c r="A181" s="711">
        <v>175</v>
      </c>
      <c r="B181" s="711"/>
      <c r="C181" s="711" t="s">
        <v>2120</v>
      </c>
      <c r="D181" s="712" t="s">
        <v>2392</v>
      </c>
      <c r="E181" s="711"/>
      <c r="H181" s="408">
        <v>0</v>
      </c>
      <c r="I181" s="408">
        <v>43800</v>
      </c>
      <c r="J181" s="714">
        <v>43800</v>
      </c>
      <c r="K181" s="715"/>
      <c r="L181" s="408">
        <v>0</v>
      </c>
      <c r="M181" s="408">
        <v>0</v>
      </c>
      <c r="N181" s="714">
        <v>0</v>
      </c>
      <c r="O181" s="716"/>
      <c r="P181" s="408">
        <v>0</v>
      </c>
      <c r="Q181" s="408">
        <v>0</v>
      </c>
      <c r="R181" s="714">
        <v>0</v>
      </c>
    </row>
    <row r="182" spans="1:18" s="713" customFormat="1">
      <c r="A182" s="711">
        <v>176</v>
      </c>
      <c r="B182" s="711"/>
      <c r="C182" s="711" t="s">
        <v>2120</v>
      </c>
      <c r="D182" s="712" t="s">
        <v>2393</v>
      </c>
      <c r="E182" s="711"/>
      <c r="H182" s="408">
        <v>0</v>
      </c>
      <c r="I182" s="408">
        <v>273750</v>
      </c>
      <c r="J182" s="714">
        <v>273750</v>
      </c>
      <c r="K182" s="715"/>
      <c r="L182" s="408">
        <v>0</v>
      </c>
      <c r="M182" s="408">
        <v>182500</v>
      </c>
      <c r="N182" s="714">
        <v>182500</v>
      </c>
      <c r="O182" s="716"/>
      <c r="P182" s="408">
        <v>0</v>
      </c>
      <c r="Q182" s="408">
        <v>87600</v>
      </c>
      <c r="R182" s="714">
        <v>87600</v>
      </c>
    </row>
    <row r="183" spans="1:18" s="713" customFormat="1">
      <c r="A183" s="711">
        <v>177</v>
      </c>
      <c r="B183" s="711"/>
      <c r="C183" s="711" t="s">
        <v>2120</v>
      </c>
      <c r="D183" s="712" t="s">
        <v>2394</v>
      </c>
      <c r="E183" s="711"/>
      <c r="H183" s="408">
        <v>0</v>
      </c>
      <c r="I183" s="408">
        <v>2500000</v>
      </c>
      <c r="J183" s="714">
        <v>2500000</v>
      </c>
      <c r="K183" s="715"/>
      <c r="L183" s="408">
        <v>0</v>
      </c>
      <c r="M183" s="408">
        <v>2500000</v>
      </c>
      <c r="N183" s="714">
        <v>2500000</v>
      </c>
      <c r="O183" s="716"/>
      <c r="P183" s="408">
        <v>0</v>
      </c>
      <c r="Q183" s="408">
        <v>292000</v>
      </c>
      <c r="R183" s="714">
        <v>292000</v>
      </c>
    </row>
    <row r="184" spans="1:18" s="713" customFormat="1">
      <c r="A184" s="711">
        <v>178</v>
      </c>
      <c r="B184" s="711"/>
      <c r="C184" s="711" t="s">
        <v>2120</v>
      </c>
      <c r="D184" s="712" t="s">
        <v>2395</v>
      </c>
      <c r="E184" s="711"/>
      <c r="H184" s="408">
        <v>0</v>
      </c>
      <c r="I184" s="408">
        <v>0</v>
      </c>
      <c r="J184" s="714">
        <v>0</v>
      </c>
      <c r="K184" s="715"/>
      <c r="L184" s="408">
        <v>0</v>
      </c>
      <c r="M184" s="408">
        <v>0</v>
      </c>
      <c r="N184" s="714">
        <v>0</v>
      </c>
      <c r="O184" s="716"/>
      <c r="P184" s="408">
        <v>0</v>
      </c>
      <c r="Q184" s="408">
        <v>1766892</v>
      </c>
      <c r="R184" s="714">
        <v>1766892</v>
      </c>
    </row>
    <row r="185" spans="1:18" s="713" customFormat="1">
      <c r="A185" s="711">
        <v>179</v>
      </c>
      <c r="B185" s="711"/>
      <c r="C185" s="711" t="s">
        <v>2120</v>
      </c>
      <c r="D185" s="712" t="s">
        <v>2396</v>
      </c>
      <c r="E185" s="711"/>
      <c r="H185" s="408">
        <v>0</v>
      </c>
      <c r="I185" s="408">
        <v>452600</v>
      </c>
      <c r="J185" s="714">
        <v>452600</v>
      </c>
      <c r="K185" s="715"/>
      <c r="L185" s="408">
        <v>0</v>
      </c>
      <c r="M185" s="408">
        <v>109500</v>
      </c>
      <c r="N185" s="714">
        <v>109500</v>
      </c>
      <c r="O185" s="716"/>
      <c r="P185" s="408">
        <v>0</v>
      </c>
      <c r="Q185" s="408">
        <v>109500</v>
      </c>
      <c r="R185" s="714">
        <v>109500</v>
      </c>
    </row>
    <row r="186" spans="1:18" s="713" customFormat="1" ht="30">
      <c r="A186" s="711">
        <v>180</v>
      </c>
      <c r="B186" s="711"/>
      <c r="C186" s="711" t="s">
        <v>2120</v>
      </c>
      <c r="D186" s="712" t="s">
        <v>2397</v>
      </c>
      <c r="E186" s="711"/>
      <c r="H186" s="408">
        <v>0</v>
      </c>
      <c r="I186" s="408">
        <v>365000</v>
      </c>
      <c r="J186" s="714">
        <v>365000</v>
      </c>
      <c r="K186" s="715"/>
      <c r="L186" s="408">
        <v>0</v>
      </c>
      <c r="M186" s="408">
        <v>730000</v>
      </c>
      <c r="N186" s="714">
        <v>730000</v>
      </c>
      <c r="O186" s="716"/>
      <c r="P186" s="408">
        <v>0</v>
      </c>
      <c r="Q186" s="408">
        <v>730000</v>
      </c>
      <c r="R186" s="714">
        <v>730000</v>
      </c>
    </row>
    <row r="187" spans="1:18" s="713" customFormat="1" ht="30">
      <c r="A187" s="711">
        <v>181</v>
      </c>
      <c r="B187" s="711"/>
      <c r="C187" s="711" t="s">
        <v>2120</v>
      </c>
      <c r="D187" s="712" t="s">
        <v>2398</v>
      </c>
      <c r="E187" s="711"/>
      <c r="H187" s="408">
        <v>0</v>
      </c>
      <c r="I187" s="408">
        <v>0</v>
      </c>
      <c r="J187" s="714">
        <v>0</v>
      </c>
      <c r="K187" s="715"/>
      <c r="L187" s="408">
        <v>0</v>
      </c>
      <c r="M187" s="408">
        <v>255500</v>
      </c>
      <c r="N187" s="714">
        <v>255500</v>
      </c>
      <c r="O187" s="716"/>
      <c r="P187" s="408">
        <v>0</v>
      </c>
      <c r="Q187" s="408">
        <v>0</v>
      </c>
      <c r="R187" s="714">
        <v>0</v>
      </c>
    </row>
    <row r="188" spans="1:18" s="713" customFormat="1">
      <c r="A188" s="711">
        <v>182</v>
      </c>
      <c r="B188" s="711"/>
      <c r="C188" s="711" t="s">
        <v>2120</v>
      </c>
      <c r="D188" s="712" t="s">
        <v>2399</v>
      </c>
      <c r="E188" s="711"/>
      <c r="H188" s="408">
        <v>0</v>
      </c>
      <c r="I188" s="408">
        <v>365000</v>
      </c>
      <c r="J188" s="714">
        <v>365000</v>
      </c>
      <c r="K188" s="715"/>
      <c r="L188" s="408">
        <v>0</v>
      </c>
      <c r="M188" s="408">
        <v>1460000</v>
      </c>
      <c r="N188" s="714">
        <v>1460000</v>
      </c>
      <c r="O188" s="716"/>
      <c r="P188" s="408">
        <v>0</v>
      </c>
      <c r="Q188" s="408">
        <v>1606000</v>
      </c>
      <c r="R188" s="714">
        <v>1606000</v>
      </c>
    </row>
    <row r="189" spans="1:18" s="713" customFormat="1">
      <c r="A189" s="711">
        <v>183</v>
      </c>
      <c r="B189" s="711"/>
      <c r="C189" s="711" t="s">
        <v>2120</v>
      </c>
      <c r="D189" s="712" t="s">
        <v>2400</v>
      </c>
      <c r="E189" s="711"/>
      <c r="H189" s="408">
        <v>0</v>
      </c>
      <c r="I189" s="408">
        <v>390550</v>
      </c>
      <c r="J189" s="714">
        <v>390550</v>
      </c>
      <c r="K189" s="715"/>
      <c r="L189" s="408">
        <v>0</v>
      </c>
      <c r="M189" s="408">
        <v>0</v>
      </c>
      <c r="N189" s="714">
        <v>0</v>
      </c>
      <c r="O189" s="716"/>
      <c r="P189" s="408">
        <v>0</v>
      </c>
      <c r="Q189" s="408">
        <v>0</v>
      </c>
      <c r="R189" s="714">
        <v>0</v>
      </c>
    </row>
    <row r="190" spans="1:18" s="713" customFormat="1">
      <c r="A190" s="711">
        <v>184</v>
      </c>
      <c r="B190" s="711"/>
      <c r="C190" s="711" t="s">
        <v>2120</v>
      </c>
      <c r="D190" s="712" t="s">
        <v>2401</v>
      </c>
      <c r="E190" s="711"/>
      <c r="H190" s="408">
        <v>0</v>
      </c>
      <c r="I190" s="408">
        <v>182500</v>
      </c>
      <c r="J190" s="714">
        <v>182500</v>
      </c>
      <c r="K190" s="715"/>
      <c r="L190" s="408">
        <v>0</v>
      </c>
      <c r="M190" s="408">
        <v>182500</v>
      </c>
      <c r="N190" s="714">
        <v>182500</v>
      </c>
      <c r="O190" s="716"/>
      <c r="P190" s="408">
        <v>0</v>
      </c>
      <c r="Q190" s="408">
        <v>0</v>
      </c>
      <c r="R190" s="714">
        <v>0</v>
      </c>
    </row>
    <row r="191" spans="1:18" s="713" customFormat="1" ht="30">
      <c r="A191" s="711">
        <v>185</v>
      </c>
      <c r="B191" s="711"/>
      <c r="C191" s="711" t="s">
        <v>2120</v>
      </c>
      <c r="D191" s="712" t="s">
        <v>2402</v>
      </c>
      <c r="E191" s="711"/>
      <c r="H191" s="408">
        <v>0</v>
      </c>
      <c r="I191" s="408">
        <v>554070</v>
      </c>
      <c r="J191" s="714">
        <v>554070</v>
      </c>
      <c r="K191" s="715"/>
      <c r="L191" s="408">
        <v>0</v>
      </c>
      <c r="M191" s="408">
        <v>0</v>
      </c>
      <c r="N191" s="714">
        <v>0</v>
      </c>
      <c r="O191" s="716"/>
      <c r="P191" s="408">
        <v>0</v>
      </c>
      <c r="Q191" s="408">
        <v>0</v>
      </c>
      <c r="R191" s="714">
        <v>0</v>
      </c>
    </row>
    <row r="192" spans="1:18" s="713" customFormat="1" ht="30">
      <c r="A192" s="711">
        <v>186</v>
      </c>
      <c r="B192" s="711"/>
      <c r="C192" s="711" t="s">
        <v>2120</v>
      </c>
      <c r="D192" s="712" t="s">
        <v>2403</v>
      </c>
      <c r="E192" s="711"/>
      <c r="H192" s="408">
        <v>0</v>
      </c>
      <c r="I192" s="408">
        <v>0</v>
      </c>
      <c r="J192" s="714">
        <v>0</v>
      </c>
      <c r="K192" s="715"/>
      <c r="L192" s="408">
        <v>0</v>
      </c>
      <c r="M192" s="408">
        <v>659262.27</v>
      </c>
      <c r="N192" s="714">
        <v>659262.27</v>
      </c>
      <c r="O192" s="716"/>
      <c r="P192" s="408">
        <v>0</v>
      </c>
      <c r="Q192" s="408">
        <v>0</v>
      </c>
      <c r="R192" s="714">
        <v>0</v>
      </c>
    </row>
    <row r="193" spans="1:18" s="713" customFormat="1">
      <c r="A193" s="711">
        <v>187</v>
      </c>
      <c r="B193" s="711"/>
      <c r="C193" s="711" t="s">
        <v>2120</v>
      </c>
      <c r="D193" s="712" t="s">
        <v>2404</v>
      </c>
      <c r="E193" s="711"/>
      <c r="H193" s="408">
        <v>0</v>
      </c>
      <c r="I193" s="408">
        <v>1100000</v>
      </c>
      <c r="J193" s="714">
        <v>1100000</v>
      </c>
      <c r="K193" s="715"/>
      <c r="L193" s="408">
        <v>0</v>
      </c>
      <c r="M193" s="408">
        <v>1400000</v>
      </c>
      <c r="N193" s="714">
        <v>1400000</v>
      </c>
      <c r="O193" s="716"/>
      <c r="P193" s="408">
        <v>0</v>
      </c>
      <c r="Q193" s="408">
        <v>0</v>
      </c>
      <c r="R193" s="714">
        <v>0</v>
      </c>
    </row>
    <row r="194" spans="1:18" s="713" customFormat="1">
      <c r="A194" s="711">
        <v>188</v>
      </c>
      <c r="B194" s="711"/>
      <c r="C194" s="711" t="s">
        <v>2121</v>
      </c>
      <c r="D194" s="712" t="s">
        <v>2405</v>
      </c>
      <c r="E194" s="711"/>
      <c r="H194" s="408">
        <v>0</v>
      </c>
      <c r="I194" s="408">
        <v>200000</v>
      </c>
      <c r="J194" s="714">
        <v>200000</v>
      </c>
      <c r="K194" s="715"/>
      <c r="L194" s="408">
        <v>0</v>
      </c>
      <c r="M194" s="408">
        <v>200000</v>
      </c>
      <c r="N194" s="714">
        <v>200000</v>
      </c>
      <c r="O194" s="716"/>
      <c r="P194" s="408">
        <v>0</v>
      </c>
      <c r="Q194" s="408">
        <v>730000</v>
      </c>
      <c r="R194" s="714">
        <v>730000</v>
      </c>
    </row>
    <row r="195" spans="1:18" s="713" customFormat="1" ht="45">
      <c r="A195" s="711">
        <v>189</v>
      </c>
      <c r="B195" s="711"/>
      <c r="C195" s="711" t="s">
        <v>2121</v>
      </c>
      <c r="D195" s="712" t="s">
        <v>2406</v>
      </c>
      <c r="E195" s="711"/>
      <c r="H195" s="408">
        <v>0</v>
      </c>
      <c r="I195" s="408">
        <v>2500000</v>
      </c>
      <c r="J195" s="714">
        <v>2500000</v>
      </c>
      <c r="K195" s="715"/>
      <c r="L195" s="408">
        <v>0</v>
      </c>
      <c r="M195" s="408">
        <v>2000000</v>
      </c>
      <c r="N195" s="714">
        <v>2000000</v>
      </c>
      <c r="O195" s="716"/>
      <c r="P195" s="408">
        <v>0</v>
      </c>
      <c r="Q195" s="408">
        <v>0</v>
      </c>
      <c r="R195" s="714">
        <v>0</v>
      </c>
    </row>
    <row r="196" spans="1:18" s="713" customFormat="1" ht="45">
      <c r="A196" s="711">
        <v>190</v>
      </c>
      <c r="B196" s="711"/>
      <c r="C196" s="711" t="s">
        <v>2121</v>
      </c>
      <c r="D196" s="712" t="s">
        <v>2407</v>
      </c>
      <c r="E196" s="711"/>
      <c r="H196" s="408">
        <v>0</v>
      </c>
      <c r="I196" s="408">
        <v>4500000</v>
      </c>
      <c r="J196" s="714">
        <v>4500000</v>
      </c>
      <c r="K196" s="715"/>
      <c r="L196" s="408">
        <v>0</v>
      </c>
      <c r="M196" s="408">
        <v>0</v>
      </c>
      <c r="N196" s="714">
        <v>0</v>
      </c>
      <c r="O196" s="716"/>
      <c r="P196" s="408">
        <v>0</v>
      </c>
      <c r="Q196" s="408">
        <v>0</v>
      </c>
      <c r="R196" s="714">
        <v>0</v>
      </c>
    </row>
    <row r="197" spans="1:18" s="713" customFormat="1" ht="45">
      <c r="A197" s="711">
        <v>191</v>
      </c>
      <c r="B197" s="711"/>
      <c r="C197" s="711" t="s">
        <v>2121</v>
      </c>
      <c r="D197" s="712" t="s">
        <v>2408</v>
      </c>
      <c r="E197" s="711"/>
      <c r="H197" s="408">
        <v>0</v>
      </c>
      <c r="I197" s="408">
        <v>1460000</v>
      </c>
      <c r="J197" s="714">
        <v>1460000</v>
      </c>
      <c r="K197" s="715"/>
      <c r="L197" s="408">
        <v>0</v>
      </c>
      <c r="M197" s="408">
        <v>3285000</v>
      </c>
      <c r="N197" s="714">
        <v>3285000</v>
      </c>
      <c r="O197" s="716"/>
      <c r="P197" s="408">
        <v>0</v>
      </c>
      <c r="Q197" s="408">
        <v>0</v>
      </c>
      <c r="R197" s="714">
        <v>0</v>
      </c>
    </row>
    <row r="198" spans="1:18" s="713" customFormat="1" ht="30">
      <c r="A198" s="711">
        <v>192</v>
      </c>
      <c r="B198" s="711"/>
      <c r="C198" s="711" t="s">
        <v>2121</v>
      </c>
      <c r="D198" s="712" t="s">
        <v>2409</v>
      </c>
      <c r="E198" s="711"/>
      <c r="H198" s="408">
        <v>0</v>
      </c>
      <c r="I198" s="408">
        <v>547500</v>
      </c>
      <c r="J198" s="714">
        <v>547500</v>
      </c>
      <c r="K198" s="715"/>
      <c r="L198" s="408">
        <v>0</v>
      </c>
      <c r="M198" s="408">
        <v>365000</v>
      </c>
      <c r="N198" s="714">
        <v>365000</v>
      </c>
      <c r="O198" s="716"/>
      <c r="P198" s="408">
        <v>0</v>
      </c>
      <c r="Q198" s="408">
        <v>547500</v>
      </c>
      <c r="R198" s="714">
        <v>547500</v>
      </c>
    </row>
    <row r="199" spans="1:18" s="713" customFormat="1" ht="30">
      <c r="A199" s="711">
        <v>193</v>
      </c>
      <c r="B199" s="711"/>
      <c r="C199" s="711" t="s">
        <v>2121</v>
      </c>
      <c r="D199" s="712" t="s">
        <v>2410</v>
      </c>
      <c r="E199" s="711"/>
      <c r="H199" s="408">
        <v>0</v>
      </c>
      <c r="I199" s="408">
        <v>730000</v>
      </c>
      <c r="J199" s="714">
        <v>730000</v>
      </c>
      <c r="K199" s="715"/>
      <c r="L199" s="408">
        <v>0</v>
      </c>
      <c r="M199" s="408">
        <v>730000</v>
      </c>
      <c r="N199" s="714">
        <v>730000</v>
      </c>
      <c r="O199" s="716"/>
      <c r="P199" s="408">
        <v>0</v>
      </c>
      <c r="Q199" s="408">
        <v>365000</v>
      </c>
      <c r="R199" s="714">
        <v>365000</v>
      </c>
    </row>
    <row r="200" spans="1:18" s="713" customFormat="1">
      <c r="A200" s="711">
        <v>194</v>
      </c>
      <c r="B200" s="711"/>
      <c r="C200" s="711" t="s">
        <v>2121</v>
      </c>
      <c r="D200" s="712" t="s">
        <v>2380</v>
      </c>
      <c r="E200" s="711"/>
      <c r="H200" s="408">
        <v>0</v>
      </c>
      <c r="I200" s="408">
        <v>730000</v>
      </c>
      <c r="J200" s="714">
        <v>730000</v>
      </c>
      <c r="K200" s="715"/>
      <c r="L200" s="408">
        <v>0</v>
      </c>
      <c r="M200" s="408">
        <v>730000</v>
      </c>
      <c r="N200" s="714">
        <v>730000</v>
      </c>
      <c r="O200" s="716"/>
      <c r="P200" s="408">
        <v>0</v>
      </c>
      <c r="Q200" s="408">
        <v>730000</v>
      </c>
      <c r="R200" s="714">
        <v>730000</v>
      </c>
    </row>
    <row r="201" spans="1:18" s="713" customFormat="1">
      <c r="A201" s="711">
        <v>195</v>
      </c>
      <c r="B201" s="711"/>
      <c r="C201" s="711" t="s">
        <v>2121</v>
      </c>
      <c r="D201" s="712" t="s">
        <v>2411</v>
      </c>
      <c r="E201" s="711"/>
      <c r="H201" s="408">
        <v>0</v>
      </c>
      <c r="I201" s="408">
        <v>109500</v>
      </c>
      <c r="J201" s="714">
        <v>109500</v>
      </c>
      <c r="K201" s="715"/>
      <c r="L201" s="408">
        <v>0</v>
      </c>
      <c r="M201" s="408">
        <v>109500</v>
      </c>
      <c r="N201" s="714">
        <v>109500</v>
      </c>
      <c r="O201" s="716"/>
      <c r="P201" s="408">
        <v>0</v>
      </c>
      <c r="Q201" s="408">
        <v>0</v>
      </c>
      <c r="R201" s="714">
        <v>0</v>
      </c>
    </row>
    <row r="202" spans="1:18" s="713" customFormat="1">
      <c r="A202" s="711">
        <v>196</v>
      </c>
      <c r="B202" s="711"/>
      <c r="C202" s="711" t="s">
        <v>2121</v>
      </c>
      <c r="D202" s="712" t="s">
        <v>2412</v>
      </c>
      <c r="E202" s="711"/>
      <c r="H202" s="408">
        <v>0</v>
      </c>
      <c r="I202" s="408">
        <v>73000</v>
      </c>
      <c r="J202" s="714">
        <v>73000</v>
      </c>
      <c r="K202" s="715"/>
      <c r="L202" s="408">
        <v>0</v>
      </c>
      <c r="M202" s="408">
        <v>36500</v>
      </c>
      <c r="N202" s="714">
        <v>36500</v>
      </c>
      <c r="O202" s="716"/>
      <c r="P202" s="408">
        <v>0</v>
      </c>
      <c r="Q202" s="408">
        <v>0</v>
      </c>
      <c r="R202" s="714">
        <v>0</v>
      </c>
    </row>
    <row r="203" spans="1:18" s="713" customFormat="1">
      <c r="A203" s="711">
        <v>197</v>
      </c>
      <c r="B203" s="711"/>
      <c r="C203" s="711" t="s">
        <v>2121</v>
      </c>
      <c r="D203" s="712" t="s">
        <v>2413</v>
      </c>
      <c r="E203" s="711"/>
      <c r="H203" s="408">
        <v>0</v>
      </c>
      <c r="I203" s="408">
        <v>292000</v>
      </c>
      <c r="J203" s="714">
        <v>292000</v>
      </c>
      <c r="K203" s="715"/>
      <c r="L203" s="408">
        <v>0</v>
      </c>
      <c r="M203" s="408">
        <v>292000</v>
      </c>
      <c r="N203" s="714">
        <v>292000</v>
      </c>
      <c r="O203" s="716"/>
      <c r="P203" s="408">
        <v>0</v>
      </c>
      <c r="Q203" s="408">
        <v>0</v>
      </c>
      <c r="R203" s="714">
        <v>0</v>
      </c>
    </row>
    <row r="204" spans="1:18" s="713" customFormat="1">
      <c r="A204" s="711">
        <v>198</v>
      </c>
      <c r="B204" s="711"/>
      <c r="C204" s="711" t="s">
        <v>2121</v>
      </c>
      <c r="D204" s="712" t="s">
        <v>2414</v>
      </c>
      <c r="E204" s="711"/>
      <c r="H204" s="408">
        <v>0</v>
      </c>
      <c r="I204" s="408">
        <v>547500</v>
      </c>
      <c r="J204" s="714">
        <v>547500</v>
      </c>
      <c r="K204" s="715"/>
      <c r="L204" s="408">
        <v>0</v>
      </c>
      <c r="M204" s="408">
        <v>255500</v>
      </c>
      <c r="N204" s="714">
        <v>255500</v>
      </c>
      <c r="O204" s="716"/>
      <c r="P204" s="408">
        <v>0</v>
      </c>
      <c r="Q204" s="408">
        <v>182500</v>
      </c>
      <c r="R204" s="714">
        <v>182500</v>
      </c>
    </row>
    <row r="205" spans="1:18" s="713" customFormat="1">
      <c r="A205" s="711">
        <v>199</v>
      </c>
      <c r="B205" s="711"/>
      <c r="C205" s="711" t="s">
        <v>2121</v>
      </c>
      <c r="D205" s="712" t="s">
        <v>2415</v>
      </c>
      <c r="E205" s="711"/>
      <c r="H205" s="408">
        <v>0</v>
      </c>
      <c r="I205" s="408">
        <v>146000</v>
      </c>
      <c r="J205" s="714">
        <v>146000</v>
      </c>
      <c r="K205" s="715"/>
      <c r="L205" s="408">
        <v>0</v>
      </c>
      <c r="M205" s="408">
        <v>146000</v>
      </c>
      <c r="N205" s="714">
        <v>146000</v>
      </c>
      <c r="O205" s="716"/>
      <c r="P205" s="408">
        <v>0</v>
      </c>
      <c r="Q205" s="408">
        <v>146000</v>
      </c>
      <c r="R205" s="714">
        <v>146000</v>
      </c>
    </row>
    <row r="206" spans="1:18" s="713" customFormat="1">
      <c r="A206" s="711">
        <v>200</v>
      </c>
      <c r="B206" s="711"/>
      <c r="C206" s="711" t="s">
        <v>2121</v>
      </c>
      <c r="D206" s="712" t="s">
        <v>2416</v>
      </c>
      <c r="E206" s="711"/>
      <c r="H206" s="408">
        <v>0</v>
      </c>
      <c r="I206" s="408">
        <v>219000</v>
      </c>
      <c r="J206" s="714">
        <v>219000</v>
      </c>
      <c r="K206" s="715"/>
      <c r="L206" s="408">
        <v>0</v>
      </c>
      <c r="M206" s="408">
        <v>0</v>
      </c>
      <c r="N206" s="714">
        <v>0</v>
      </c>
      <c r="O206" s="716"/>
      <c r="P206" s="408">
        <v>0</v>
      </c>
      <c r="Q206" s="408">
        <v>0</v>
      </c>
      <c r="R206" s="714">
        <v>0</v>
      </c>
    </row>
    <row r="207" spans="1:18" s="713" customFormat="1">
      <c r="A207" s="711">
        <v>201</v>
      </c>
      <c r="B207" s="711"/>
      <c r="C207" s="711" t="s">
        <v>2122</v>
      </c>
      <c r="D207" s="712" t="s">
        <v>2417</v>
      </c>
      <c r="E207" s="711"/>
      <c r="H207" s="408">
        <v>0</v>
      </c>
      <c r="I207" s="408">
        <v>655000</v>
      </c>
      <c r="J207" s="714">
        <v>655000</v>
      </c>
      <c r="K207" s="715"/>
      <c r="L207" s="408">
        <v>0</v>
      </c>
      <c r="M207" s="408">
        <v>0</v>
      </c>
      <c r="N207" s="714">
        <v>0</v>
      </c>
      <c r="O207" s="716"/>
      <c r="P207" s="408">
        <v>0</v>
      </c>
      <c r="Q207" s="408">
        <v>0</v>
      </c>
      <c r="R207" s="714">
        <v>0</v>
      </c>
    </row>
    <row r="208" spans="1:18" s="713" customFormat="1">
      <c r="A208" s="711">
        <v>202</v>
      </c>
      <c r="B208" s="711"/>
      <c r="C208" s="711" t="s">
        <v>2122</v>
      </c>
      <c r="D208" s="712" t="s">
        <v>2418</v>
      </c>
      <c r="E208" s="711"/>
      <c r="H208" s="408">
        <v>0</v>
      </c>
      <c r="I208" s="408">
        <v>5110000</v>
      </c>
      <c r="J208" s="714">
        <v>5110000</v>
      </c>
      <c r="K208" s="715"/>
      <c r="L208" s="408">
        <v>0</v>
      </c>
      <c r="M208" s="408">
        <v>0</v>
      </c>
      <c r="N208" s="714">
        <v>0</v>
      </c>
      <c r="O208" s="716"/>
      <c r="P208" s="408">
        <v>0</v>
      </c>
      <c r="Q208" s="408">
        <v>0</v>
      </c>
      <c r="R208" s="714">
        <v>0</v>
      </c>
    </row>
    <row r="209" spans="1:18" s="713" customFormat="1">
      <c r="A209" s="711">
        <v>203</v>
      </c>
      <c r="B209" s="711"/>
      <c r="C209" s="711" t="s">
        <v>2122</v>
      </c>
      <c r="D209" s="712" t="s">
        <v>2419</v>
      </c>
      <c r="E209" s="711"/>
      <c r="H209" s="408">
        <v>0</v>
      </c>
      <c r="I209" s="408">
        <v>0</v>
      </c>
      <c r="J209" s="714">
        <v>0</v>
      </c>
      <c r="K209" s="715"/>
      <c r="L209" s="408">
        <v>0</v>
      </c>
      <c r="M209" s="408">
        <v>5110000</v>
      </c>
      <c r="N209" s="714">
        <v>5110000</v>
      </c>
      <c r="O209" s="716"/>
      <c r="P209" s="408">
        <v>0</v>
      </c>
      <c r="Q209" s="408">
        <v>0</v>
      </c>
      <c r="R209" s="714">
        <v>0</v>
      </c>
    </row>
    <row r="210" spans="1:18" s="713" customFormat="1">
      <c r="A210" s="711">
        <v>204</v>
      </c>
      <c r="B210" s="711"/>
      <c r="C210" s="711" t="s">
        <v>2122</v>
      </c>
      <c r="D210" s="712" t="s">
        <v>2420</v>
      </c>
      <c r="E210" s="711"/>
      <c r="H210" s="408">
        <v>0</v>
      </c>
      <c r="I210" s="408">
        <v>0</v>
      </c>
      <c r="J210" s="714">
        <v>0</v>
      </c>
      <c r="K210" s="715"/>
      <c r="L210" s="408">
        <v>0</v>
      </c>
      <c r="M210" s="408">
        <v>5475000</v>
      </c>
      <c r="N210" s="714">
        <v>5475000</v>
      </c>
      <c r="O210" s="716"/>
      <c r="P210" s="408">
        <v>0</v>
      </c>
      <c r="Q210" s="408">
        <v>0</v>
      </c>
      <c r="R210" s="714">
        <v>0</v>
      </c>
    </row>
    <row r="211" spans="1:18" s="713" customFormat="1">
      <c r="A211" s="711">
        <v>205</v>
      </c>
      <c r="B211" s="711"/>
      <c r="C211" s="711" t="s">
        <v>2122</v>
      </c>
      <c r="D211" s="712" t="s">
        <v>2421</v>
      </c>
      <c r="E211" s="711"/>
      <c r="H211" s="408">
        <v>0</v>
      </c>
      <c r="I211" s="408">
        <v>5110000</v>
      </c>
      <c r="J211" s="714">
        <v>5110000</v>
      </c>
      <c r="K211" s="715"/>
      <c r="L211" s="408">
        <v>0</v>
      </c>
      <c r="M211" s="408">
        <v>0</v>
      </c>
      <c r="N211" s="714">
        <v>0</v>
      </c>
      <c r="O211" s="716"/>
      <c r="P211" s="408">
        <v>0</v>
      </c>
      <c r="Q211" s="408">
        <v>0</v>
      </c>
      <c r="R211" s="714">
        <v>0</v>
      </c>
    </row>
    <row r="212" spans="1:18" s="713" customFormat="1">
      <c r="A212" s="711">
        <v>206</v>
      </c>
      <c r="B212" s="711"/>
      <c r="C212" s="711" t="s">
        <v>2122</v>
      </c>
      <c r="D212" s="712" t="s">
        <v>2422</v>
      </c>
      <c r="E212" s="711"/>
      <c r="H212" s="408">
        <v>0</v>
      </c>
      <c r="I212" s="408">
        <v>0</v>
      </c>
      <c r="J212" s="714">
        <v>0</v>
      </c>
      <c r="K212" s="715"/>
      <c r="L212" s="408">
        <v>0</v>
      </c>
      <c r="M212" s="408">
        <v>0</v>
      </c>
      <c r="N212" s="714">
        <v>0</v>
      </c>
      <c r="O212" s="716"/>
      <c r="P212" s="408">
        <v>0</v>
      </c>
      <c r="Q212" s="408">
        <v>5110000</v>
      </c>
      <c r="R212" s="714">
        <v>5110000</v>
      </c>
    </row>
    <row r="213" spans="1:18" s="713" customFormat="1">
      <c r="A213" s="711">
        <v>207</v>
      </c>
      <c r="B213" s="711"/>
      <c r="C213" s="711" t="s">
        <v>2122</v>
      </c>
      <c r="D213" s="712" t="s">
        <v>2423</v>
      </c>
      <c r="E213" s="711"/>
      <c r="H213" s="408">
        <v>0</v>
      </c>
      <c r="I213" s="408">
        <v>0</v>
      </c>
      <c r="J213" s="714">
        <v>0</v>
      </c>
      <c r="K213" s="715"/>
      <c r="L213" s="408">
        <v>0</v>
      </c>
      <c r="M213" s="408">
        <v>0</v>
      </c>
      <c r="N213" s="714">
        <v>0</v>
      </c>
      <c r="O213" s="716"/>
      <c r="P213" s="408">
        <v>0</v>
      </c>
      <c r="Q213" s="408">
        <v>5110000</v>
      </c>
      <c r="R213" s="714">
        <v>5110000</v>
      </c>
    </row>
    <row r="214" spans="1:18" s="713" customFormat="1">
      <c r="A214" s="711">
        <v>208</v>
      </c>
      <c r="B214" s="711"/>
      <c r="C214" s="711" t="s">
        <v>2122</v>
      </c>
      <c r="D214" s="712" t="s">
        <v>2424</v>
      </c>
      <c r="E214" s="711"/>
      <c r="H214" s="408">
        <v>0</v>
      </c>
      <c r="I214" s="408">
        <v>0</v>
      </c>
      <c r="J214" s="714">
        <v>0</v>
      </c>
      <c r="K214" s="715"/>
      <c r="L214" s="408">
        <v>0</v>
      </c>
      <c r="M214" s="408">
        <v>0</v>
      </c>
      <c r="N214" s="714">
        <v>0</v>
      </c>
      <c r="O214" s="716"/>
      <c r="P214" s="408">
        <v>0</v>
      </c>
      <c r="Q214" s="408">
        <v>5110000</v>
      </c>
      <c r="R214" s="714">
        <v>5110000</v>
      </c>
    </row>
    <row r="215" spans="1:18" s="713" customFormat="1">
      <c r="A215" s="711">
        <v>209</v>
      </c>
      <c r="B215" s="711"/>
      <c r="C215" s="711" t="s">
        <v>2122</v>
      </c>
      <c r="D215" s="712" t="s">
        <v>2425</v>
      </c>
      <c r="E215" s="711"/>
      <c r="H215" s="408">
        <v>0</v>
      </c>
      <c r="I215" s="408">
        <v>730000</v>
      </c>
      <c r="J215" s="714">
        <v>730000</v>
      </c>
      <c r="K215" s="715"/>
      <c r="L215" s="408">
        <v>0</v>
      </c>
      <c r="M215" s="408">
        <v>2555000</v>
      </c>
      <c r="N215" s="714">
        <v>2555000</v>
      </c>
      <c r="O215" s="716"/>
      <c r="P215" s="408">
        <v>0</v>
      </c>
      <c r="Q215" s="408">
        <v>0</v>
      </c>
      <c r="R215" s="714">
        <v>0</v>
      </c>
    </row>
    <row r="216" spans="1:18" s="713" customFormat="1">
      <c r="A216" s="711">
        <v>210</v>
      </c>
      <c r="B216" s="711"/>
      <c r="C216" s="711" t="s">
        <v>2122</v>
      </c>
      <c r="D216" s="712" t="s">
        <v>2426</v>
      </c>
      <c r="E216" s="711"/>
      <c r="H216" s="408">
        <v>0</v>
      </c>
      <c r="I216" s="408">
        <v>125000</v>
      </c>
      <c r="J216" s="714">
        <v>125000</v>
      </c>
      <c r="K216" s="715"/>
      <c r="L216" s="408">
        <v>0</v>
      </c>
      <c r="M216" s="408">
        <v>125000</v>
      </c>
      <c r="N216" s="714">
        <v>125000</v>
      </c>
      <c r="O216" s="716"/>
      <c r="P216" s="408">
        <v>0</v>
      </c>
      <c r="Q216" s="408">
        <v>125000</v>
      </c>
      <c r="R216" s="714">
        <v>125000</v>
      </c>
    </row>
    <row r="217" spans="1:18" s="713" customFormat="1">
      <c r="A217" s="711">
        <v>211</v>
      </c>
      <c r="B217" s="711"/>
      <c r="C217" s="711" t="s">
        <v>2123</v>
      </c>
      <c r="D217" s="712" t="s">
        <v>2427</v>
      </c>
      <c r="E217" s="711"/>
      <c r="H217" s="408">
        <v>0</v>
      </c>
      <c r="I217" s="408">
        <v>29000000</v>
      </c>
      <c r="J217" s="714">
        <v>29000000</v>
      </c>
      <c r="K217" s="715"/>
      <c r="L217" s="408">
        <v>0</v>
      </c>
      <c r="M217" s="408">
        <v>2000000</v>
      </c>
      <c r="N217" s="714">
        <v>2000000</v>
      </c>
      <c r="O217" s="716"/>
      <c r="P217" s="408">
        <v>0</v>
      </c>
      <c r="Q217" s="408">
        <v>15000000</v>
      </c>
      <c r="R217" s="714">
        <v>15000000</v>
      </c>
    </row>
    <row r="218" spans="1:18" s="713" customFormat="1">
      <c r="A218" s="711">
        <v>212</v>
      </c>
      <c r="B218" s="711"/>
      <c r="C218" s="711" t="s">
        <v>2123</v>
      </c>
      <c r="D218" s="712" t="s">
        <v>2428</v>
      </c>
      <c r="E218" s="711"/>
      <c r="H218" s="408">
        <v>0</v>
      </c>
      <c r="I218" s="408">
        <v>500000</v>
      </c>
      <c r="J218" s="714">
        <v>500000</v>
      </c>
      <c r="K218" s="715"/>
      <c r="L218" s="408">
        <v>0</v>
      </c>
      <c r="M218" s="408">
        <v>500000</v>
      </c>
      <c r="N218" s="714">
        <v>500000</v>
      </c>
      <c r="O218" s="716"/>
      <c r="P218" s="408">
        <v>0</v>
      </c>
      <c r="Q218" s="408">
        <v>500000</v>
      </c>
      <c r="R218" s="714">
        <v>500000</v>
      </c>
    </row>
    <row r="219" spans="1:18" s="713" customFormat="1">
      <c r="A219" s="711">
        <v>213</v>
      </c>
      <c r="B219" s="711"/>
      <c r="C219" s="711" t="s">
        <v>2123</v>
      </c>
      <c r="D219" s="712" t="s">
        <v>2429</v>
      </c>
      <c r="E219" s="711"/>
      <c r="H219" s="408">
        <v>0</v>
      </c>
      <c r="I219" s="408">
        <v>3500000</v>
      </c>
      <c r="J219" s="714">
        <v>3500000</v>
      </c>
      <c r="K219" s="715"/>
      <c r="L219" s="408">
        <v>0</v>
      </c>
      <c r="M219" s="408">
        <v>3500000</v>
      </c>
      <c r="N219" s="714">
        <v>3500000</v>
      </c>
      <c r="O219" s="716"/>
      <c r="P219" s="408">
        <v>0</v>
      </c>
      <c r="Q219" s="408">
        <v>0</v>
      </c>
      <c r="R219" s="714">
        <v>0</v>
      </c>
    </row>
    <row r="220" spans="1:18" s="713" customFormat="1">
      <c r="A220" s="711">
        <v>214</v>
      </c>
      <c r="B220" s="711"/>
      <c r="C220" s="711" t="s">
        <v>2123</v>
      </c>
      <c r="D220" s="712" t="s">
        <v>2430</v>
      </c>
      <c r="E220" s="711"/>
      <c r="H220" s="408">
        <v>0</v>
      </c>
      <c r="I220" s="408">
        <v>500000</v>
      </c>
      <c r="J220" s="714">
        <v>500000</v>
      </c>
      <c r="K220" s="715"/>
      <c r="L220" s="408">
        <v>0</v>
      </c>
      <c r="M220" s="408">
        <v>400000</v>
      </c>
      <c r="N220" s="714">
        <v>400000</v>
      </c>
      <c r="O220" s="716"/>
      <c r="P220" s="408">
        <v>0</v>
      </c>
      <c r="Q220" s="408">
        <v>400000</v>
      </c>
      <c r="R220" s="714">
        <v>400000</v>
      </c>
    </row>
    <row r="221" spans="1:18" s="713" customFormat="1">
      <c r="A221" s="711">
        <v>215</v>
      </c>
      <c r="B221" s="711"/>
      <c r="C221" s="711" t="s">
        <v>2123</v>
      </c>
      <c r="D221" s="712" t="s">
        <v>2431</v>
      </c>
      <c r="E221" s="711"/>
      <c r="H221" s="408">
        <v>0</v>
      </c>
      <c r="I221" s="408">
        <v>200000</v>
      </c>
      <c r="J221" s="714">
        <v>200000</v>
      </c>
      <c r="K221" s="715"/>
      <c r="L221" s="408">
        <v>0</v>
      </c>
      <c r="M221" s="408">
        <v>200000</v>
      </c>
      <c r="N221" s="714">
        <v>200000</v>
      </c>
      <c r="O221" s="716"/>
      <c r="P221" s="408">
        <v>0</v>
      </c>
      <c r="Q221" s="408">
        <v>0</v>
      </c>
      <c r="R221" s="714">
        <v>0</v>
      </c>
    </row>
    <row r="222" spans="1:18" s="713" customFormat="1">
      <c r="A222" s="711">
        <v>216</v>
      </c>
      <c r="B222" s="711"/>
      <c r="C222" s="711" t="s">
        <v>2123</v>
      </c>
      <c r="D222" s="712" t="s">
        <v>2432</v>
      </c>
      <c r="E222" s="711"/>
      <c r="H222" s="408">
        <v>0</v>
      </c>
      <c r="I222" s="408">
        <v>375000</v>
      </c>
      <c r="J222" s="714">
        <v>375000</v>
      </c>
      <c r="K222" s="715"/>
      <c r="L222" s="408">
        <v>0</v>
      </c>
      <c r="M222" s="408">
        <v>375000</v>
      </c>
      <c r="N222" s="714">
        <v>375000</v>
      </c>
      <c r="O222" s="716"/>
      <c r="P222" s="408">
        <v>0</v>
      </c>
      <c r="Q222" s="408">
        <v>0</v>
      </c>
      <c r="R222" s="714">
        <v>0</v>
      </c>
    </row>
    <row r="223" spans="1:18" s="713" customFormat="1">
      <c r="A223" s="711">
        <v>217</v>
      </c>
      <c r="B223" s="711"/>
      <c r="C223" s="711" t="s">
        <v>2123</v>
      </c>
      <c r="D223" s="712" t="s">
        <v>2433</v>
      </c>
      <c r="E223" s="711"/>
      <c r="H223" s="408">
        <v>0</v>
      </c>
      <c r="I223" s="408">
        <v>500000</v>
      </c>
      <c r="J223" s="714">
        <v>500000</v>
      </c>
      <c r="K223" s="715"/>
      <c r="L223" s="408">
        <v>0</v>
      </c>
      <c r="M223" s="408">
        <v>500000</v>
      </c>
      <c r="N223" s="714">
        <v>500000</v>
      </c>
      <c r="O223" s="716"/>
      <c r="P223" s="408">
        <v>0</v>
      </c>
      <c r="Q223" s="408">
        <v>500000</v>
      </c>
      <c r="R223" s="714">
        <v>500000</v>
      </c>
    </row>
    <row r="224" spans="1:18" s="713" customFormat="1">
      <c r="A224" s="711">
        <v>218</v>
      </c>
      <c r="B224" s="711"/>
      <c r="C224" s="711" t="s">
        <v>2123</v>
      </c>
      <c r="D224" s="712" t="s">
        <v>2434</v>
      </c>
      <c r="E224" s="711"/>
      <c r="H224" s="408">
        <v>0</v>
      </c>
      <c r="I224" s="408">
        <v>0</v>
      </c>
      <c r="J224" s="714">
        <v>0</v>
      </c>
      <c r="K224" s="715"/>
      <c r="L224" s="408">
        <v>0</v>
      </c>
      <c r="M224" s="408">
        <v>0</v>
      </c>
      <c r="N224" s="714">
        <v>0</v>
      </c>
      <c r="O224" s="716"/>
      <c r="P224" s="408">
        <v>0</v>
      </c>
      <c r="Q224" s="408">
        <v>0</v>
      </c>
      <c r="R224" s="714">
        <v>0</v>
      </c>
    </row>
    <row r="225" spans="1:18" s="713" customFormat="1">
      <c r="A225" s="711">
        <v>219</v>
      </c>
      <c r="B225" s="711"/>
      <c r="C225" s="711" t="s">
        <v>2123</v>
      </c>
      <c r="D225" s="712" t="s">
        <v>2435</v>
      </c>
      <c r="E225" s="711"/>
      <c r="H225" s="408">
        <v>0</v>
      </c>
      <c r="I225" s="408">
        <v>0</v>
      </c>
      <c r="J225" s="714">
        <v>0</v>
      </c>
      <c r="K225" s="715"/>
      <c r="L225" s="408">
        <v>0</v>
      </c>
      <c r="M225" s="408">
        <v>400000</v>
      </c>
      <c r="N225" s="714">
        <v>400000</v>
      </c>
      <c r="O225" s="716"/>
      <c r="P225" s="408">
        <v>0</v>
      </c>
      <c r="Q225" s="408">
        <v>400000</v>
      </c>
      <c r="R225" s="714">
        <v>400000</v>
      </c>
    </row>
    <row r="226" spans="1:18" s="713" customFormat="1">
      <c r="A226" s="711">
        <v>220</v>
      </c>
      <c r="B226" s="711"/>
      <c r="C226" s="711" t="s">
        <v>2123</v>
      </c>
      <c r="D226" s="712" t="s">
        <v>2436</v>
      </c>
      <c r="E226" s="711"/>
      <c r="H226" s="408">
        <v>0</v>
      </c>
      <c r="I226" s="408">
        <v>0</v>
      </c>
      <c r="J226" s="714">
        <v>0</v>
      </c>
      <c r="K226" s="715"/>
      <c r="L226" s="408">
        <v>0</v>
      </c>
      <c r="M226" s="408">
        <v>500000</v>
      </c>
      <c r="N226" s="714">
        <v>500000</v>
      </c>
      <c r="O226" s="716"/>
      <c r="P226" s="408">
        <v>0</v>
      </c>
      <c r="Q226" s="408">
        <v>0</v>
      </c>
      <c r="R226" s="714">
        <v>0</v>
      </c>
    </row>
    <row r="227" spans="1:18" s="713" customFormat="1">
      <c r="A227" s="711">
        <v>221</v>
      </c>
      <c r="B227" s="711"/>
      <c r="C227" s="711" t="s">
        <v>2123</v>
      </c>
      <c r="D227" s="712" t="s">
        <v>2437</v>
      </c>
      <c r="E227" s="711"/>
      <c r="H227" s="408">
        <v>0</v>
      </c>
      <c r="I227" s="408">
        <v>250000</v>
      </c>
      <c r="J227" s="714">
        <v>250000</v>
      </c>
      <c r="K227" s="715"/>
      <c r="L227" s="408">
        <v>0</v>
      </c>
      <c r="M227" s="408">
        <v>250000</v>
      </c>
      <c r="N227" s="714">
        <v>250000</v>
      </c>
      <c r="O227" s="716"/>
      <c r="P227" s="408">
        <v>0</v>
      </c>
      <c r="Q227" s="408">
        <v>0</v>
      </c>
      <c r="R227" s="714">
        <v>0</v>
      </c>
    </row>
    <row r="228" spans="1:18" s="713" customFormat="1">
      <c r="A228" s="711">
        <v>222</v>
      </c>
      <c r="B228" s="711"/>
      <c r="C228" s="711" t="s">
        <v>2123</v>
      </c>
      <c r="D228" s="712" t="s">
        <v>2438</v>
      </c>
      <c r="E228" s="711"/>
      <c r="H228" s="408">
        <v>0</v>
      </c>
      <c r="I228" s="408">
        <v>50000</v>
      </c>
      <c r="J228" s="714">
        <v>50000</v>
      </c>
      <c r="K228" s="715"/>
      <c r="L228" s="408">
        <v>0</v>
      </c>
      <c r="M228" s="408">
        <v>50000</v>
      </c>
      <c r="N228" s="714">
        <v>50000</v>
      </c>
      <c r="O228" s="716"/>
      <c r="P228" s="408">
        <v>0</v>
      </c>
      <c r="Q228" s="408">
        <v>50000</v>
      </c>
      <c r="R228" s="714">
        <v>50000</v>
      </c>
    </row>
    <row r="229" spans="1:18" s="713" customFormat="1">
      <c r="A229" s="711">
        <v>223</v>
      </c>
      <c r="B229" s="711"/>
      <c r="C229" s="711" t="s">
        <v>2123</v>
      </c>
      <c r="D229" s="712" t="s">
        <v>2439</v>
      </c>
      <c r="E229" s="711"/>
      <c r="H229" s="408">
        <v>0</v>
      </c>
      <c r="I229" s="408">
        <v>50000</v>
      </c>
      <c r="J229" s="714">
        <v>50000</v>
      </c>
      <c r="K229" s="715"/>
      <c r="L229" s="408">
        <v>0</v>
      </c>
      <c r="M229" s="408">
        <v>50000</v>
      </c>
      <c r="N229" s="714">
        <v>50000</v>
      </c>
      <c r="O229" s="716"/>
      <c r="P229" s="408">
        <v>0</v>
      </c>
      <c r="Q229" s="408">
        <v>50000</v>
      </c>
      <c r="R229" s="714">
        <v>50000</v>
      </c>
    </row>
    <row r="230" spans="1:18" s="713" customFormat="1">
      <c r="A230" s="711">
        <v>224</v>
      </c>
      <c r="B230" s="711"/>
      <c r="C230" s="711" t="s">
        <v>2123</v>
      </c>
      <c r="D230" s="712" t="s">
        <v>2440</v>
      </c>
      <c r="E230" s="711"/>
      <c r="H230" s="408">
        <v>0</v>
      </c>
      <c r="I230" s="408">
        <v>250000</v>
      </c>
      <c r="J230" s="714">
        <v>250000</v>
      </c>
      <c r="K230" s="715"/>
      <c r="L230" s="408">
        <v>0</v>
      </c>
      <c r="M230" s="408">
        <v>0</v>
      </c>
      <c r="N230" s="714">
        <v>0</v>
      </c>
      <c r="O230" s="716"/>
      <c r="P230" s="408">
        <v>0</v>
      </c>
      <c r="Q230" s="408">
        <v>0</v>
      </c>
      <c r="R230" s="714">
        <v>0</v>
      </c>
    </row>
    <row r="231" spans="1:18" s="713" customFormat="1">
      <c r="A231" s="711">
        <v>225</v>
      </c>
      <c r="B231" s="711"/>
      <c r="C231" s="711" t="s">
        <v>2123</v>
      </c>
      <c r="D231" s="712" t="s">
        <v>2441</v>
      </c>
      <c r="E231" s="711"/>
      <c r="H231" s="408">
        <v>0</v>
      </c>
      <c r="I231" s="408">
        <v>0</v>
      </c>
      <c r="J231" s="714">
        <v>0</v>
      </c>
      <c r="K231" s="715"/>
      <c r="L231" s="408">
        <v>0</v>
      </c>
      <c r="M231" s="408">
        <v>0</v>
      </c>
      <c r="N231" s="714">
        <v>0</v>
      </c>
      <c r="O231" s="716"/>
      <c r="P231" s="408">
        <v>0</v>
      </c>
      <c r="Q231" s="408">
        <v>0</v>
      </c>
      <c r="R231" s="714">
        <v>0</v>
      </c>
    </row>
    <row r="232" spans="1:18" s="713" customFormat="1">
      <c r="A232" s="711">
        <v>226</v>
      </c>
      <c r="B232" s="711"/>
      <c r="C232" s="711" t="s">
        <v>2124</v>
      </c>
      <c r="D232" s="712" t="s">
        <v>2442</v>
      </c>
      <c r="E232" s="711"/>
      <c r="H232" s="408">
        <v>0</v>
      </c>
      <c r="I232" s="408">
        <v>146000</v>
      </c>
      <c r="J232" s="714">
        <v>146000</v>
      </c>
      <c r="K232" s="715"/>
      <c r="L232" s="408">
        <v>0</v>
      </c>
      <c r="M232" s="408">
        <v>0</v>
      </c>
      <c r="N232" s="714">
        <v>0</v>
      </c>
      <c r="O232" s="716"/>
      <c r="P232" s="408">
        <v>0</v>
      </c>
      <c r="Q232" s="408">
        <v>0</v>
      </c>
      <c r="R232" s="714">
        <v>0</v>
      </c>
    </row>
    <row r="233" spans="1:18" s="713" customFormat="1">
      <c r="A233" s="711">
        <v>227</v>
      </c>
      <c r="B233" s="711"/>
      <c r="C233" s="711" t="s">
        <v>2124</v>
      </c>
      <c r="D233" s="712" t="s">
        <v>2443</v>
      </c>
      <c r="E233" s="711"/>
      <c r="H233" s="408">
        <v>0</v>
      </c>
      <c r="I233" s="408">
        <v>255500</v>
      </c>
      <c r="J233" s="714">
        <v>255500</v>
      </c>
      <c r="K233" s="715"/>
      <c r="L233" s="408">
        <v>0</v>
      </c>
      <c r="M233" s="408">
        <v>328500</v>
      </c>
      <c r="N233" s="714">
        <v>328500</v>
      </c>
      <c r="O233" s="716"/>
      <c r="P233" s="408">
        <v>0</v>
      </c>
      <c r="Q233" s="408">
        <v>328500</v>
      </c>
      <c r="R233" s="714">
        <v>328500</v>
      </c>
    </row>
    <row r="234" spans="1:18" s="713" customFormat="1">
      <c r="A234" s="711">
        <v>228</v>
      </c>
      <c r="B234" s="711"/>
      <c r="C234" s="711" t="s">
        <v>2124</v>
      </c>
      <c r="D234" s="712" t="s">
        <v>2444</v>
      </c>
      <c r="E234" s="711"/>
      <c r="H234" s="408">
        <v>0</v>
      </c>
      <c r="I234" s="408">
        <v>0</v>
      </c>
      <c r="J234" s="714">
        <v>0</v>
      </c>
      <c r="K234" s="715"/>
      <c r="L234" s="408">
        <v>0</v>
      </c>
      <c r="M234" s="408">
        <v>0</v>
      </c>
      <c r="N234" s="714">
        <v>0</v>
      </c>
      <c r="O234" s="716"/>
      <c r="P234" s="408">
        <v>0</v>
      </c>
      <c r="Q234" s="408">
        <v>365000</v>
      </c>
      <c r="R234" s="714">
        <v>365000</v>
      </c>
    </row>
    <row r="235" spans="1:18" s="713" customFormat="1" ht="30">
      <c r="A235" s="711">
        <v>229</v>
      </c>
      <c r="B235" s="711"/>
      <c r="C235" s="711" t="s">
        <v>2124</v>
      </c>
      <c r="D235" s="712" t="s">
        <v>2445</v>
      </c>
      <c r="E235" s="711"/>
      <c r="H235" s="408">
        <v>0</v>
      </c>
      <c r="I235" s="408">
        <v>0</v>
      </c>
      <c r="J235" s="714">
        <v>0</v>
      </c>
      <c r="K235" s="715"/>
      <c r="L235" s="408">
        <v>0</v>
      </c>
      <c r="M235" s="408">
        <v>7000000</v>
      </c>
      <c r="N235" s="714">
        <v>7000000</v>
      </c>
      <c r="O235" s="716"/>
      <c r="P235" s="408">
        <v>0</v>
      </c>
      <c r="Q235" s="408">
        <v>7000000</v>
      </c>
      <c r="R235" s="714">
        <v>7000000</v>
      </c>
    </row>
    <row r="236" spans="1:18" s="713" customFormat="1">
      <c r="A236" s="711">
        <v>230</v>
      </c>
      <c r="B236" s="711"/>
      <c r="C236" s="711" t="s">
        <v>2124</v>
      </c>
      <c r="D236" s="712" t="s">
        <v>2446</v>
      </c>
      <c r="E236" s="711"/>
      <c r="H236" s="408">
        <v>0</v>
      </c>
      <c r="I236" s="408">
        <v>547500</v>
      </c>
      <c r="J236" s="714">
        <v>547500</v>
      </c>
      <c r="K236" s="715"/>
      <c r="L236" s="408">
        <v>0</v>
      </c>
      <c r="M236" s="408">
        <v>547500</v>
      </c>
      <c r="N236" s="714">
        <v>547500</v>
      </c>
      <c r="O236" s="716"/>
      <c r="P236" s="408">
        <v>0</v>
      </c>
      <c r="Q236" s="408">
        <v>547500</v>
      </c>
      <c r="R236" s="714">
        <v>547500</v>
      </c>
    </row>
    <row r="237" spans="1:18" s="713" customFormat="1">
      <c r="A237" s="711">
        <v>231</v>
      </c>
      <c r="B237" s="711"/>
      <c r="C237" s="711" t="s">
        <v>2124</v>
      </c>
      <c r="D237" s="712" t="s">
        <v>2447</v>
      </c>
      <c r="E237" s="711"/>
      <c r="H237" s="408">
        <v>0</v>
      </c>
      <c r="I237" s="408">
        <v>87600</v>
      </c>
      <c r="J237" s="714">
        <v>87600</v>
      </c>
      <c r="K237" s="715"/>
      <c r="L237" s="408">
        <v>0</v>
      </c>
      <c r="M237" s="408">
        <v>87600</v>
      </c>
      <c r="N237" s="714">
        <v>87600</v>
      </c>
      <c r="O237" s="716"/>
      <c r="P237" s="408">
        <v>0</v>
      </c>
      <c r="Q237" s="408">
        <v>87600</v>
      </c>
      <c r="R237" s="714">
        <v>87600</v>
      </c>
    </row>
    <row r="238" spans="1:18" s="713" customFormat="1">
      <c r="A238" s="711">
        <v>232</v>
      </c>
      <c r="B238" s="711"/>
      <c r="C238" s="711" t="s">
        <v>2124</v>
      </c>
      <c r="D238" s="712" t="s">
        <v>2448</v>
      </c>
      <c r="E238" s="711"/>
      <c r="H238" s="408">
        <v>0</v>
      </c>
      <c r="I238" s="408">
        <v>73000</v>
      </c>
      <c r="J238" s="714">
        <v>73000</v>
      </c>
      <c r="K238" s="715"/>
      <c r="L238" s="408">
        <v>0</v>
      </c>
      <c r="M238" s="408">
        <v>73000</v>
      </c>
      <c r="N238" s="714">
        <v>73000</v>
      </c>
      <c r="O238" s="716"/>
      <c r="P238" s="408">
        <v>0</v>
      </c>
      <c r="Q238" s="408">
        <v>73000</v>
      </c>
      <c r="R238" s="714">
        <v>73000</v>
      </c>
    </row>
    <row r="239" spans="1:18" s="713" customFormat="1">
      <c r="A239" s="711">
        <v>233</v>
      </c>
      <c r="B239" s="711"/>
      <c r="C239" s="711" t="s">
        <v>2449</v>
      </c>
      <c r="D239" s="712" t="s">
        <v>2450</v>
      </c>
      <c r="E239" s="711"/>
      <c r="H239" s="408">
        <v>0</v>
      </c>
      <c r="I239" s="408">
        <v>19079376</v>
      </c>
      <c r="J239" s="714">
        <v>19079376</v>
      </c>
      <c r="K239" s="715"/>
      <c r="L239" s="408">
        <v>0</v>
      </c>
      <c r="M239" s="408">
        <v>19429376</v>
      </c>
      <c r="N239" s="714">
        <v>19429376</v>
      </c>
      <c r="O239" s="716"/>
      <c r="P239" s="408">
        <v>0</v>
      </c>
      <c r="Q239" s="408">
        <v>19079376</v>
      </c>
      <c r="R239" s="714">
        <v>19079376</v>
      </c>
    </row>
    <row r="240" spans="1:18" s="713" customFormat="1">
      <c r="A240" s="711">
        <v>234</v>
      </c>
      <c r="B240" s="711"/>
      <c r="C240" s="711" t="s">
        <v>2451</v>
      </c>
      <c r="D240" s="712" t="s">
        <v>2452</v>
      </c>
      <c r="E240" s="711"/>
      <c r="H240" s="408">
        <v>0</v>
      </c>
      <c r="I240" s="408">
        <v>1494000</v>
      </c>
      <c r="J240" s="714">
        <v>1494000</v>
      </c>
      <c r="K240" s="715"/>
      <c r="L240" s="408">
        <v>0</v>
      </c>
      <c r="M240" s="408">
        <v>3142000</v>
      </c>
      <c r="N240" s="714">
        <v>3142000</v>
      </c>
      <c r="O240" s="716"/>
      <c r="P240" s="408">
        <v>0</v>
      </c>
      <c r="Q240" s="408">
        <v>4744000</v>
      </c>
      <c r="R240" s="714">
        <v>4744000</v>
      </c>
    </row>
    <row r="241" spans="1:18" s="713" customFormat="1">
      <c r="A241" s="711">
        <v>235</v>
      </c>
      <c r="B241" s="711"/>
      <c r="C241" s="711" t="s">
        <v>2453</v>
      </c>
      <c r="D241" s="712" t="s">
        <v>2454</v>
      </c>
      <c r="E241" s="711"/>
      <c r="H241" s="408">
        <v>0</v>
      </c>
      <c r="I241" s="408">
        <v>0</v>
      </c>
      <c r="J241" s="714">
        <v>0</v>
      </c>
      <c r="K241" s="715"/>
      <c r="L241" s="408">
        <v>0</v>
      </c>
      <c r="M241" s="408">
        <v>4272000</v>
      </c>
      <c r="N241" s="714">
        <v>4272000</v>
      </c>
      <c r="O241" s="716"/>
      <c r="P241" s="408">
        <v>0</v>
      </c>
      <c r="Q241" s="408">
        <v>9701000</v>
      </c>
      <c r="R241" s="714">
        <v>9701000</v>
      </c>
    </row>
    <row r="242" spans="1:18" s="713" customFormat="1">
      <c r="A242" s="711">
        <v>236</v>
      </c>
      <c r="B242" s="711"/>
      <c r="C242" s="711" t="s">
        <v>2455</v>
      </c>
      <c r="D242" s="712" t="s">
        <v>2456</v>
      </c>
      <c r="E242" s="711"/>
      <c r="H242" s="408">
        <v>0</v>
      </c>
      <c r="I242" s="408">
        <v>2000000</v>
      </c>
      <c r="J242" s="714">
        <v>2000000</v>
      </c>
      <c r="K242" s="715"/>
      <c r="L242" s="408">
        <v>0</v>
      </c>
      <c r="M242" s="408">
        <v>750000</v>
      </c>
      <c r="N242" s="714">
        <v>750000</v>
      </c>
      <c r="O242" s="716"/>
      <c r="P242" s="408">
        <v>0</v>
      </c>
      <c r="Q242" s="408">
        <v>750000</v>
      </c>
      <c r="R242" s="714">
        <v>750000</v>
      </c>
    </row>
    <row r="243" spans="1:18" s="713" customFormat="1">
      <c r="A243" s="711">
        <v>237</v>
      </c>
      <c r="B243" s="711"/>
      <c r="C243" s="711" t="s">
        <v>2455</v>
      </c>
      <c r="D243" s="712" t="s">
        <v>2457</v>
      </c>
      <c r="E243" s="711"/>
      <c r="H243" s="408">
        <v>0</v>
      </c>
      <c r="I243" s="408">
        <v>25000</v>
      </c>
      <c r="J243" s="714">
        <v>25000</v>
      </c>
      <c r="K243" s="715"/>
      <c r="L243" s="408">
        <v>0</v>
      </c>
      <c r="M243" s="408">
        <v>25000</v>
      </c>
      <c r="N243" s="714">
        <v>25000</v>
      </c>
      <c r="O243" s="716"/>
      <c r="P243" s="408">
        <v>0</v>
      </c>
      <c r="Q243" s="408">
        <v>25000</v>
      </c>
      <c r="R243" s="714">
        <v>25000</v>
      </c>
    </row>
    <row r="244" spans="1:18" s="713" customFormat="1">
      <c r="A244" s="711">
        <v>238</v>
      </c>
      <c r="B244" s="711"/>
      <c r="C244" s="711" t="s">
        <v>2455</v>
      </c>
      <c r="D244" s="712" t="s">
        <v>2458</v>
      </c>
      <c r="E244" s="711"/>
      <c r="H244" s="408">
        <v>0</v>
      </c>
      <c r="I244" s="408">
        <v>350000</v>
      </c>
      <c r="J244" s="714">
        <v>350000</v>
      </c>
      <c r="K244" s="715"/>
      <c r="L244" s="408">
        <v>0</v>
      </c>
      <c r="M244" s="408">
        <v>250000</v>
      </c>
      <c r="N244" s="714">
        <v>250000</v>
      </c>
      <c r="O244" s="716"/>
      <c r="P244" s="408">
        <v>0</v>
      </c>
      <c r="Q244" s="408">
        <v>150000</v>
      </c>
      <c r="R244" s="714">
        <v>150000</v>
      </c>
    </row>
    <row r="245" spans="1:18" s="713" customFormat="1" ht="30">
      <c r="A245" s="711">
        <v>239</v>
      </c>
      <c r="B245" s="711"/>
      <c r="C245" s="711" t="s">
        <v>2455</v>
      </c>
      <c r="D245" s="712" t="s">
        <v>2459</v>
      </c>
      <c r="E245" s="711"/>
      <c r="H245" s="408">
        <v>0</v>
      </c>
      <c r="I245" s="408">
        <v>15000000</v>
      </c>
      <c r="J245" s="714">
        <v>15000000</v>
      </c>
      <c r="K245" s="715"/>
      <c r="L245" s="408">
        <v>0</v>
      </c>
      <c r="M245" s="408">
        <v>15000000</v>
      </c>
      <c r="N245" s="714">
        <v>15000000</v>
      </c>
      <c r="O245" s="716"/>
      <c r="P245" s="408">
        <v>0</v>
      </c>
      <c r="Q245" s="408">
        <v>15000000</v>
      </c>
      <c r="R245" s="714">
        <v>15000000</v>
      </c>
    </row>
    <row r="246" spans="1:18" s="713" customFormat="1">
      <c r="A246" s="711">
        <v>240</v>
      </c>
      <c r="B246" s="711"/>
      <c r="C246" s="711" t="s">
        <v>2455</v>
      </c>
      <c r="D246" s="712" t="s">
        <v>2460</v>
      </c>
      <c r="E246" s="711"/>
      <c r="H246" s="408">
        <v>0</v>
      </c>
      <c r="I246" s="408">
        <v>1000000</v>
      </c>
      <c r="J246" s="714">
        <v>1000000</v>
      </c>
      <c r="K246" s="715"/>
      <c r="L246" s="408">
        <v>0</v>
      </c>
      <c r="M246" s="408">
        <v>1000000</v>
      </c>
      <c r="N246" s="714">
        <v>1000000</v>
      </c>
      <c r="O246" s="716"/>
      <c r="P246" s="408">
        <v>0</v>
      </c>
      <c r="Q246" s="408">
        <v>1000000</v>
      </c>
      <c r="R246" s="714">
        <v>1000000</v>
      </c>
    </row>
    <row r="247" spans="1:18" s="713" customFormat="1">
      <c r="A247" s="711">
        <v>241</v>
      </c>
      <c r="B247" s="711"/>
      <c r="C247" s="711" t="s">
        <v>2455</v>
      </c>
      <c r="D247" s="712" t="s">
        <v>2461</v>
      </c>
      <c r="E247" s="711"/>
      <c r="H247" s="408">
        <v>0</v>
      </c>
      <c r="I247" s="408">
        <v>2500000</v>
      </c>
      <c r="J247" s="714">
        <v>2500000</v>
      </c>
      <c r="K247" s="715"/>
      <c r="L247" s="408">
        <v>0</v>
      </c>
      <c r="M247" s="408">
        <v>2500000</v>
      </c>
      <c r="N247" s="714">
        <v>2500000</v>
      </c>
      <c r="O247" s="716"/>
      <c r="P247" s="408">
        <v>0</v>
      </c>
      <c r="Q247" s="408">
        <v>2500000</v>
      </c>
      <c r="R247" s="714">
        <v>2500000</v>
      </c>
    </row>
    <row r="248" spans="1:18" s="713" customFormat="1">
      <c r="A248" s="711">
        <v>242</v>
      </c>
      <c r="B248" s="711"/>
      <c r="C248" s="711" t="s">
        <v>2455</v>
      </c>
      <c r="D248" s="712" t="s">
        <v>2462</v>
      </c>
      <c r="E248" s="711"/>
      <c r="H248" s="408">
        <v>0</v>
      </c>
      <c r="I248" s="408">
        <v>500000</v>
      </c>
      <c r="J248" s="714">
        <v>500000</v>
      </c>
      <c r="K248" s="715"/>
      <c r="L248" s="408">
        <v>0</v>
      </c>
      <c r="M248" s="408">
        <v>250000</v>
      </c>
      <c r="N248" s="714">
        <v>250000</v>
      </c>
      <c r="O248" s="716"/>
      <c r="P248" s="408">
        <v>0</v>
      </c>
      <c r="Q248" s="408">
        <v>0</v>
      </c>
      <c r="R248" s="714">
        <v>0</v>
      </c>
    </row>
    <row r="249" spans="1:18" s="713" customFormat="1">
      <c r="A249" s="711">
        <v>243</v>
      </c>
      <c r="B249" s="711"/>
      <c r="C249" s="711" t="s">
        <v>2455</v>
      </c>
      <c r="D249" s="712" t="s">
        <v>2463</v>
      </c>
      <c r="E249" s="711"/>
      <c r="H249" s="408">
        <v>0</v>
      </c>
      <c r="I249" s="408">
        <v>900000</v>
      </c>
      <c r="J249" s="714">
        <v>900000</v>
      </c>
      <c r="K249" s="715"/>
      <c r="L249" s="408">
        <v>0</v>
      </c>
      <c r="M249" s="408">
        <v>990000</v>
      </c>
      <c r="N249" s="714">
        <v>990000</v>
      </c>
      <c r="O249" s="716"/>
      <c r="P249" s="408">
        <v>0</v>
      </c>
      <c r="Q249" s="408">
        <v>1100000</v>
      </c>
      <c r="R249" s="714">
        <v>1100000</v>
      </c>
    </row>
    <row r="250" spans="1:18" s="713" customFormat="1">
      <c r="A250" s="711">
        <v>244</v>
      </c>
      <c r="B250" s="711"/>
      <c r="C250" s="711" t="s">
        <v>2455</v>
      </c>
      <c r="D250" s="712" t="s">
        <v>2464</v>
      </c>
      <c r="E250" s="711"/>
      <c r="H250" s="408">
        <v>0</v>
      </c>
      <c r="I250" s="408">
        <v>2000000</v>
      </c>
      <c r="J250" s="714">
        <v>2000000</v>
      </c>
      <c r="K250" s="715"/>
      <c r="L250" s="408">
        <v>0</v>
      </c>
      <c r="M250" s="408">
        <v>2000000</v>
      </c>
      <c r="N250" s="714">
        <v>2000000</v>
      </c>
      <c r="O250" s="716"/>
      <c r="P250" s="408">
        <v>0</v>
      </c>
      <c r="Q250" s="408">
        <v>2000000</v>
      </c>
      <c r="R250" s="714">
        <v>2000000</v>
      </c>
    </row>
    <row r="251" spans="1:18" s="713" customFormat="1" ht="30">
      <c r="A251" s="711">
        <v>245</v>
      </c>
      <c r="B251" s="711"/>
      <c r="C251" s="711" t="s">
        <v>2455</v>
      </c>
      <c r="D251" s="712" t="s">
        <v>2465</v>
      </c>
      <c r="E251" s="711"/>
      <c r="H251" s="408">
        <v>0</v>
      </c>
      <c r="I251" s="408">
        <v>7500000</v>
      </c>
      <c r="J251" s="714">
        <v>7500000</v>
      </c>
      <c r="K251" s="715"/>
      <c r="L251" s="408">
        <v>0</v>
      </c>
      <c r="M251" s="408">
        <v>2500000</v>
      </c>
      <c r="N251" s="714">
        <v>2500000</v>
      </c>
      <c r="O251" s="716"/>
      <c r="P251" s="408">
        <v>0</v>
      </c>
      <c r="Q251" s="408">
        <v>2500000</v>
      </c>
      <c r="R251" s="714">
        <v>2500000</v>
      </c>
    </row>
    <row r="252" spans="1:18" s="713" customFormat="1">
      <c r="A252" s="711">
        <v>246</v>
      </c>
      <c r="B252" s="711"/>
      <c r="C252" s="711" t="s">
        <v>2455</v>
      </c>
      <c r="D252" s="712" t="s">
        <v>2466</v>
      </c>
      <c r="E252" s="711"/>
      <c r="H252" s="408">
        <v>0</v>
      </c>
      <c r="I252" s="408">
        <v>0</v>
      </c>
      <c r="J252" s="714">
        <v>0</v>
      </c>
      <c r="K252" s="715"/>
      <c r="L252" s="408">
        <v>0</v>
      </c>
      <c r="M252" s="408">
        <v>0</v>
      </c>
      <c r="N252" s="714">
        <v>0</v>
      </c>
      <c r="O252" s="716"/>
      <c r="P252" s="408">
        <v>0</v>
      </c>
      <c r="Q252" s="408">
        <v>0</v>
      </c>
      <c r="R252" s="714">
        <v>0</v>
      </c>
    </row>
    <row r="253" spans="1:18" s="713" customFormat="1">
      <c r="A253" s="711">
        <v>247</v>
      </c>
      <c r="B253" s="711"/>
      <c r="C253" s="711" t="s">
        <v>2455</v>
      </c>
      <c r="D253" s="712" t="s">
        <v>2467</v>
      </c>
      <c r="E253" s="711"/>
      <c r="H253" s="408">
        <v>0</v>
      </c>
      <c r="I253" s="408">
        <v>1000000</v>
      </c>
      <c r="J253" s="714">
        <v>1000000</v>
      </c>
      <c r="K253" s="715"/>
      <c r="L253" s="408">
        <v>0</v>
      </c>
      <c r="M253" s="408">
        <v>0</v>
      </c>
      <c r="N253" s="714">
        <v>0</v>
      </c>
      <c r="O253" s="716"/>
      <c r="P253" s="408">
        <v>0</v>
      </c>
      <c r="Q253" s="408">
        <v>0</v>
      </c>
      <c r="R253" s="714">
        <v>0</v>
      </c>
    </row>
    <row r="254" spans="1:18" s="713" customFormat="1">
      <c r="A254" s="711">
        <v>248</v>
      </c>
      <c r="B254" s="711"/>
      <c r="C254" s="711" t="s">
        <v>2455</v>
      </c>
      <c r="D254" s="712" t="s">
        <v>2468</v>
      </c>
      <c r="E254" s="711"/>
      <c r="H254" s="408">
        <v>0</v>
      </c>
      <c r="I254" s="408">
        <v>500000</v>
      </c>
      <c r="J254" s="714">
        <v>500000</v>
      </c>
      <c r="K254" s="715"/>
      <c r="L254" s="408">
        <v>0</v>
      </c>
      <c r="M254" s="408">
        <v>1000000</v>
      </c>
      <c r="N254" s="714">
        <v>1000000</v>
      </c>
      <c r="O254" s="716"/>
      <c r="P254" s="408">
        <v>0</v>
      </c>
      <c r="Q254" s="408">
        <v>2500000</v>
      </c>
      <c r="R254" s="714">
        <v>2500000</v>
      </c>
    </row>
    <row r="255" spans="1:18" s="713" customFormat="1">
      <c r="A255" s="711">
        <v>249</v>
      </c>
      <c r="B255" s="711"/>
      <c r="C255" s="711" t="s">
        <v>2455</v>
      </c>
      <c r="D255" s="712" t="s">
        <v>2469</v>
      </c>
      <c r="E255" s="711"/>
      <c r="H255" s="408">
        <v>0</v>
      </c>
      <c r="I255" s="408">
        <v>500000</v>
      </c>
      <c r="J255" s="714">
        <v>500000</v>
      </c>
      <c r="K255" s="715"/>
      <c r="L255" s="408">
        <v>0</v>
      </c>
      <c r="M255" s="408">
        <v>1000000</v>
      </c>
      <c r="N255" s="714">
        <v>1000000</v>
      </c>
      <c r="O255" s="716"/>
      <c r="P255" s="408">
        <v>0</v>
      </c>
      <c r="Q255" s="408">
        <v>1500000</v>
      </c>
      <c r="R255" s="714">
        <v>1500000</v>
      </c>
    </row>
    <row r="256" spans="1:18" s="713" customFormat="1">
      <c r="A256" s="711">
        <v>250</v>
      </c>
      <c r="B256" s="711"/>
      <c r="C256" s="711" t="s">
        <v>2455</v>
      </c>
      <c r="D256" s="712" t="s">
        <v>2470</v>
      </c>
      <c r="E256" s="711"/>
      <c r="H256" s="408">
        <v>0</v>
      </c>
      <c r="I256" s="408">
        <v>0</v>
      </c>
      <c r="J256" s="714">
        <v>0</v>
      </c>
      <c r="K256" s="715"/>
      <c r="L256" s="408">
        <v>0</v>
      </c>
      <c r="M256" s="408">
        <v>0</v>
      </c>
      <c r="N256" s="714">
        <v>0</v>
      </c>
      <c r="O256" s="716"/>
      <c r="P256" s="408">
        <v>0</v>
      </c>
      <c r="Q256" s="408">
        <v>2500000</v>
      </c>
      <c r="R256" s="714">
        <v>2500000</v>
      </c>
    </row>
    <row r="257" spans="1:18" s="713" customFormat="1">
      <c r="A257" s="711">
        <v>251</v>
      </c>
      <c r="B257" s="711"/>
      <c r="C257" s="711" t="s">
        <v>2455</v>
      </c>
      <c r="D257" s="712" t="s">
        <v>2471</v>
      </c>
      <c r="E257" s="711"/>
      <c r="H257" s="408">
        <v>0</v>
      </c>
      <c r="I257" s="408">
        <v>0</v>
      </c>
      <c r="J257" s="714">
        <v>0</v>
      </c>
      <c r="K257" s="715"/>
      <c r="L257" s="408">
        <v>0</v>
      </c>
      <c r="M257" s="408">
        <v>1000000</v>
      </c>
      <c r="N257" s="714">
        <v>1000000</v>
      </c>
      <c r="O257" s="716"/>
      <c r="P257" s="408">
        <v>0</v>
      </c>
      <c r="Q257" s="408">
        <v>1500000</v>
      </c>
      <c r="R257" s="714">
        <v>1500000</v>
      </c>
    </row>
    <row r="258" spans="1:18" s="713" customFormat="1">
      <c r="A258" s="711">
        <v>252</v>
      </c>
      <c r="B258" s="711"/>
      <c r="C258" s="711" t="s">
        <v>2455</v>
      </c>
      <c r="D258" s="712" t="s">
        <v>2472</v>
      </c>
      <c r="E258" s="711"/>
      <c r="H258" s="408">
        <v>0</v>
      </c>
      <c r="I258" s="408">
        <v>0</v>
      </c>
      <c r="J258" s="714">
        <v>0</v>
      </c>
      <c r="K258" s="715"/>
      <c r="L258" s="408">
        <v>0</v>
      </c>
      <c r="M258" s="408">
        <v>1000000</v>
      </c>
      <c r="N258" s="714">
        <v>1000000</v>
      </c>
      <c r="O258" s="716"/>
      <c r="P258" s="408">
        <v>0</v>
      </c>
      <c r="Q258" s="408">
        <v>1000000</v>
      </c>
      <c r="R258" s="714">
        <v>1000000</v>
      </c>
    </row>
    <row r="259" spans="1:18" s="713" customFormat="1">
      <c r="A259" s="711">
        <v>253</v>
      </c>
      <c r="B259" s="711"/>
      <c r="C259" s="711" t="s">
        <v>2455</v>
      </c>
      <c r="D259" s="712" t="s">
        <v>2473</v>
      </c>
      <c r="E259" s="711"/>
      <c r="H259" s="408">
        <v>0</v>
      </c>
      <c r="I259" s="408">
        <v>2500000</v>
      </c>
      <c r="J259" s="714">
        <v>2500000</v>
      </c>
      <c r="K259" s="715"/>
      <c r="L259" s="408">
        <v>0</v>
      </c>
      <c r="M259" s="408">
        <v>3000000</v>
      </c>
      <c r="N259" s="714">
        <v>3000000</v>
      </c>
      <c r="O259" s="716"/>
      <c r="P259" s="408">
        <v>0</v>
      </c>
      <c r="Q259" s="408">
        <v>5000000</v>
      </c>
      <c r="R259" s="714">
        <v>5000000</v>
      </c>
    </row>
    <row r="260" spans="1:18" s="713" customFormat="1">
      <c r="A260" s="711">
        <v>254</v>
      </c>
      <c r="B260" s="711"/>
      <c r="C260" s="711" t="s">
        <v>2455</v>
      </c>
      <c r="D260" s="712" t="s">
        <v>2474</v>
      </c>
      <c r="E260" s="711"/>
      <c r="H260" s="408">
        <v>0</v>
      </c>
      <c r="I260" s="408">
        <v>1500000</v>
      </c>
      <c r="J260" s="714">
        <v>1500000</v>
      </c>
      <c r="K260" s="715"/>
      <c r="L260" s="408">
        <v>0</v>
      </c>
      <c r="M260" s="408">
        <v>1000000</v>
      </c>
      <c r="N260" s="714">
        <v>1000000</v>
      </c>
      <c r="O260" s="716"/>
      <c r="P260" s="408">
        <v>0</v>
      </c>
      <c r="Q260" s="408">
        <v>750000</v>
      </c>
      <c r="R260" s="714">
        <v>750000</v>
      </c>
    </row>
    <row r="261" spans="1:18" s="713" customFormat="1">
      <c r="A261" s="711">
        <v>255</v>
      </c>
      <c r="B261" s="711"/>
      <c r="C261" s="711" t="s">
        <v>2455</v>
      </c>
      <c r="D261" s="712" t="s">
        <v>2475</v>
      </c>
      <c r="E261" s="711"/>
      <c r="H261" s="408">
        <v>0</v>
      </c>
      <c r="I261" s="408">
        <v>0</v>
      </c>
      <c r="J261" s="714">
        <v>0</v>
      </c>
      <c r="K261" s="715"/>
      <c r="L261" s="408">
        <v>0</v>
      </c>
      <c r="M261" s="408">
        <v>0</v>
      </c>
      <c r="N261" s="714">
        <v>0</v>
      </c>
      <c r="O261" s="716"/>
      <c r="P261" s="408">
        <v>0</v>
      </c>
      <c r="Q261" s="408">
        <v>0</v>
      </c>
      <c r="R261" s="714">
        <v>0</v>
      </c>
    </row>
    <row r="262" spans="1:18" s="713" customFormat="1">
      <c r="A262" s="711">
        <v>256</v>
      </c>
      <c r="B262" s="711"/>
      <c r="C262" s="711" t="s">
        <v>2455</v>
      </c>
      <c r="D262" s="712" t="s">
        <v>2476</v>
      </c>
      <c r="E262" s="711"/>
      <c r="H262" s="408">
        <v>0</v>
      </c>
      <c r="I262" s="408">
        <v>250000</v>
      </c>
      <c r="J262" s="714">
        <v>250000</v>
      </c>
      <c r="K262" s="715"/>
      <c r="L262" s="408">
        <v>0</v>
      </c>
      <c r="M262" s="408">
        <v>0</v>
      </c>
      <c r="N262" s="714">
        <v>0</v>
      </c>
      <c r="O262" s="716"/>
      <c r="P262" s="408">
        <v>0</v>
      </c>
      <c r="Q262" s="408">
        <v>0</v>
      </c>
      <c r="R262" s="714">
        <v>0</v>
      </c>
    </row>
    <row r="263" spans="1:18" s="713" customFormat="1">
      <c r="A263" s="711">
        <v>257</v>
      </c>
      <c r="B263" s="711"/>
      <c r="C263" s="711" t="s">
        <v>2455</v>
      </c>
      <c r="D263" s="712" t="s">
        <v>2477</v>
      </c>
      <c r="E263" s="711"/>
      <c r="H263" s="408">
        <v>0</v>
      </c>
      <c r="I263" s="408">
        <v>0</v>
      </c>
      <c r="J263" s="714">
        <v>0</v>
      </c>
      <c r="K263" s="715"/>
      <c r="L263" s="408">
        <v>0</v>
      </c>
      <c r="M263" s="408">
        <v>0</v>
      </c>
      <c r="N263" s="714">
        <v>0</v>
      </c>
      <c r="O263" s="716"/>
      <c r="P263" s="408">
        <v>0</v>
      </c>
      <c r="Q263" s="408">
        <v>0</v>
      </c>
      <c r="R263" s="714">
        <v>0</v>
      </c>
    </row>
    <row r="264" spans="1:18" s="713" customFormat="1">
      <c r="A264" s="711">
        <v>258</v>
      </c>
      <c r="B264" s="711"/>
      <c r="C264" s="711" t="s">
        <v>2455</v>
      </c>
      <c r="D264" s="712" t="s">
        <v>2478</v>
      </c>
      <c r="E264" s="711"/>
      <c r="H264" s="408">
        <v>0</v>
      </c>
      <c r="I264" s="408">
        <v>0</v>
      </c>
      <c r="J264" s="714">
        <v>0</v>
      </c>
      <c r="K264" s="715"/>
      <c r="L264" s="408">
        <v>0</v>
      </c>
      <c r="M264" s="408">
        <v>0</v>
      </c>
      <c r="N264" s="714">
        <v>0</v>
      </c>
      <c r="O264" s="716"/>
      <c r="P264" s="408">
        <v>0</v>
      </c>
      <c r="Q264" s="408">
        <v>0</v>
      </c>
      <c r="R264" s="714">
        <v>0</v>
      </c>
    </row>
    <row r="265" spans="1:18" s="713" customFormat="1">
      <c r="A265" s="711">
        <v>259</v>
      </c>
      <c r="B265" s="711"/>
      <c r="C265" s="711" t="s">
        <v>2455</v>
      </c>
      <c r="D265" s="712" t="s">
        <v>2479</v>
      </c>
      <c r="E265" s="711"/>
      <c r="H265" s="408">
        <v>0</v>
      </c>
      <c r="I265" s="408">
        <v>0</v>
      </c>
      <c r="J265" s="714">
        <v>0</v>
      </c>
      <c r="K265" s="715"/>
      <c r="L265" s="408">
        <v>0</v>
      </c>
      <c r="M265" s="408">
        <v>0</v>
      </c>
      <c r="N265" s="714">
        <v>0</v>
      </c>
      <c r="O265" s="716"/>
      <c r="P265" s="408">
        <v>0</v>
      </c>
      <c r="Q265" s="408">
        <v>0</v>
      </c>
      <c r="R265" s="714">
        <v>0</v>
      </c>
    </row>
    <row r="266" spans="1:18" s="713" customFormat="1">
      <c r="A266" s="711">
        <v>260</v>
      </c>
      <c r="B266" s="711"/>
      <c r="C266" s="711" t="s">
        <v>2455</v>
      </c>
      <c r="D266" s="712" t="s">
        <v>2480</v>
      </c>
      <c r="E266" s="711"/>
      <c r="H266" s="408">
        <v>0</v>
      </c>
      <c r="I266" s="408">
        <v>0</v>
      </c>
      <c r="J266" s="714">
        <v>0</v>
      </c>
      <c r="K266" s="715"/>
      <c r="L266" s="408">
        <v>0</v>
      </c>
      <c r="M266" s="408">
        <v>1000000</v>
      </c>
      <c r="N266" s="714">
        <v>1000000</v>
      </c>
      <c r="O266" s="716"/>
      <c r="P266" s="408">
        <v>0</v>
      </c>
      <c r="Q266" s="408">
        <v>750000</v>
      </c>
      <c r="R266" s="714">
        <v>750000</v>
      </c>
    </row>
    <row r="267" spans="1:18" s="713" customFormat="1">
      <c r="A267" s="711">
        <v>261</v>
      </c>
      <c r="B267" s="711"/>
      <c r="C267" s="711" t="s">
        <v>2455</v>
      </c>
      <c r="D267" s="712" t="s">
        <v>2481</v>
      </c>
      <c r="E267" s="711"/>
      <c r="H267" s="408">
        <v>0</v>
      </c>
      <c r="I267" s="408">
        <v>750000</v>
      </c>
      <c r="J267" s="714">
        <v>750000</v>
      </c>
      <c r="K267" s="715"/>
      <c r="L267" s="408">
        <v>0</v>
      </c>
      <c r="M267" s="408">
        <v>1500000</v>
      </c>
      <c r="N267" s="714">
        <v>1500000</v>
      </c>
      <c r="O267" s="716"/>
      <c r="P267" s="408">
        <v>0</v>
      </c>
      <c r="Q267" s="408">
        <v>0</v>
      </c>
      <c r="R267" s="714">
        <v>0</v>
      </c>
    </row>
    <row r="268" spans="1:18" s="713" customFormat="1">
      <c r="A268" s="711">
        <v>262</v>
      </c>
      <c r="B268" s="711"/>
      <c r="C268" s="711" t="s">
        <v>2455</v>
      </c>
      <c r="D268" s="712" t="s">
        <v>2482</v>
      </c>
      <c r="E268" s="711"/>
      <c r="H268" s="408">
        <v>0</v>
      </c>
      <c r="I268" s="408">
        <v>0</v>
      </c>
      <c r="J268" s="714">
        <v>0</v>
      </c>
      <c r="K268" s="715"/>
      <c r="L268" s="408">
        <v>0</v>
      </c>
      <c r="M268" s="408">
        <v>0</v>
      </c>
      <c r="N268" s="714">
        <v>0</v>
      </c>
      <c r="O268" s="716"/>
      <c r="P268" s="408">
        <v>0</v>
      </c>
      <c r="Q268" s="408">
        <v>1500000</v>
      </c>
      <c r="R268" s="714">
        <v>1500000</v>
      </c>
    </row>
    <row r="269" spans="1:18" s="713" customFormat="1">
      <c r="A269" s="711">
        <v>263</v>
      </c>
      <c r="B269" s="711"/>
      <c r="C269" s="711" t="s">
        <v>2455</v>
      </c>
      <c r="D269" s="712" t="s">
        <v>2483</v>
      </c>
      <c r="E269" s="711"/>
      <c r="H269" s="408">
        <v>0</v>
      </c>
      <c r="I269" s="408">
        <v>0</v>
      </c>
      <c r="J269" s="714">
        <v>0</v>
      </c>
      <c r="K269" s="715"/>
      <c r="L269" s="408">
        <v>0</v>
      </c>
      <c r="M269" s="408">
        <v>0</v>
      </c>
      <c r="N269" s="714">
        <v>0</v>
      </c>
      <c r="O269" s="716"/>
      <c r="P269" s="408">
        <v>0</v>
      </c>
      <c r="Q269" s="408">
        <v>0</v>
      </c>
      <c r="R269" s="714">
        <v>0</v>
      </c>
    </row>
    <row r="270" spans="1:18">
      <c r="A270" s="2"/>
      <c r="B270" s="2"/>
      <c r="D270"/>
    </row>
    <row r="271" spans="1:18">
      <c r="A271" s="2" t="e">
        <f>#REF!+1</f>
        <v>#REF!</v>
      </c>
      <c r="B271" s="2"/>
      <c r="C271" s="705" t="s">
        <v>2484</v>
      </c>
      <c r="D271" s="63"/>
      <c r="E271" s="63"/>
      <c r="F271" s="706"/>
      <c r="G271" s="706"/>
      <c r="H271" s="706">
        <f>SUM(H272:H281)</f>
        <v>0</v>
      </c>
      <c r="I271" s="706">
        <f>SUM(I272:I281)</f>
        <v>0</v>
      </c>
      <c r="J271" s="706" t="e">
        <f>SUM(J272:J281)</f>
        <v>#REF!</v>
      </c>
      <c r="K271" s="706"/>
      <c r="L271" s="706">
        <f>SUM(L272:L281)</f>
        <v>0</v>
      </c>
      <c r="M271" s="706">
        <f>SUM(M272:M281)</f>
        <v>0</v>
      </c>
      <c r="N271" s="706">
        <f>SUM(N272:N281)</f>
        <v>0</v>
      </c>
      <c r="O271" s="706"/>
      <c r="P271" s="706">
        <f>SUM(P272:P281)</f>
        <v>0</v>
      </c>
      <c r="Q271" s="706">
        <f>SUM(Q272:Q281)</f>
        <v>0</v>
      </c>
      <c r="R271" s="706">
        <f>SUM(R272:R281)</f>
        <v>0</v>
      </c>
    </row>
    <row r="272" spans="1:18">
      <c r="A272" s="2" t="e">
        <f t="shared" ref="A272:A281" si="0">A271+1</f>
        <v>#REF!</v>
      </c>
      <c r="B272" s="2"/>
      <c r="D272" t="s">
        <v>2485</v>
      </c>
      <c r="H272" s="408"/>
      <c r="I272" s="408"/>
      <c r="J272" s="707" t="e">
        <f>H272+I272+#REF!</f>
        <v>#REF!</v>
      </c>
      <c r="K272" s="410"/>
      <c r="L272" s="408"/>
      <c r="M272" s="408"/>
      <c r="N272" s="707"/>
      <c r="P272" s="408"/>
      <c r="Q272" s="408"/>
      <c r="R272" s="707"/>
    </row>
    <row r="273" spans="1:18">
      <c r="A273" s="2" t="e">
        <f t="shared" si="0"/>
        <v>#REF!</v>
      </c>
      <c r="B273" s="2"/>
      <c r="D273" t="s">
        <v>2486</v>
      </c>
      <c r="H273" s="408"/>
      <c r="I273" s="408"/>
      <c r="J273" s="707" t="e">
        <f>H273+I273+#REF!</f>
        <v>#REF!</v>
      </c>
      <c r="K273" s="410"/>
      <c r="L273" s="408"/>
      <c r="M273" s="408"/>
      <c r="N273" s="707"/>
      <c r="P273" s="408"/>
      <c r="Q273" s="408"/>
      <c r="R273" s="707"/>
    </row>
    <row r="274" spans="1:18">
      <c r="A274" s="2" t="e">
        <f t="shared" si="0"/>
        <v>#REF!</v>
      </c>
      <c r="B274" s="2"/>
      <c r="D274" t="s">
        <v>2487</v>
      </c>
      <c r="H274" s="408"/>
      <c r="I274" s="408"/>
      <c r="J274" s="707" t="e">
        <f>H274+I274+#REF!</f>
        <v>#REF!</v>
      </c>
      <c r="K274" s="410"/>
      <c r="L274" s="408"/>
      <c r="M274" s="408"/>
      <c r="N274" s="707"/>
      <c r="P274" s="408"/>
      <c r="Q274" s="408"/>
      <c r="R274" s="707"/>
    </row>
    <row r="275" spans="1:18">
      <c r="A275" s="2" t="e">
        <f t="shared" si="0"/>
        <v>#REF!</v>
      </c>
      <c r="B275" s="2"/>
      <c r="D275" t="s">
        <v>2488</v>
      </c>
      <c r="H275" s="408"/>
      <c r="I275" s="408"/>
      <c r="J275" s="707" t="e">
        <f>H275+I275+#REF!</f>
        <v>#REF!</v>
      </c>
      <c r="K275" s="410"/>
      <c r="L275" s="408"/>
      <c r="M275" s="408"/>
      <c r="N275" s="707"/>
      <c r="P275" s="408"/>
      <c r="Q275" s="408"/>
      <c r="R275" s="707"/>
    </row>
    <row r="276" spans="1:18">
      <c r="A276" s="2" t="e">
        <f t="shared" si="0"/>
        <v>#REF!</v>
      </c>
      <c r="B276" s="2"/>
      <c r="D276" t="s">
        <v>2489</v>
      </c>
      <c r="H276" s="408"/>
      <c r="I276" s="408"/>
      <c r="J276" s="707" t="e">
        <f>H276+I276+#REF!</f>
        <v>#REF!</v>
      </c>
      <c r="K276" s="410"/>
      <c r="L276" s="408"/>
      <c r="M276" s="408"/>
      <c r="N276" s="707"/>
      <c r="P276" s="408"/>
      <c r="Q276" s="408"/>
      <c r="R276" s="707"/>
    </row>
    <row r="277" spans="1:18">
      <c r="A277" s="2" t="e">
        <f t="shared" si="0"/>
        <v>#REF!</v>
      </c>
      <c r="B277" s="2"/>
      <c r="D277" t="s">
        <v>2490</v>
      </c>
      <c r="H277" s="408"/>
      <c r="I277" s="408"/>
      <c r="J277" s="707" t="e">
        <f>H277+I277+#REF!</f>
        <v>#REF!</v>
      </c>
      <c r="K277" s="410"/>
      <c r="L277" s="408"/>
      <c r="M277" s="408"/>
      <c r="N277" s="707"/>
      <c r="P277" s="408"/>
      <c r="Q277" s="408"/>
      <c r="R277" s="707"/>
    </row>
    <row r="278" spans="1:18">
      <c r="A278" s="2" t="e">
        <f t="shared" si="0"/>
        <v>#REF!</v>
      </c>
      <c r="B278" s="2"/>
      <c r="D278" t="s">
        <v>2491</v>
      </c>
      <c r="H278" s="408"/>
      <c r="I278" s="408"/>
      <c r="J278" s="707" t="e">
        <f>H278+I278+#REF!</f>
        <v>#REF!</v>
      </c>
      <c r="K278" s="410"/>
      <c r="L278" s="408"/>
      <c r="M278" s="408"/>
      <c r="N278" s="707"/>
      <c r="P278" s="408"/>
      <c r="Q278" s="408"/>
      <c r="R278" s="707"/>
    </row>
    <row r="279" spans="1:18">
      <c r="A279" s="2" t="e">
        <f t="shared" si="0"/>
        <v>#REF!</v>
      </c>
      <c r="B279" s="2"/>
      <c r="D279" t="s">
        <v>2492</v>
      </c>
      <c r="H279" s="408"/>
      <c r="I279" s="408"/>
      <c r="J279" s="707" t="e">
        <f>H279+I279+#REF!</f>
        <v>#REF!</v>
      </c>
      <c r="K279" s="410"/>
      <c r="L279" s="408"/>
      <c r="M279" s="408"/>
      <c r="N279" s="707"/>
      <c r="P279" s="408"/>
      <c r="Q279" s="408"/>
      <c r="R279" s="707"/>
    </row>
    <row r="280" spans="1:18">
      <c r="A280" s="2" t="e">
        <f t="shared" si="0"/>
        <v>#REF!</v>
      </c>
      <c r="B280" s="2"/>
      <c r="D280" t="s">
        <v>2493</v>
      </c>
      <c r="H280" s="408"/>
      <c r="I280" s="408"/>
      <c r="J280" s="707" t="e">
        <f>H280+I280+#REF!</f>
        <v>#REF!</v>
      </c>
      <c r="K280" s="410"/>
      <c r="L280" s="408"/>
      <c r="M280" s="408"/>
      <c r="N280" s="707"/>
      <c r="P280" s="408"/>
      <c r="Q280" s="408"/>
      <c r="R280" s="707"/>
    </row>
    <row r="281" spans="1:18">
      <c r="A281" s="2" t="e">
        <f t="shared" si="0"/>
        <v>#REF!</v>
      </c>
      <c r="B281" s="2"/>
      <c r="D281" t="s">
        <v>2494</v>
      </c>
      <c r="H281" s="408"/>
      <c r="I281" s="408"/>
      <c r="J281" s="707" t="e">
        <f>H281+I281+#REF!</f>
        <v>#REF!</v>
      </c>
      <c r="K281" s="410"/>
      <c r="L281" s="408"/>
      <c r="M281" s="408"/>
      <c r="N281" s="707"/>
      <c r="P281" s="408"/>
      <c r="Q281" s="408"/>
      <c r="R281" s="707"/>
    </row>
    <row r="282" spans="1:18">
      <c r="D282"/>
      <c r="N282" s="709"/>
    </row>
    <row r="283" spans="1:18">
      <c r="A283" s="2" t="e">
        <f>A281+1</f>
        <v>#REF!</v>
      </c>
      <c r="B283" s="2"/>
      <c r="C283" s="710" t="s">
        <v>656</v>
      </c>
      <c r="D283" s="63"/>
      <c r="E283" s="63"/>
      <c r="F283" s="706"/>
      <c r="G283" s="706" t="e">
        <f>SUM(G6,#REF!,#REF!,#REF!,#REF!,#REF!,#REF!)</f>
        <v>#REF!</v>
      </c>
      <c r="H283" s="706" t="e">
        <f>SUM(H6,#REF!,#REF!,#REF!,#REF!,#REF!,#REF!)</f>
        <v>#REF!</v>
      </c>
      <c r="I283" s="706" t="e">
        <f>SUM(I6,#REF!,#REF!,#REF!,#REF!,#REF!,#REF!)</f>
        <v>#REF!</v>
      </c>
      <c r="J283" s="706" t="e">
        <f>SUM(J6,#REF!,#REF!,#REF!,#REF!,#REF!,#REF!)</f>
        <v>#REF!</v>
      </c>
      <c r="K283" s="706" t="e">
        <f>SUM(K6,#REF!,#REF!,#REF!,#REF!,#REF!,#REF!)</f>
        <v>#REF!</v>
      </c>
      <c r="L283" s="706" t="e">
        <f>SUM(L6,#REF!,#REF!,#REF!,#REF!,#REF!,#REF!)</f>
        <v>#REF!</v>
      </c>
      <c r="M283" s="706" t="e">
        <f>SUM(M6,#REF!,#REF!,#REF!,#REF!,#REF!,#REF!)</f>
        <v>#REF!</v>
      </c>
      <c r="N283" s="706" t="e">
        <f>SUM(N6,#REF!,#REF!,#REF!,#REF!,#REF!,#REF!)</f>
        <v>#REF!</v>
      </c>
      <c r="O283" s="706" t="e">
        <f>SUM(O6,#REF!,#REF!,#REF!,#REF!,#REF!,#REF!)</f>
        <v>#REF!</v>
      </c>
      <c r="P283" s="706" t="e">
        <f>SUM(P6,#REF!,#REF!,#REF!,#REF!,#REF!,#REF!)</f>
        <v>#REF!</v>
      </c>
      <c r="Q283" s="706" t="e">
        <f>SUM(Q6,#REF!,#REF!,#REF!,#REF!,#REF!,#REF!)</f>
        <v>#REF!</v>
      </c>
      <c r="R283" s="706" t="e">
        <f>SUM(R6,#REF!,#REF!,#REF!,#REF!,#REF!,#REF!)</f>
        <v>#REF!</v>
      </c>
    </row>
  </sheetData>
  <mergeCells count="3">
    <mergeCell ref="H2:J2"/>
    <mergeCell ref="L2:N2"/>
    <mergeCell ref="P2:R2"/>
  </mergeCells>
  <pageMargins left="0.7" right="0.7" top="0.75" bottom="0.75" header="0.3" footer="0.3"/>
  <pageSetup scale="49" orientation="portrait" horizontalDpi="1200" verticalDpi="1200" r:id="rId1"/>
  <headerFooter>
    <oddHeader>&amp;LPuerto Rico Electric Power Authority 
Rate Review (NEPR-AP-2023-0003)
Projected Construction and Decommissioning Capital Expenditures for Generation Assets
&amp;RSchedule D-2 Constrained
Page &amp;P of &amp;N</oddHeader>
  </headerFooter>
  <rowBreaks count="3" manualBreakCount="3">
    <brk id="65" max="16383" man="1"/>
    <brk id="133" max="16383" man="1"/>
    <brk id="199" max="16383" man="1"/>
  </rowBreaks>
  <colBreaks count="1" manualBreakCount="1">
    <brk id="14" max="268"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E4D5E-CFF8-4976-82B4-EC2DABD657AB}">
  <sheetPr>
    <tabColor theme="9" tint="0.79998168889431442"/>
  </sheetPr>
  <dimension ref="A1:R12"/>
  <sheetViews>
    <sheetView workbookViewId="0"/>
    <sheetView workbookViewId="1"/>
    <sheetView workbookViewId="2"/>
  </sheetViews>
  <sheetFormatPr defaultColWidth="8.5703125" defaultRowHeight="15"/>
  <cols>
    <col min="1" max="2" width="5.5703125" customWidth="1"/>
    <col min="3" max="3" width="26" bestFit="1" customWidth="1"/>
    <col min="4" max="4" width="62.5703125" style="61" bestFit="1" customWidth="1"/>
    <col min="5" max="5" width="8.85546875" style="2" bestFit="1" customWidth="1"/>
    <col min="6" max="7" width="5.5703125" customWidth="1"/>
    <col min="8" max="10" width="20.5703125" customWidth="1"/>
    <col min="11" max="11" width="5.5703125" customWidth="1"/>
    <col min="12" max="14" width="20.5703125" customWidth="1"/>
    <col min="15" max="15" width="5.5703125" customWidth="1"/>
    <col min="16" max="18" width="20.5703125" customWidth="1"/>
  </cols>
  <sheetData>
    <row r="1" spans="1:18">
      <c r="D1"/>
      <c r="H1" s="1206" t="s">
        <v>393</v>
      </c>
      <c r="I1" s="1206"/>
      <c r="J1" s="1206"/>
      <c r="L1" s="1206" t="s">
        <v>394</v>
      </c>
      <c r="M1" s="1206"/>
      <c r="N1" s="1206"/>
      <c r="P1" s="1206" t="s">
        <v>395</v>
      </c>
      <c r="Q1" s="1206"/>
      <c r="R1" s="1206"/>
    </row>
    <row r="2" spans="1:18" s="2" customFormat="1" ht="60">
      <c r="A2" s="58" t="s">
        <v>242</v>
      </c>
      <c r="C2" s="58" t="s">
        <v>2495</v>
      </c>
      <c r="D2" s="58" t="s">
        <v>2496</v>
      </c>
      <c r="E2" s="58" t="s">
        <v>2082</v>
      </c>
      <c r="H2" s="58" t="s">
        <v>2083</v>
      </c>
      <c r="I2" s="58" t="s">
        <v>2084</v>
      </c>
      <c r="J2" s="58" t="s">
        <v>656</v>
      </c>
      <c r="L2" s="58" t="s">
        <v>2085</v>
      </c>
      <c r="M2" s="58" t="s">
        <v>2086</v>
      </c>
      <c r="N2" s="58" t="s">
        <v>656</v>
      </c>
      <c r="P2" s="58" t="s">
        <v>2087</v>
      </c>
      <c r="Q2" s="58" t="s">
        <v>2088</v>
      </c>
      <c r="R2" s="58" t="s">
        <v>656</v>
      </c>
    </row>
    <row r="3" spans="1:18">
      <c r="A3" s="59"/>
      <c r="B3" s="2"/>
      <c r="C3" s="59"/>
      <c r="D3" s="59"/>
      <c r="E3" s="59"/>
      <c r="H3" s="59" t="s">
        <v>2089</v>
      </c>
      <c r="I3" s="59" t="s">
        <v>550</v>
      </c>
      <c r="J3" s="59" t="s">
        <v>552</v>
      </c>
      <c r="L3" s="59" t="s">
        <v>554</v>
      </c>
      <c r="M3" s="59" t="s">
        <v>555</v>
      </c>
      <c r="N3" s="59" t="s">
        <v>2090</v>
      </c>
      <c r="P3" s="59" t="s">
        <v>2091</v>
      </c>
      <c r="Q3" s="59" t="s">
        <v>559</v>
      </c>
      <c r="R3" s="59" t="s">
        <v>561</v>
      </c>
    </row>
    <row r="4" spans="1:18">
      <c r="A4" s="59"/>
      <c r="B4" s="2"/>
      <c r="C4" s="59"/>
      <c r="D4" s="59"/>
      <c r="E4" s="59"/>
      <c r="H4" s="59"/>
      <c r="I4" s="59"/>
      <c r="J4" s="59"/>
      <c r="L4" s="59"/>
      <c r="M4" s="59"/>
      <c r="N4" s="59"/>
      <c r="P4" s="59"/>
      <c r="Q4" s="59"/>
      <c r="R4" s="59"/>
    </row>
    <row r="5" spans="1:18">
      <c r="A5" s="2">
        <v>1</v>
      </c>
      <c r="B5" s="2"/>
      <c r="C5" s="705" t="s">
        <v>2497</v>
      </c>
      <c r="D5" s="63"/>
      <c r="E5" s="63"/>
      <c r="F5" s="706"/>
      <c r="G5" s="706"/>
      <c r="H5" s="706">
        <f>SUM(H6:H9)</f>
        <v>62488337.186044671</v>
      </c>
      <c r="I5" s="706">
        <f>SUM(I6:I9)</f>
        <v>61174492.165837482</v>
      </c>
      <c r="J5" s="706">
        <f>SUM(J6:J9)</f>
        <v>123662829.35188216</v>
      </c>
      <c r="K5" s="706"/>
      <c r="L5" s="706">
        <f>SUM(L6:L9)</f>
        <v>227072620.24570087</v>
      </c>
      <c r="M5" s="706">
        <f>SUM(M6:M9)</f>
        <v>76311981.474716842</v>
      </c>
      <c r="N5" s="706">
        <f>SUM(N6:N9)</f>
        <v>303384601.72041774</v>
      </c>
      <c r="O5" s="706"/>
      <c r="P5" s="706">
        <f>SUM(P6:P9)</f>
        <v>417698016.71553349</v>
      </c>
      <c r="Q5" s="706">
        <f>SUM(Q6:Q9)</f>
        <v>108441881.16325629</v>
      </c>
      <c r="R5" s="706">
        <f>SUM(R6:R9)</f>
        <v>526139897.87878978</v>
      </c>
    </row>
    <row r="6" spans="1:18">
      <c r="A6" s="2">
        <v>2</v>
      </c>
      <c r="B6" s="2"/>
      <c r="C6" t="s">
        <v>2485</v>
      </c>
      <c r="D6" t="str">
        <f>_xlfn.XLOOKUP(E6,'D-1-Constrained'!E:E,'D-1-Constrained'!D:D)</f>
        <v>OT Telecom Systems &amp; Network</v>
      </c>
      <c r="E6" s="2" t="s">
        <v>2133</v>
      </c>
      <c r="H6" s="707">
        <f>'D-1-Constrained'!H39</f>
        <v>23571702.007486869</v>
      </c>
      <c r="I6" s="707">
        <f>'D-1-Constrained'!I39</f>
        <v>3530055.7213930357</v>
      </c>
      <c r="J6" s="707">
        <f>'D-1-Constrained'!J39</f>
        <v>27101757.728879906</v>
      </c>
      <c r="K6" s="410"/>
      <c r="L6" s="707">
        <f>'D-1-Constrained'!L39</f>
        <v>52137248.196411371</v>
      </c>
      <c r="M6" s="707">
        <f>'D-1-Constrained'!M39</f>
        <v>3500000.0000000005</v>
      </c>
      <c r="N6" s="707">
        <f>'D-1-Constrained'!N39</f>
        <v>55637248.196411371</v>
      </c>
      <c r="P6" s="707">
        <f>'D-1-Constrained'!P39</f>
        <v>98762189.941276267</v>
      </c>
      <c r="Q6" s="707">
        <f>'D-1-Constrained'!Q39</f>
        <v>3500000.0000000005</v>
      </c>
      <c r="R6" s="707">
        <f>'D-1-Constrained'!R39</f>
        <v>102262189.94127627</v>
      </c>
    </row>
    <row r="7" spans="1:18">
      <c r="A7" s="2">
        <v>3</v>
      </c>
      <c r="B7" s="2"/>
      <c r="C7" s="708" t="s">
        <v>2486</v>
      </c>
      <c r="D7" t="str">
        <f>_xlfn.XLOOKUP(E7,'D-1-Constrained'!E:E,'D-1-Constrained'!D:D)</f>
        <v>Transmission Line Rebuild</v>
      </c>
      <c r="E7" s="2" t="s">
        <v>2135</v>
      </c>
      <c r="H7" s="707">
        <f>'D-1-Constrained'!H40</f>
        <v>19798775.178557802</v>
      </c>
      <c r="I7" s="707">
        <f>'D-1-Constrained'!I40</f>
        <v>35144436.444444448</v>
      </c>
      <c r="J7" s="707">
        <f>'D-1-Constrained'!J40</f>
        <v>54943211.623002246</v>
      </c>
      <c r="K7" s="410"/>
      <c r="L7" s="707">
        <f>'D-1-Constrained'!L40</f>
        <v>139415372.04928949</v>
      </c>
      <c r="M7" s="707">
        <f>'D-1-Constrained'!M40</f>
        <v>23758888.888888888</v>
      </c>
      <c r="N7" s="707">
        <f>'D-1-Constrained'!N40</f>
        <v>163174260.93817839</v>
      </c>
      <c r="P7" s="707">
        <f>'D-1-Constrained'!P40</f>
        <v>280292086.77425724</v>
      </c>
      <c r="Q7" s="707">
        <f>'D-1-Constrained'!Q40</f>
        <v>30700000</v>
      </c>
      <c r="R7" s="707">
        <f>'D-1-Constrained'!R40</f>
        <v>310992086.77425724</v>
      </c>
    </row>
    <row r="8" spans="1:18">
      <c r="A8" s="2">
        <v>4</v>
      </c>
      <c r="B8" s="2"/>
      <c r="C8" t="s">
        <v>2487</v>
      </c>
      <c r="D8" t="str">
        <f>_xlfn.XLOOKUP(E8,'D-1-Constrained'!E:E,'D-1-Constrained'!D:D)</f>
        <v>Transmission Priority Pole Replacements</v>
      </c>
      <c r="E8" s="2" t="s">
        <v>2137</v>
      </c>
      <c r="H8" s="707">
        <f>'D-1-Constrained'!H41</f>
        <v>19117860</v>
      </c>
      <c r="I8" s="707">
        <f>'D-1-Constrained'!I41</f>
        <v>22500000</v>
      </c>
      <c r="J8" s="707">
        <f>'D-1-Constrained'!J41</f>
        <v>41617860</v>
      </c>
      <c r="K8" s="410"/>
      <c r="L8" s="707">
        <f>'D-1-Constrained'!L41</f>
        <v>35520000</v>
      </c>
      <c r="M8" s="707">
        <f>'D-1-Constrained'!M41</f>
        <v>49053092.585827962</v>
      </c>
      <c r="N8" s="707">
        <f>'D-1-Constrained'!N41</f>
        <v>84573092.585827962</v>
      </c>
      <c r="P8" s="707">
        <f>'D-1-Constrained'!P41</f>
        <v>38643740</v>
      </c>
      <c r="Q8" s="707">
        <f>'D-1-Constrained'!Q41</f>
        <v>74241881.163256288</v>
      </c>
      <c r="R8" s="707">
        <f>'D-1-Constrained'!R41</f>
        <v>112885621.16325629</v>
      </c>
    </row>
    <row r="9" spans="1:18">
      <c r="A9" s="2">
        <v>5</v>
      </c>
      <c r="B9" s="2"/>
      <c r="C9" s="708" t="s">
        <v>2488</v>
      </c>
      <c r="D9" t="str">
        <f>_xlfn.XLOOKUP(E9,'D-1-Constrained'!E:E,'D-1-Constrained'!D:D)</f>
        <v>Assessment of Transmission Lines</v>
      </c>
      <c r="E9" s="2" t="s">
        <v>2139</v>
      </c>
      <c r="H9" s="707">
        <f>'D-1-Constrained'!H42</f>
        <v>0</v>
      </c>
      <c r="I9" s="707">
        <f>'D-1-Constrained'!I42</f>
        <v>0</v>
      </c>
      <c r="J9" s="707">
        <f>'D-1-Constrained'!J42</f>
        <v>0</v>
      </c>
      <c r="K9" s="410"/>
      <c r="L9" s="707">
        <f>'D-1-Constrained'!L42</f>
        <v>0</v>
      </c>
      <c r="M9" s="707">
        <f>'D-1-Constrained'!M42</f>
        <v>0</v>
      </c>
      <c r="N9" s="707">
        <f>'D-1-Constrained'!N42</f>
        <v>0</v>
      </c>
      <c r="P9" s="707">
        <f>'D-1-Constrained'!P42</f>
        <v>0</v>
      </c>
      <c r="Q9" s="707">
        <f>'D-1-Constrained'!Q42</f>
        <v>0</v>
      </c>
      <c r="R9" s="707">
        <f>'D-1-Constrained'!R42</f>
        <v>0</v>
      </c>
    </row>
    <row r="10" spans="1:18">
      <c r="A10" s="2"/>
      <c r="B10" s="2"/>
      <c r="D10"/>
    </row>
    <row r="11" spans="1:18">
      <c r="D11"/>
      <c r="N11" s="709"/>
    </row>
    <row r="12" spans="1:18">
      <c r="A12" s="2">
        <f>A9+1</f>
        <v>6</v>
      </c>
      <c r="B12" s="2"/>
      <c r="C12" s="710" t="s">
        <v>656</v>
      </c>
      <c r="D12" s="63"/>
      <c r="E12" s="63"/>
      <c r="F12" s="706"/>
      <c r="G12" s="706"/>
      <c r="H12" s="706">
        <f>SUM(H6:H9)</f>
        <v>62488337.186044671</v>
      </c>
      <c r="I12" s="706">
        <f t="shared" ref="I12:J12" si="0">SUM(I6:I9)</f>
        <v>61174492.165837482</v>
      </c>
      <c r="J12" s="706">
        <f t="shared" si="0"/>
        <v>123662829.35188216</v>
      </c>
      <c r="K12" s="706"/>
      <c r="L12" s="706">
        <f>SUM(L6:L9)</f>
        <v>227072620.24570087</v>
      </c>
      <c r="M12" s="706">
        <f t="shared" ref="M12:N12" si="1">SUM(M6:M9)</f>
        <v>76311981.474716842</v>
      </c>
      <c r="N12" s="706">
        <f t="shared" si="1"/>
        <v>303384601.72041774</v>
      </c>
      <c r="O12" s="706"/>
      <c r="P12" s="706">
        <f t="shared" ref="P12:R12" si="2">SUM(P6:P9)</f>
        <v>417698016.71553349</v>
      </c>
      <c r="Q12" s="706">
        <f t="shared" si="2"/>
        <v>108441881.16325629</v>
      </c>
      <c r="R12" s="706">
        <f t="shared" si="2"/>
        <v>526139897.87878978</v>
      </c>
    </row>
  </sheetData>
  <mergeCells count="3">
    <mergeCell ref="H1:J1"/>
    <mergeCell ref="L1:N1"/>
    <mergeCell ref="P1:R1"/>
  </mergeCells>
  <pageMargins left="0.7" right="0.7" top="0.75" bottom="0.75" header="0.3" footer="0.3"/>
  <pageSetup scale="60" orientation="landscape" horizontalDpi="1200" verticalDpi="1200" r:id="rId1"/>
  <headerFooter>
    <oddHeader>&amp;LPuerto Rico Electric Power Authority 
Rate Review (NEPR-AP-2023-0003)
Projected Construction and Decommissioning Capital Expenditures for Transmission Plant
&amp;RSchedule D-3 Constrained
Page &amp;P of &amp;N</oddHeader>
  </headerFooter>
  <colBreaks count="2" manualBreakCount="2">
    <brk id="10" max="11" man="1"/>
    <brk id="14" max="11"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10E6A-564E-4403-A7E9-F99C1A1C9DFF}">
  <sheetPr>
    <tabColor theme="9" tint="0.79998168889431442"/>
  </sheetPr>
  <dimension ref="A2:R13"/>
  <sheetViews>
    <sheetView workbookViewId="0"/>
    <sheetView workbookViewId="1"/>
    <sheetView workbookViewId="2"/>
  </sheetViews>
  <sheetFormatPr defaultColWidth="8.5703125" defaultRowHeight="15"/>
  <cols>
    <col min="1" max="2" width="5.5703125" customWidth="1"/>
    <col min="3" max="3" width="26" bestFit="1" customWidth="1"/>
    <col min="4" max="4" width="46.42578125" style="61" customWidth="1"/>
    <col min="5" max="5" width="11.140625" style="2" customWidth="1"/>
    <col min="6" max="6" width="3.140625" customWidth="1"/>
    <col min="7" max="7" width="1.85546875" customWidth="1"/>
    <col min="8" max="10" width="20.5703125" customWidth="1"/>
    <col min="11" max="11" width="5.5703125" customWidth="1"/>
    <col min="12" max="14" width="20.5703125" customWidth="1"/>
    <col min="15" max="15" width="5.5703125" customWidth="1"/>
    <col min="16" max="18" width="20.5703125" customWidth="1"/>
  </cols>
  <sheetData>
    <row r="2" spans="1:18">
      <c r="D2"/>
      <c r="H2" s="1206" t="s">
        <v>393</v>
      </c>
      <c r="I2" s="1206"/>
      <c r="J2" s="1206"/>
      <c r="L2" s="1206" t="s">
        <v>394</v>
      </c>
      <c r="M2" s="1206"/>
      <c r="N2" s="1206"/>
      <c r="P2" s="1206" t="s">
        <v>395</v>
      </c>
      <c r="Q2" s="1206"/>
      <c r="R2" s="1206"/>
    </row>
    <row r="3" spans="1:18" s="2" customFormat="1" ht="45">
      <c r="A3" s="58" t="s">
        <v>242</v>
      </c>
      <c r="C3" s="58" t="s">
        <v>2495</v>
      </c>
      <c r="D3" s="58" t="s">
        <v>2498</v>
      </c>
      <c r="E3" s="58" t="s">
        <v>2082</v>
      </c>
      <c r="H3" s="58" t="s">
        <v>2083</v>
      </c>
      <c r="I3" s="58" t="s">
        <v>2084</v>
      </c>
      <c r="J3" s="58" t="s">
        <v>656</v>
      </c>
      <c r="L3" s="58" t="s">
        <v>2085</v>
      </c>
      <c r="M3" s="58" t="s">
        <v>2086</v>
      </c>
      <c r="N3" s="58" t="s">
        <v>656</v>
      </c>
      <c r="P3" s="58" t="s">
        <v>2087</v>
      </c>
      <c r="Q3" s="58" t="s">
        <v>2088</v>
      </c>
      <c r="R3" s="58" t="s">
        <v>656</v>
      </c>
    </row>
    <row r="4" spans="1:18">
      <c r="A4" s="59"/>
      <c r="B4" s="2"/>
      <c r="C4" s="59"/>
      <c r="D4" s="59"/>
      <c r="E4" s="59"/>
      <c r="H4" s="59" t="s">
        <v>2089</v>
      </c>
      <c r="I4" s="59" t="s">
        <v>550</v>
      </c>
      <c r="J4" s="59" t="s">
        <v>552</v>
      </c>
      <c r="L4" s="59" t="s">
        <v>554</v>
      </c>
      <c r="M4" s="59" t="s">
        <v>555</v>
      </c>
      <c r="N4" s="59" t="s">
        <v>2090</v>
      </c>
      <c r="P4" s="59" t="s">
        <v>2091</v>
      </c>
      <c r="Q4" s="59" t="s">
        <v>559</v>
      </c>
      <c r="R4" s="59" t="s">
        <v>561</v>
      </c>
    </row>
    <row r="5" spans="1:18">
      <c r="A5" s="59"/>
      <c r="B5" s="2"/>
      <c r="C5" s="59"/>
      <c r="D5" s="59"/>
      <c r="E5" s="59"/>
      <c r="H5" s="59"/>
      <c r="I5" s="59"/>
      <c r="J5" s="59"/>
      <c r="L5" s="59"/>
      <c r="M5" s="59"/>
      <c r="N5" s="59"/>
      <c r="P5" s="59"/>
      <c r="Q5" s="59"/>
      <c r="R5" s="59"/>
    </row>
    <row r="6" spans="1:18">
      <c r="A6" s="2">
        <v>1</v>
      </c>
      <c r="B6" s="2"/>
      <c r="C6" s="705" t="s">
        <v>2499</v>
      </c>
      <c r="D6" s="63"/>
      <c r="E6" s="63"/>
      <c r="F6" s="706"/>
      <c r="G6" s="706"/>
      <c r="H6" s="706">
        <f t="shared" ref="H6:I6" si="0">SUM(H7:H11)</f>
        <v>202371821.23786271</v>
      </c>
      <c r="I6" s="706">
        <f t="shared" si="0"/>
        <v>101806388.96586855</v>
      </c>
      <c r="J6" s="706">
        <f>SUM(J7:J11)</f>
        <v>304178210.20373124</v>
      </c>
      <c r="K6" s="706"/>
      <c r="L6" s="706">
        <f t="shared" ref="L6:N6" si="1">SUM(L7:L11)</f>
        <v>344740716.49652505</v>
      </c>
      <c r="M6" s="706">
        <f t="shared" si="1"/>
        <v>185041808.88086104</v>
      </c>
      <c r="N6" s="706">
        <f t="shared" si="1"/>
        <v>529782525.37738609</v>
      </c>
      <c r="O6" s="706"/>
      <c r="P6" s="706">
        <f t="shared" ref="P6:R6" si="2">SUM(P7:P11)</f>
        <v>326493912.60748422</v>
      </c>
      <c r="Q6" s="706">
        <f t="shared" si="2"/>
        <v>231087326.60153115</v>
      </c>
      <c r="R6" s="706">
        <f t="shared" si="2"/>
        <v>557581239.20901537</v>
      </c>
    </row>
    <row r="7" spans="1:18">
      <c r="A7" s="2">
        <v>2</v>
      </c>
      <c r="B7" s="2"/>
      <c r="D7" t="str">
        <f>_xlfn.XLOOKUP(E7,'D-1-Constrained'!E:E,'D-1-Constrained'!D:D)</f>
        <v>Distribution Line Rebuild</v>
      </c>
      <c r="E7" s="2" t="s">
        <v>2142</v>
      </c>
      <c r="H7" s="707">
        <f>'D-1-Constrained'!H45</f>
        <v>23311671.237862699</v>
      </c>
      <c r="I7" s="707">
        <f>'D-1-Constrained'!I45</f>
        <v>37276727.240489811</v>
      </c>
      <c r="J7" s="707">
        <f>'D-1-Constrained'!J45</f>
        <v>60588398.478352509</v>
      </c>
      <c r="K7" s="410"/>
      <c r="L7" s="707">
        <f>'D-1-Constrained'!L45</f>
        <v>95045716.496525034</v>
      </c>
      <c r="M7" s="707">
        <f>'D-1-Constrained'!M45</f>
        <v>54615725.754349731</v>
      </c>
      <c r="N7" s="707">
        <f>'D-1-Constrained'!N45</f>
        <v>149661442.25087476</v>
      </c>
      <c r="P7" s="707">
        <f>'D-1-Constrained'!P45</f>
        <v>132735608.10748419</v>
      </c>
      <c r="Q7" s="707">
        <f>'D-1-Constrained'!Q45</f>
        <v>67693482.175456211</v>
      </c>
      <c r="R7" s="707">
        <f>'D-1-Constrained'!R45</f>
        <v>200429090.28294039</v>
      </c>
    </row>
    <row r="8" spans="1:18">
      <c r="A8" s="2">
        <v>3</v>
      </c>
      <c r="B8" s="2"/>
      <c r="C8" s="708"/>
      <c r="D8" t="str">
        <f>_xlfn.XLOOKUP(E8,'D-1-Constrained'!E:E,'D-1-Constrained'!D:D)</f>
        <v>Distribution Pole &amp; Conductor Repair</v>
      </c>
      <c r="E8" s="2" t="s">
        <v>2144</v>
      </c>
      <c r="H8" s="707">
        <f>'D-1-Constrained'!H46</f>
        <v>89250000</v>
      </c>
      <c r="I8" s="707">
        <f>'D-1-Constrained'!I46</f>
        <v>43836695.058712058</v>
      </c>
      <c r="J8" s="707">
        <f>'D-1-Constrained'!J46</f>
        <v>133086695.05871207</v>
      </c>
      <c r="K8" s="410"/>
      <c r="L8" s="707">
        <f>'D-1-Constrained'!L46</f>
        <v>105945000</v>
      </c>
      <c r="M8" s="707">
        <f>'D-1-Constrained'!M46</f>
        <v>107029183.12651132</v>
      </c>
      <c r="N8" s="707">
        <f>'D-1-Constrained'!N46</f>
        <v>212974183.12651134</v>
      </c>
      <c r="P8" s="707">
        <f>'D-1-Constrained'!P46</f>
        <v>52499999.999999993</v>
      </c>
      <c r="Q8" s="707">
        <f>'D-1-Constrained'!Q46</f>
        <v>132306202.47051938</v>
      </c>
      <c r="R8" s="707">
        <f>'D-1-Constrained'!R46</f>
        <v>184806202.47051936</v>
      </c>
    </row>
    <row r="9" spans="1:18">
      <c r="A9" s="2">
        <v>4</v>
      </c>
      <c r="B9" s="2"/>
      <c r="D9" t="str">
        <f>_xlfn.XLOOKUP(E9,'D-1-Constrained'!E:E,'D-1-Constrained'!D:D)</f>
        <v>Grid Automation</v>
      </c>
      <c r="E9" s="2" t="s">
        <v>2146</v>
      </c>
      <c r="H9" s="707">
        <f>'D-1-Constrained'!H47</f>
        <v>89810150</v>
      </c>
      <c r="I9" s="707">
        <f>'D-1-Constrained'!I47</f>
        <v>2692966.6666666665</v>
      </c>
      <c r="J9" s="707">
        <f>'D-1-Constrained'!J47</f>
        <v>92503116.666666672</v>
      </c>
      <c r="K9" s="410"/>
      <c r="L9" s="707">
        <f>'D-1-Constrained'!L47</f>
        <v>143750000</v>
      </c>
      <c r="M9" s="707">
        <f>'D-1-Constrained'!M47</f>
        <v>3396900.0000000005</v>
      </c>
      <c r="N9" s="707">
        <f>'D-1-Constrained'!N47</f>
        <v>147146900</v>
      </c>
      <c r="P9" s="707">
        <f>'D-1-Constrained'!P47</f>
        <v>141258304.5</v>
      </c>
      <c r="Q9" s="707">
        <f>'D-1-Constrained'!Q47</f>
        <v>8087641.9555555545</v>
      </c>
      <c r="R9" s="707">
        <f>'D-1-Constrained'!R47</f>
        <v>149345946.45555556</v>
      </c>
    </row>
    <row r="10" spans="1:18">
      <c r="A10" s="2">
        <v>5</v>
      </c>
      <c r="B10" s="2"/>
      <c r="C10" s="708"/>
      <c r="D10" t="str">
        <f>_xlfn.XLOOKUP(E10,'D-1-Constrained'!E:E,'D-1-Constrained'!D:D)</f>
        <v>Distribution Lines Assessment</v>
      </c>
      <c r="E10" s="2" t="s">
        <v>2148</v>
      </c>
      <c r="H10" s="707">
        <f>'D-1-Constrained'!H48</f>
        <v>0</v>
      </c>
      <c r="I10" s="707">
        <f>'D-1-Constrained'!I48</f>
        <v>0</v>
      </c>
      <c r="J10" s="707">
        <f>'D-1-Constrained'!J48</f>
        <v>0</v>
      </c>
      <c r="K10" s="410"/>
      <c r="L10" s="707">
        <f>'D-1-Constrained'!L48</f>
        <v>0</v>
      </c>
      <c r="M10" s="707">
        <f>'D-1-Constrained'!M48</f>
        <v>0</v>
      </c>
      <c r="N10" s="707">
        <f>'D-1-Constrained'!N48</f>
        <v>0</v>
      </c>
      <c r="P10" s="707">
        <f>'D-1-Constrained'!P48</f>
        <v>0</v>
      </c>
      <c r="Q10" s="707">
        <f>'D-1-Constrained'!Q48</f>
        <v>0</v>
      </c>
      <c r="R10" s="707">
        <f>'D-1-Constrained'!R48</f>
        <v>0</v>
      </c>
    </row>
    <row r="11" spans="1:18">
      <c r="A11" s="2"/>
      <c r="B11" s="2"/>
      <c r="D11" t="str">
        <f>_xlfn.XLOOKUP(E11,'D-1-Constrained'!E:E,'D-1-Constrained'!D:D)</f>
        <v>Distribution Grid Reliability</v>
      </c>
      <c r="E11" s="2" t="s">
        <v>2150</v>
      </c>
      <c r="H11" s="707">
        <f>'D-1-Constrained'!H49</f>
        <v>0</v>
      </c>
      <c r="I11" s="707">
        <f>'D-1-Constrained'!I49</f>
        <v>18000000</v>
      </c>
      <c r="J11" s="707">
        <f>'D-1-Constrained'!J49</f>
        <v>18000000</v>
      </c>
      <c r="K11" s="410"/>
      <c r="L11" s="707">
        <f>'D-1-Constrained'!L49</f>
        <v>0</v>
      </c>
      <c r="M11" s="707">
        <f>'D-1-Constrained'!M49</f>
        <v>20000000</v>
      </c>
      <c r="N11" s="707">
        <f>'D-1-Constrained'!N49</f>
        <v>20000000</v>
      </c>
      <c r="P11" s="707">
        <f>'D-1-Constrained'!P49</f>
        <v>0</v>
      </c>
      <c r="Q11" s="707">
        <f>'D-1-Constrained'!Q49</f>
        <v>23000000</v>
      </c>
      <c r="R11" s="707">
        <f>'D-1-Constrained'!R49</f>
        <v>23000000</v>
      </c>
    </row>
    <row r="12" spans="1:18">
      <c r="D12"/>
      <c r="N12" s="709"/>
    </row>
    <row r="13" spans="1:18">
      <c r="A13" s="2">
        <f>A10+1</f>
        <v>6</v>
      </c>
      <c r="B13" s="2"/>
      <c r="C13" s="710" t="s">
        <v>656</v>
      </c>
      <c r="D13" s="63"/>
      <c r="E13" s="63"/>
      <c r="F13" s="706"/>
      <c r="G13" s="706"/>
      <c r="H13" s="706">
        <f>SUM(H7:H11)</f>
        <v>202371821.23786271</v>
      </c>
      <c r="I13" s="706">
        <f t="shared" ref="I13:J13" si="3">SUM(I7:I11)</f>
        <v>101806388.96586855</v>
      </c>
      <c r="J13" s="706">
        <f t="shared" si="3"/>
        <v>304178210.20373124</v>
      </c>
      <c r="K13" s="706"/>
      <c r="L13" s="706">
        <f t="shared" ref="L13:N13" si="4">SUM(L7:L11)</f>
        <v>344740716.49652505</v>
      </c>
      <c r="M13" s="706">
        <f t="shared" si="4"/>
        <v>185041808.88086104</v>
      </c>
      <c r="N13" s="706">
        <f t="shared" si="4"/>
        <v>529782525.37738609</v>
      </c>
      <c r="O13" s="706"/>
      <c r="P13" s="706">
        <f t="shared" ref="P13:R13" si="5">SUM(P7:P11)</f>
        <v>326493912.60748422</v>
      </c>
      <c r="Q13" s="706">
        <f t="shared" si="5"/>
        <v>231087326.60153115</v>
      </c>
      <c r="R13" s="706">
        <f t="shared" si="5"/>
        <v>557581239.20901537</v>
      </c>
    </row>
  </sheetData>
  <mergeCells count="3">
    <mergeCell ref="H2:J2"/>
    <mergeCell ref="L2:N2"/>
    <mergeCell ref="P2:R2"/>
  </mergeCells>
  <pageMargins left="0.7" right="0.7" top="0.75" bottom="0.75" header="0.3" footer="0.3"/>
  <pageSetup scale="70" fitToHeight="0" orientation="landscape" horizontalDpi="1200" verticalDpi="1200" r:id="rId1"/>
  <headerFooter>
    <oddHeader>&amp;LPuerto Rico Electric Power Authority 
Rate Review (NEPR-AP-2023-0003)
Projected Construction and Decommissioning Capital Expenditure for Distribution Plant
&amp;RSchedule D-4 Constrained
Page &amp;P of &amp;N</oddHeader>
  </headerFooter>
  <colBreaks count="2" manualBreakCount="2">
    <brk id="10" max="12" man="1"/>
    <brk id="14" max="1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BA1DF-7DDE-41F1-B430-9C828A89C1C5}">
  <sheetPr>
    <tabColor rgb="FFFF9999"/>
  </sheetPr>
  <dimension ref="A1"/>
  <sheetViews>
    <sheetView workbookViewId="0">
      <selection sqref="A1:XFD1048576"/>
    </sheetView>
    <sheetView workbookViewId="1">
      <selection sqref="A1:XFD1048576"/>
    </sheetView>
    <sheetView workbookViewId="2">
      <selection sqref="A1:XFD1048576"/>
    </sheetView>
  </sheetViews>
  <sheetFormatPr defaultColWidth="8.5703125" defaultRowHeight="15"/>
  <cols>
    <col min="1" max="16384" width="8.5703125" style="1189"/>
  </cols>
  <sheetData/>
  <mergeCells count="1">
    <mergeCell ref="A1:XFD104857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21188-5311-42DD-A57F-6B2861550C97}">
  <sheetPr>
    <tabColor theme="8" tint="0.39997558519241921"/>
  </sheetPr>
  <dimension ref="A1"/>
  <sheetViews>
    <sheetView workbookViewId="0">
      <selection sqref="A1:XFD1048576"/>
    </sheetView>
    <sheetView workbookViewId="1">
      <selection sqref="A1:XFD1048576"/>
    </sheetView>
    <sheetView workbookViewId="2">
      <selection sqref="A1:XFD1048576"/>
    </sheetView>
  </sheetViews>
  <sheetFormatPr defaultColWidth="8.5703125" defaultRowHeight="15"/>
  <cols>
    <col min="1" max="16384" width="8.5703125" style="1189"/>
  </cols>
  <sheetData/>
  <mergeCells count="1">
    <mergeCell ref="A1:XFD104857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F3B8D-0444-4E78-B800-91FF9C0FB96A}">
  <sheetPr>
    <tabColor theme="8" tint="0.79998168889431442"/>
    <pageSetUpPr fitToPage="1"/>
  </sheetPr>
  <dimension ref="A1:T42"/>
  <sheetViews>
    <sheetView workbookViewId="0"/>
    <sheetView workbookViewId="1"/>
    <sheetView workbookViewId="2"/>
  </sheetViews>
  <sheetFormatPr defaultRowHeight="15"/>
  <cols>
    <col min="1" max="1" width="16.42578125" customWidth="1"/>
    <col min="2" max="2" width="1.42578125" customWidth="1"/>
    <col min="3" max="3" width="30.85546875" customWidth="1"/>
    <col min="4" max="4" width="14.5703125" customWidth="1"/>
    <col min="5" max="5" width="13.5703125" customWidth="1"/>
    <col min="6" max="6" width="2.140625" customWidth="1"/>
    <col min="7" max="7" width="13.140625" customWidth="1"/>
    <col min="8" max="8" width="15.42578125" customWidth="1"/>
    <col min="9" max="9" width="2.42578125" customWidth="1"/>
    <col min="10" max="10" width="13.5703125" customWidth="1"/>
    <col min="11" max="11" width="12.85546875" customWidth="1"/>
  </cols>
  <sheetData>
    <row r="1" spans="1:20">
      <c r="A1" s="257"/>
      <c r="B1" s="263"/>
      <c r="C1" s="263"/>
      <c r="D1" s="1250" t="s">
        <v>439</v>
      </c>
      <c r="E1" s="1251"/>
      <c r="F1" s="263"/>
      <c r="G1" s="1250" t="s">
        <v>440</v>
      </c>
      <c r="H1" s="1251"/>
      <c r="I1" s="263"/>
      <c r="J1" s="1250" t="s">
        <v>441</v>
      </c>
      <c r="K1" s="1251"/>
      <c r="L1" s="257"/>
      <c r="M1" s="257"/>
      <c r="N1" s="257"/>
      <c r="O1" s="257"/>
      <c r="P1" s="257"/>
      <c r="Q1" s="257"/>
      <c r="R1" s="257"/>
      <c r="S1" s="257"/>
      <c r="T1" s="257"/>
    </row>
    <row r="2" spans="1:20">
      <c r="A2" s="257"/>
      <c r="B2" s="263"/>
      <c r="C2" s="263"/>
      <c r="D2" s="263" t="s">
        <v>2502</v>
      </c>
      <c r="E2" s="263" t="s">
        <v>2503</v>
      </c>
      <c r="F2" s="257"/>
      <c r="G2" s="263" t="s">
        <v>2502</v>
      </c>
      <c r="H2" s="263" t="s">
        <v>2503</v>
      </c>
      <c r="I2" s="263"/>
      <c r="J2" s="263" t="s">
        <v>2502</v>
      </c>
      <c r="K2" s="263" t="s">
        <v>2503</v>
      </c>
      <c r="L2" s="257"/>
      <c r="M2" s="257"/>
      <c r="N2" s="257"/>
      <c r="O2" s="257"/>
      <c r="P2" s="257"/>
      <c r="Q2" s="257"/>
      <c r="R2" s="257"/>
      <c r="S2" s="257"/>
      <c r="T2" s="257"/>
    </row>
    <row r="3" spans="1:20">
      <c r="A3" s="264"/>
      <c r="B3" s="263"/>
      <c r="C3" s="265" t="s">
        <v>2504</v>
      </c>
      <c r="D3" s="265" t="s">
        <v>2505</v>
      </c>
      <c r="E3" s="265" t="s">
        <v>2506</v>
      </c>
      <c r="F3" s="263"/>
      <c r="G3" s="265" t="s">
        <v>2505</v>
      </c>
      <c r="H3" s="265" t="s">
        <v>2506</v>
      </c>
      <c r="I3" s="263"/>
      <c r="J3" s="265" t="s">
        <v>2505</v>
      </c>
      <c r="K3" s="265" t="s">
        <v>2506</v>
      </c>
      <c r="L3" s="257"/>
      <c r="M3" s="257"/>
      <c r="N3" s="257"/>
      <c r="O3" s="257"/>
      <c r="P3" s="257"/>
      <c r="Q3" s="257"/>
      <c r="R3" s="257"/>
      <c r="S3" s="257"/>
      <c r="T3" s="257"/>
    </row>
    <row r="4" spans="1:20">
      <c r="A4" s="257"/>
      <c r="B4" s="1246"/>
      <c r="C4" s="1246"/>
      <c r="D4" s="257"/>
      <c r="E4" s="257"/>
      <c r="F4" s="257"/>
      <c r="G4" s="257"/>
      <c r="H4" s="257"/>
      <c r="I4" s="1246"/>
      <c r="J4" s="1246"/>
      <c r="K4" s="1246"/>
      <c r="L4" s="1246"/>
      <c r="M4" s="257"/>
      <c r="N4" s="257"/>
      <c r="O4" s="257"/>
      <c r="P4" s="257"/>
      <c r="Q4" s="257"/>
      <c r="R4" s="257"/>
      <c r="S4" s="257"/>
      <c r="T4" s="257"/>
    </row>
    <row r="5" spans="1:20">
      <c r="A5" s="261" t="s">
        <v>2507</v>
      </c>
      <c r="B5" s="257"/>
      <c r="C5" s="257" t="s">
        <v>2508</v>
      </c>
      <c r="D5" s="269">
        <f>VLOOKUP("TOTAL "&amp;$A5, 'E-2 FY2026'!$A$11:$M$160, 3,FALSE)</f>
        <v>5802564739.7024879</v>
      </c>
      <c r="E5" s="271">
        <f>VLOOKUP("TOTAL "&amp;$A5, 'E-2 FY2026'!$A$11:$M$160, 7,FALSE)</f>
        <v>357561520.92892182</v>
      </c>
      <c r="F5" s="271"/>
      <c r="G5" s="269">
        <f>VLOOKUP("TOTAL "&amp;$A5, 'E-2 FY2027'!$A$11:$M$160, 3,FALSE)</f>
        <v>5466100000</v>
      </c>
      <c r="H5" s="271">
        <f>VLOOKUP("TOTAL "&amp;$A5, 'E-2 FY2027'!$A$11:$M$160, 7,FALSE)</f>
        <v>340259568</v>
      </c>
      <c r="I5" s="257"/>
      <c r="J5" s="269">
        <f>VLOOKUP("TOTAL "&amp;$A5, 'E-2 FY2028'!$A$11:$M$160, 3,FALSE)</f>
        <v>5175046530.5321541</v>
      </c>
      <c r="K5" s="271">
        <f>VLOOKUP("TOTAL "&amp;$A5, 'E-2 FY2028'!$A$11:$M$160, 7,FALSE)</f>
        <v>325297571.38756138</v>
      </c>
      <c r="L5" s="257"/>
      <c r="M5" s="257"/>
      <c r="N5" s="257"/>
      <c r="O5" s="257"/>
      <c r="P5" s="257"/>
      <c r="Q5" s="257"/>
      <c r="R5" s="257"/>
      <c r="S5" s="257"/>
      <c r="T5" s="257"/>
    </row>
    <row r="6" spans="1:20">
      <c r="A6" s="261" t="s">
        <v>2509</v>
      </c>
      <c r="B6" s="257"/>
      <c r="C6" s="257" t="s">
        <v>2510</v>
      </c>
      <c r="D6" s="269">
        <f>VLOOKUP("TOTAL "&amp;$A6, 'E-2 FY2026'!$A$11:$M$160, 3,FALSE)</f>
        <v>483134839.80058908</v>
      </c>
      <c r="E6" s="271">
        <f>VLOOKUP("TOTAL "&amp;$A6, 'E-2 FY2026'!$A$11:$M$160, 7,FALSE)</f>
        <v>18494547.514807336</v>
      </c>
      <c r="F6" s="271"/>
      <c r="G6" s="269">
        <f>VLOOKUP("TOTAL "&amp;$A6, 'E-2 FY2027'!$A$11:$M$160, 3,FALSE)</f>
        <v>455100000</v>
      </c>
      <c r="H6" s="271">
        <f>VLOOKUP("TOTAL "&amp;$A6, 'E-2 FY2027'!$A$11:$M$160, 7,FALSE)</f>
        <v>17716602</v>
      </c>
      <c r="I6" s="257"/>
      <c r="J6" s="269">
        <f>VLOOKUP("TOTAL "&amp;$A6, 'E-2 FY2028'!$A$11:$M$160, 3,FALSE)</f>
        <v>430886235.42310375</v>
      </c>
      <c r="K6" s="271">
        <f>VLOOKUP("TOTAL "&amp;$A6, 'E-2 FY2028'!$A$11:$M$160, 7,FALSE)</f>
        <v>17045472.148302574</v>
      </c>
      <c r="L6" s="257"/>
      <c r="M6" s="257"/>
      <c r="N6" s="257"/>
      <c r="O6" s="257"/>
      <c r="P6" s="257"/>
      <c r="Q6" s="257"/>
      <c r="R6" s="257"/>
      <c r="S6" s="257"/>
      <c r="T6" s="257"/>
    </row>
    <row r="7" spans="1:20">
      <c r="A7" s="261" t="s">
        <v>2511</v>
      </c>
      <c r="B7" s="257"/>
      <c r="C7" s="257" t="s">
        <v>2512</v>
      </c>
      <c r="D7" s="269">
        <f>VLOOKUP("TOTAL "&amp;$A7, 'E-2 FY2026'!$A$11:$M$160, 3,FALSE)</f>
        <v>17379859.844854899</v>
      </c>
      <c r="E7" s="271">
        <f>VLOOKUP("TOTAL "&amp;$A7, 'E-2 FY2026'!$A$11:$M$160, 7,FALSE)</f>
        <v>466389.93762014725</v>
      </c>
      <c r="F7" s="271"/>
      <c r="G7" s="269">
        <f>VLOOKUP("TOTAL "&amp;$A7, 'E-2 FY2027'!$A$11:$M$160, 3,FALSE)</f>
        <v>16400000</v>
      </c>
      <c r="H7" s="271">
        <f>VLOOKUP("TOTAL "&amp;$A7, 'E-2 FY2027'!$A$11:$M$160, 7,FALSE)</f>
        <v>447946</v>
      </c>
      <c r="I7" s="257"/>
      <c r="J7" s="269">
        <f>VLOOKUP("TOTAL "&amp;$A7, 'E-2 FY2028'!$A$11:$M$160, 3,FALSE)</f>
        <v>15500315.365005814</v>
      </c>
      <c r="K7" s="271">
        <f>VLOOKUP("TOTAL "&amp;$A7, 'E-2 FY2028'!$A$11:$M$160, 7,FALSE)</f>
        <v>427639.70485362294</v>
      </c>
      <c r="L7" s="257"/>
      <c r="M7" s="257"/>
      <c r="N7" s="257"/>
      <c r="O7" s="257"/>
      <c r="P7" s="257"/>
      <c r="Q7" s="257"/>
      <c r="R7" s="257"/>
      <c r="S7" s="257"/>
      <c r="T7" s="257"/>
    </row>
    <row r="8" spans="1:20" ht="42" customHeight="1">
      <c r="A8" s="261" t="s">
        <v>2513</v>
      </c>
      <c r="B8" s="257"/>
      <c r="C8" s="297" t="s">
        <v>2514</v>
      </c>
      <c r="D8" s="269">
        <f>VLOOKUP("TOTAL "&amp;$A8, 'E-2 FY2026'!$A$11:$M$160, 3,FALSE)</f>
        <v>114461421.74937387</v>
      </c>
      <c r="E8" s="271">
        <f>VLOOKUP("TOTAL "&amp;$A8, 'E-2 FY2026'!$A$11:$M$160, 7,FALSE)</f>
        <v>28236823.506135166</v>
      </c>
      <c r="F8" s="271"/>
      <c r="G8" s="269">
        <f>VLOOKUP("TOTAL "&amp;$A8, 'E-2 FY2027'!$A$11:$M$160, 3,FALSE)</f>
        <v>107800000</v>
      </c>
      <c r="H8" s="271">
        <f>VLOOKUP("TOTAL "&amp;$A8, 'E-2 FY2027'!$A$11:$M$160, 7,FALSE)</f>
        <v>27902912</v>
      </c>
      <c r="I8" s="257"/>
      <c r="J8" s="269">
        <f>VLOOKUP("TOTAL "&amp;$A8, 'E-2 FY2028'!$A$11:$M$160, 3,FALSE)</f>
        <v>102082994.34402275</v>
      </c>
      <c r="K8" s="271">
        <f>VLOOKUP("TOTAL "&amp;$A8, 'E-2 FY2028'!$A$11:$M$160, 7,FALSE)</f>
        <v>27618297.805301424</v>
      </c>
      <c r="L8" s="257"/>
      <c r="M8" s="257"/>
      <c r="N8" s="257"/>
      <c r="O8" s="257"/>
      <c r="P8" s="257"/>
      <c r="Q8" s="257"/>
      <c r="R8" s="257"/>
      <c r="S8" s="257"/>
      <c r="T8" s="257"/>
    </row>
    <row r="9" spans="1:20">
      <c r="A9" s="298"/>
      <c r="B9" s="298"/>
      <c r="C9" s="298" t="s">
        <v>2515</v>
      </c>
      <c r="D9" s="299">
        <f>SUM(D5:D8)</f>
        <v>6417540861.0973053</v>
      </c>
      <c r="E9" s="300">
        <f>SUM(E5:E8)</f>
        <v>404759281.88748449</v>
      </c>
      <c r="F9" s="271"/>
      <c r="G9" s="299">
        <f>SUM(G5:G8)</f>
        <v>6045400000</v>
      </c>
      <c r="H9" s="300">
        <f>SUM(H5:H8)</f>
        <v>386327028</v>
      </c>
      <c r="I9" s="257"/>
      <c r="J9" s="299">
        <f>SUM(J5:J8)</f>
        <v>5723516075.6642857</v>
      </c>
      <c r="K9" s="300">
        <f>SUM(K5:K8)</f>
        <v>370388981.04601896</v>
      </c>
      <c r="L9" s="257"/>
      <c r="M9" s="257"/>
      <c r="N9" s="257"/>
      <c r="O9" s="257"/>
      <c r="P9" s="257"/>
      <c r="Q9" s="257"/>
      <c r="R9" s="257"/>
      <c r="S9" s="257"/>
      <c r="T9" s="257"/>
    </row>
    <row r="10" spans="1:20">
      <c r="A10" s="257"/>
      <c r="B10" s="1246"/>
      <c r="C10" s="1246"/>
      <c r="D10" s="257"/>
      <c r="E10" s="257"/>
      <c r="F10" s="257"/>
      <c r="G10" s="257"/>
      <c r="H10" s="257"/>
      <c r="I10" s="257"/>
      <c r="J10" s="257"/>
      <c r="K10" s="257"/>
      <c r="L10" s="257"/>
      <c r="M10" s="257"/>
      <c r="N10" s="257"/>
      <c r="O10" s="257"/>
      <c r="P10" s="257"/>
      <c r="Q10" s="257"/>
      <c r="R10" s="257"/>
      <c r="S10" s="257"/>
      <c r="T10" s="257"/>
    </row>
    <row r="11" spans="1:20" ht="26.25">
      <c r="A11" s="261" t="s">
        <v>2516</v>
      </c>
      <c r="B11" s="257"/>
      <c r="C11" s="297" t="s">
        <v>2517</v>
      </c>
      <c r="D11" s="269">
        <f>VLOOKUP("TOTAL "&amp;$A11, 'E-2 FY2026'!$A$11:$M$160, 3,FALSE)</f>
        <v>2240801007.6701174</v>
      </c>
      <c r="E11" s="271">
        <f>VLOOKUP("TOTAL "&amp;$A11, 'E-2 FY2026'!$A$11:$M$160, 7,FALSE)</f>
        <v>196132722.1380482</v>
      </c>
      <c r="F11" s="271"/>
      <c r="G11" s="269">
        <f>VLOOKUP("TOTAL "&amp;$A11, 'E-2 FY2027'!$A$11:$M$160, 3,FALSE)</f>
        <v>2239100000</v>
      </c>
      <c r="H11" s="271">
        <f>VLOOKUP("TOTAL "&amp;$A11, 'E-2 FY2027'!$A$11:$M$160, 7,FALSE)</f>
        <v>195990839</v>
      </c>
      <c r="I11" s="257"/>
      <c r="J11" s="269">
        <f>VLOOKUP("TOTAL "&amp;$A11, 'E-2 FY2028'!$A$11:$M$160, 3,FALSE)</f>
        <v>2248113796.1301975</v>
      </c>
      <c r="K11" s="271">
        <f>VLOOKUP("TOTAL "&amp;$A11, 'E-2 FY2028'!$A$11:$M$160, 7,FALSE)</f>
        <v>196753254.63504037</v>
      </c>
      <c r="L11" s="257"/>
      <c r="M11" s="257"/>
      <c r="N11" s="257"/>
      <c r="O11" s="257"/>
      <c r="P11" s="257"/>
      <c r="Q11" s="257"/>
      <c r="R11" s="257"/>
      <c r="S11" s="257"/>
      <c r="T11" s="257"/>
    </row>
    <row r="12" spans="1:20">
      <c r="A12" s="261" t="s">
        <v>2518</v>
      </c>
      <c r="B12" s="257"/>
      <c r="C12" s="257" t="s">
        <v>2519</v>
      </c>
      <c r="D12" s="269">
        <f>VLOOKUP("TOTAL "&amp;$A12, 'E-2 FY2026'!$A$11:$M$160, 3,FALSE)</f>
        <v>153660</v>
      </c>
      <c r="E12" s="271">
        <f>VLOOKUP("TOTAL "&amp;$A12, 'E-2 FY2026'!$A$11:$M$160, 7,FALSE)</f>
        <v>63932.333399999989</v>
      </c>
      <c r="F12" s="271"/>
      <c r="G12" s="269">
        <f>VLOOKUP("TOTAL "&amp;$A12, 'E-2 FY2027'!$A$11:$M$160, 3,FALSE)</f>
        <v>150000</v>
      </c>
      <c r="H12" s="271">
        <f>VLOOKUP("TOTAL "&amp;$A12, 'E-2 FY2027'!$A$11:$M$160, 7,FALSE)</f>
        <v>63623.099999999991</v>
      </c>
      <c r="I12" s="257"/>
      <c r="J12" s="269">
        <f>VLOOKUP("TOTAL "&amp;$A12, 'E-2 FY2028'!$A$11:$M$160, 3,FALSE)</f>
        <v>153660</v>
      </c>
      <c r="K12" s="271">
        <f>VLOOKUP("TOTAL "&amp;$A12, 'E-2 FY2028'!$A$11:$M$160, 7,FALSE)</f>
        <v>63932.333399999989</v>
      </c>
      <c r="L12" s="257"/>
      <c r="M12" s="257"/>
      <c r="N12" s="257"/>
      <c r="O12" s="257"/>
      <c r="P12" s="257"/>
      <c r="Q12" s="257"/>
      <c r="R12" s="257"/>
      <c r="S12" s="257"/>
      <c r="T12" s="257"/>
    </row>
    <row r="13" spans="1:20">
      <c r="A13" s="349" t="s">
        <v>2520</v>
      </c>
      <c r="B13" s="264"/>
      <c r="C13" s="264" t="s">
        <v>2521</v>
      </c>
      <c r="D13" s="269">
        <f>VLOOKUP("TOTAL "&amp;$A13, 'E-2 FY2026'!$A$11:$M$160, 3,FALSE)</f>
        <v>16455131.999999998</v>
      </c>
      <c r="E13" s="271">
        <f>VLOOKUP("TOTAL "&amp;$A13, 'E-2 FY2026'!$A$11:$M$160, 7,FALSE)</f>
        <v>1538194.1026799998</v>
      </c>
      <c r="F13" s="271"/>
      <c r="G13" s="269">
        <f>VLOOKUP("TOTAL "&amp;$A13, 'E-2 FY2027'!$A$11:$M$160, 3,FALSE)</f>
        <v>16450000</v>
      </c>
      <c r="H13" s="271">
        <f>VLOOKUP("TOTAL "&amp;$A13, 'E-2 FY2027'!$A$11:$M$160, 7,FALSE)</f>
        <v>1537760.5</v>
      </c>
      <c r="I13" s="257"/>
      <c r="J13" s="269">
        <f>VLOOKUP("TOTAL "&amp;$A13, 'E-2 FY2028'!$A$11:$M$160, 3,FALSE)</f>
        <v>16455131.999999998</v>
      </c>
      <c r="K13" s="271">
        <f>VLOOKUP("TOTAL "&amp;$A13, 'E-2 FY2028'!$A$11:$M$160, 7,FALSE)</f>
        <v>1538194.1026799998</v>
      </c>
      <c r="L13" s="257"/>
      <c r="M13" s="257"/>
      <c r="N13" s="257"/>
      <c r="O13" s="257"/>
      <c r="P13" s="257"/>
      <c r="Q13" s="257"/>
      <c r="R13" s="257"/>
      <c r="S13" s="257"/>
      <c r="T13" s="257"/>
    </row>
    <row r="14" spans="1:20">
      <c r="A14" s="350"/>
      <c r="B14" s="298"/>
      <c r="C14" s="298" t="s">
        <v>2522</v>
      </c>
      <c r="D14" s="299">
        <f>SUM(D11:D13)</f>
        <v>2257409799.6701174</v>
      </c>
      <c r="E14" s="300">
        <f>SUM(E11:E13)</f>
        <v>197734848.57412821</v>
      </c>
      <c r="F14" s="271"/>
      <c r="G14" s="299">
        <f>SUM(G11:G13)</f>
        <v>2255700000</v>
      </c>
      <c r="H14" s="300">
        <f>SUM(H11:H13)</f>
        <v>197592222.59999999</v>
      </c>
      <c r="I14" s="257"/>
      <c r="J14" s="299">
        <f>SUM(J11:J13)</f>
        <v>2264722588.1301975</v>
      </c>
      <c r="K14" s="300">
        <f>SUM(K11:K13)</f>
        <v>198355381.07112038</v>
      </c>
      <c r="L14" s="257"/>
      <c r="M14" s="257"/>
      <c r="N14" s="257"/>
      <c r="O14" s="257"/>
      <c r="P14" s="257"/>
      <c r="Q14" s="257"/>
      <c r="R14" s="257"/>
      <c r="S14" s="257"/>
      <c r="T14" s="257"/>
    </row>
    <row r="15" spans="1:20">
      <c r="A15" s="261"/>
      <c r="B15" s="1246"/>
      <c r="C15" s="1246"/>
      <c r="D15" s="257"/>
      <c r="E15" s="257"/>
      <c r="F15" s="257"/>
      <c r="G15" s="257"/>
      <c r="H15" s="257"/>
      <c r="I15" s="257"/>
      <c r="J15" s="257"/>
      <c r="K15" s="257"/>
      <c r="L15" s="257"/>
      <c r="M15" s="257"/>
      <c r="N15" s="257"/>
      <c r="O15" s="257"/>
      <c r="P15" s="257"/>
      <c r="Q15" s="257"/>
      <c r="R15" s="257"/>
      <c r="S15" s="257"/>
      <c r="T15" s="257"/>
    </row>
    <row r="16" spans="1:20" ht="26.25">
      <c r="A16" s="261" t="s">
        <v>2523</v>
      </c>
      <c r="B16" s="257"/>
      <c r="C16" s="297" t="s">
        <v>2524</v>
      </c>
      <c r="D16" s="269">
        <f>VLOOKUP("TOTAL "&amp;$A16, 'E-2 FY2026'!$A$11:$M$160, 3,FALSE)</f>
        <v>3803886302.7937751</v>
      </c>
      <c r="E16" s="271">
        <f>VLOOKUP("TOTAL "&amp;$A16, 'E-2 FY2026'!$A$11:$M$160, 7,FALSE)</f>
        <v>335314141.84284669</v>
      </c>
      <c r="F16" s="271"/>
      <c r="G16" s="269">
        <f>VLOOKUP("TOTAL "&amp;$A16, 'E-2 FY2027'!$A$11:$M$160, 3,FALSE)</f>
        <v>3797654636.5215216</v>
      </c>
      <c r="H16" s="271">
        <f>VLOOKUP("TOTAL "&amp;$A16, 'E-2 FY2027'!$A$11:$M$160, 7,FALSE)</f>
        <v>335025289.85601199</v>
      </c>
      <c r="I16" s="257"/>
      <c r="J16" s="269">
        <f>VLOOKUP("TOTAL "&amp;$A16, 'E-2 FY2028'!$A$11:$M$160, 3,FALSE)</f>
        <v>3810097584.1426086</v>
      </c>
      <c r="K16" s="271">
        <f>VLOOKUP("TOTAL "&amp;$A16, 'E-2 FY2028'!$A$11:$M$160, 7,FALSE)</f>
        <v>335611679.12846386</v>
      </c>
      <c r="L16" s="257"/>
      <c r="M16" s="257"/>
      <c r="N16" s="257"/>
      <c r="O16" s="257"/>
      <c r="P16" s="257"/>
      <c r="Q16" s="257"/>
      <c r="R16" s="257"/>
      <c r="S16" s="257"/>
      <c r="T16" s="257"/>
    </row>
    <row r="17" spans="1:20" ht="26.25">
      <c r="A17" s="261" t="s">
        <v>2525</v>
      </c>
      <c r="B17" s="257"/>
      <c r="C17" s="297" t="s">
        <v>2526</v>
      </c>
      <c r="D17" s="269">
        <f>VLOOKUP("TOTAL "&amp;$A17, 'E-2 FY2026'!$A$11:$M$160, 3,FALSE)</f>
        <v>6058689.1528683677</v>
      </c>
      <c r="E17" s="271">
        <f>VLOOKUP("TOTAL "&amp;$A17, 'E-2 FY2026'!$A$11:$M$160, 7,FALSE)</f>
        <v>406943.68499734544</v>
      </c>
      <c r="F17" s="271"/>
      <c r="G17" s="269">
        <f>VLOOKUP("TOTAL "&amp;$A17, 'E-2 FY2027'!$A$11:$M$160, 3,FALSE)</f>
        <v>6100000</v>
      </c>
      <c r="H17" s="271">
        <f>VLOOKUP("TOTAL "&amp;$A17, 'E-2 FY2027'!$A$11:$M$160, 7,FALSE)</f>
        <v>407689</v>
      </c>
      <c r="I17" s="257"/>
      <c r="J17" s="269">
        <f>VLOOKUP("TOTAL "&amp;$A17, 'E-2 FY2028'!$A$11:$M$160, 3,FALSE)</f>
        <v>6079358.2266506385</v>
      </c>
      <c r="K17" s="271">
        <f>VLOOKUP("TOTAL "&amp;$A17, 'E-2 FY2028'!$A$11:$M$160, 7,FALSE)</f>
        <v>407704.69556213234</v>
      </c>
      <c r="L17" s="257"/>
      <c r="M17" s="257"/>
      <c r="N17" s="257"/>
      <c r="O17" s="257"/>
      <c r="P17" s="257"/>
      <c r="Q17" s="257"/>
      <c r="R17" s="257"/>
      <c r="S17" s="257"/>
      <c r="T17" s="257"/>
    </row>
    <row r="18" spans="1:20">
      <c r="A18" s="298"/>
      <c r="B18" s="298"/>
      <c r="C18" s="298" t="s">
        <v>2527</v>
      </c>
      <c r="D18" s="299">
        <f>SUM(D16:D17)</f>
        <v>3809944991.9466434</v>
      </c>
      <c r="E18" s="300">
        <f>SUM(E16:E17)</f>
        <v>335721085.52784401</v>
      </c>
      <c r="F18" s="271"/>
      <c r="G18" s="299">
        <f>SUM(G16:G17)</f>
        <v>3803754636.5215216</v>
      </c>
      <c r="H18" s="300">
        <f>SUM(H16:H17)</f>
        <v>335432978.85601199</v>
      </c>
      <c r="I18" s="257"/>
      <c r="J18" s="299">
        <f>SUM(J16:J17)</f>
        <v>3816176942.3692594</v>
      </c>
      <c r="K18" s="300">
        <f>SUM(K16:K17)</f>
        <v>336019383.82402599</v>
      </c>
      <c r="L18" s="257"/>
      <c r="M18" s="257"/>
      <c r="N18" s="257"/>
      <c r="O18" s="257"/>
      <c r="P18" s="257"/>
      <c r="Q18" s="257"/>
      <c r="R18" s="257"/>
      <c r="S18" s="257"/>
      <c r="T18" s="257"/>
    </row>
    <row r="19" spans="1:20">
      <c r="A19" s="257"/>
      <c r="B19" s="1246"/>
      <c r="C19" s="1246"/>
      <c r="D19" s="257"/>
      <c r="E19" s="257"/>
      <c r="F19" s="257"/>
      <c r="G19" s="257"/>
      <c r="H19" s="257"/>
      <c r="I19" s="257"/>
      <c r="J19" s="257"/>
      <c r="K19" s="257"/>
      <c r="L19" s="257"/>
      <c r="M19" s="257"/>
      <c r="N19" s="257"/>
      <c r="O19" s="257"/>
      <c r="P19" s="257"/>
      <c r="Q19" s="257"/>
      <c r="R19" s="257"/>
      <c r="S19" s="257"/>
      <c r="T19" s="257"/>
    </row>
    <row r="20" spans="1:20">
      <c r="A20" s="261" t="s">
        <v>2528</v>
      </c>
      <c r="B20" s="257"/>
      <c r="C20" s="280" t="s">
        <v>2529</v>
      </c>
      <c r="D20" s="269">
        <f>VLOOKUP("TOTAL "&amp;$A20, 'E-2 FY2026'!$A$11:$M$160, 3,FALSE)</f>
        <v>2686660002.6001067</v>
      </c>
      <c r="E20" s="271">
        <f>VLOOKUP("TOTAL "&amp;$A20, 'E-2 FY2026'!$A$11:$M$160, 7,FALSE)</f>
        <v>157117220.75191283</v>
      </c>
      <c r="F20" s="271"/>
      <c r="G20" s="269">
        <f>VLOOKUP("TOTAL "&amp;$A20, 'E-2 FY2027'!$A$11:$M$160, 3,FALSE)</f>
        <v>2624493598.1999998</v>
      </c>
      <c r="H20" s="271">
        <f>VLOOKUP("TOTAL "&amp;$A20, 'E-2 FY2027'!$A$11:$M$160, 7,FALSE)</f>
        <v>151415127.1415</v>
      </c>
      <c r="I20" s="257"/>
      <c r="J20" s="269">
        <f>VLOOKUP("TOTAL "&amp;$A20, 'E-2 FY2028'!$A$11:$M$160, 3,FALSE)</f>
        <v>2607211512.7923584</v>
      </c>
      <c r="K20" s="271">
        <f>VLOOKUP("TOTAL "&amp;$A20, 'E-2 FY2028'!$A$11:$M$160, 7,FALSE)</f>
        <v>150853494.56575161</v>
      </c>
      <c r="L20" s="257"/>
      <c r="M20" s="257"/>
      <c r="N20" s="257"/>
      <c r="O20" s="257"/>
      <c r="P20" s="257"/>
      <c r="Q20" s="257"/>
      <c r="R20" s="257"/>
      <c r="S20" s="257"/>
      <c r="T20" s="257"/>
    </row>
    <row r="21" spans="1:20">
      <c r="A21" s="261" t="s">
        <v>2530</v>
      </c>
      <c r="B21" s="257"/>
      <c r="C21" s="257" t="s">
        <v>2531</v>
      </c>
      <c r="D21" s="269">
        <f>VLOOKUP("TOTAL "&amp;$A21, 'E-2 FY2026'!$A$11:$M$160, 3,FALSE)</f>
        <v>308670217.41249907</v>
      </c>
      <c r="E21" s="271">
        <f>VLOOKUP("TOTAL "&amp;$A21, 'E-2 FY2026'!$A$11:$M$160, 7,FALSE)</f>
        <v>17290366.27444962</v>
      </c>
      <c r="F21" s="271"/>
      <c r="G21" s="269">
        <f>VLOOKUP("TOTAL "&amp;$A21, 'E-2 FY2027'!$A$11:$M$160, 3,FALSE)</f>
        <v>289200000</v>
      </c>
      <c r="H21" s="271">
        <f>VLOOKUP("TOTAL "&amp;$A21, 'E-2 FY2027'!$A$11:$M$160, 7,FALSE)</f>
        <v>16729556</v>
      </c>
      <c r="I21" s="257"/>
      <c r="J21" s="269">
        <f>VLOOKUP("TOTAL "&amp;$A21, 'E-2 FY2028'!$A$11:$M$160, 3,FALSE)</f>
        <v>281505068.63848573</v>
      </c>
      <c r="K21" s="271">
        <f>VLOOKUP("TOTAL "&amp;$A21, 'E-2 FY2028'!$A$11:$M$160, 7,FALSE)</f>
        <v>16508504.940147689</v>
      </c>
      <c r="L21" s="257"/>
      <c r="M21" s="257"/>
      <c r="N21" s="257"/>
      <c r="O21" s="257"/>
      <c r="P21" s="257"/>
      <c r="Q21" s="257"/>
      <c r="R21" s="257"/>
      <c r="S21" s="257"/>
      <c r="T21" s="257"/>
    </row>
    <row r="22" spans="1:20">
      <c r="A22" s="261" t="s">
        <v>2532</v>
      </c>
      <c r="B22" s="257"/>
      <c r="C22" s="257" t="s">
        <v>2533</v>
      </c>
      <c r="D22" s="269">
        <f>VLOOKUP("TOTAL "&amp;$A22, 'E-2 FY2026'!$A$11:$M$160, 3,FALSE)</f>
        <v>64792428.988055743</v>
      </c>
      <c r="E22" s="271">
        <f>VLOOKUP("TOTAL "&amp;$A22, 'E-2 FY2026'!$A$11:$M$160, 7,FALSE)</f>
        <v>2716083.0275418712</v>
      </c>
      <c r="F22" s="271"/>
      <c r="G22" s="269">
        <f>VLOOKUP("TOTAL "&amp;$A22, 'E-2 FY2027'!$A$11:$M$160, 3,FALSE)</f>
        <v>60700000</v>
      </c>
      <c r="H22" s="271">
        <f>VLOOKUP("TOTAL "&amp;$A22, 'E-2 FY2027'!$A$11:$M$160, 7,FALSE)</f>
        <v>2613936</v>
      </c>
      <c r="I22" s="257"/>
      <c r="J22" s="269">
        <f>VLOOKUP("TOTAL "&amp;$A22, 'E-2 FY2028'!$A$11:$M$160, 3,FALSE)</f>
        <v>59090240</v>
      </c>
      <c r="K22" s="271">
        <f>VLOOKUP("TOTAL "&amp;$A22, 'E-2 FY2028'!$A$11:$M$160, 7,FALSE)</f>
        <v>2573756.3903999999</v>
      </c>
      <c r="L22" s="257"/>
      <c r="M22" s="257"/>
      <c r="N22" s="257"/>
      <c r="O22" s="257"/>
      <c r="P22" s="257"/>
      <c r="Q22" s="257"/>
      <c r="R22" s="257"/>
      <c r="S22" s="257"/>
      <c r="T22" s="257"/>
    </row>
    <row r="23" spans="1:20" ht="26.25">
      <c r="A23" s="261" t="s">
        <v>2534</v>
      </c>
      <c r="B23" s="257"/>
      <c r="C23" s="297" t="s">
        <v>2535</v>
      </c>
      <c r="D23" s="269">
        <f>VLOOKUP("TOTAL "&amp;$A23, 'E-2 FY2026'!$A$11:$M$160, 3,FALSE)</f>
        <v>4433674</v>
      </c>
      <c r="E23" s="271">
        <f>VLOOKUP("TOTAL "&amp;$A23, 'E-2 FY2026'!$A$11:$M$160, 7,FALSE)</f>
        <v>1256867.0755071866</v>
      </c>
      <c r="F23" s="271"/>
      <c r="G23" s="269">
        <f>VLOOKUP("TOTAL "&amp;$A23, 'E-2 FY2027'!$A$11:$M$160, 3,FALSE)</f>
        <v>4200000</v>
      </c>
      <c r="H23" s="271">
        <f>VLOOKUP("TOTAL "&amp;$A23, 'E-2 FY2027'!$A$11:$M$160, 7,FALSE)</f>
        <v>1179807.6022808226</v>
      </c>
      <c r="I23" s="257"/>
      <c r="J23" s="269">
        <f>VLOOKUP("TOTAL "&amp;$A23, 'E-2 FY2028'!$A$11:$M$160, 3,FALSE)</f>
        <v>4043480</v>
      </c>
      <c r="K23" s="271">
        <f>VLOOKUP("TOTAL "&amp;$A23, 'E-2 FY2028'!$A$11:$M$160, 7,FALSE)</f>
        <v>1135878.9881851571</v>
      </c>
      <c r="L23" s="257"/>
      <c r="M23" s="257"/>
      <c r="N23" s="257"/>
      <c r="O23" s="257"/>
      <c r="P23" s="257"/>
      <c r="Q23" s="257"/>
      <c r="R23" s="257"/>
      <c r="S23" s="257"/>
      <c r="T23" s="257"/>
    </row>
    <row r="24" spans="1:20">
      <c r="A24" s="298"/>
      <c r="B24" s="298"/>
      <c r="C24" s="298" t="s">
        <v>2536</v>
      </c>
      <c r="D24" s="299">
        <f>SUM(D20:D23)</f>
        <v>3064556323.0006614</v>
      </c>
      <c r="E24" s="300">
        <f>SUM(E20:E23)</f>
        <v>178380537.12941152</v>
      </c>
      <c r="F24" s="271"/>
      <c r="G24" s="299">
        <f>SUM(G20:G23)</f>
        <v>2978593598.1999998</v>
      </c>
      <c r="H24" s="300">
        <f>SUM(H20:H23)</f>
        <v>171938426.74378082</v>
      </c>
      <c r="I24" s="257"/>
      <c r="J24" s="299">
        <f>SUM(J20:J23)</f>
        <v>2951850301.4308443</v>
      </c>
      <c r="K24" s="300">
        <f>SUM(K20:K23)</f>
        <v>171071634.88448447</v>
      </c>
      <c r="L24" s="257"/>
      <c r="M24" s="257"/>
      <c r="N24" s="257"/>
      <c r="O24" s="257"/>
      <c r="P24" s="257"/>
      <c r="Q24" s="257"/>
      <c r="R24" s="257"/>
      <c r="S24" s="257"/>
      <c r="T24" s="257"/>
    </row>
    <row r="25" spans="1:20">
      <c r="A25" s="257"/>
      <c r="B25" s="1246"/>
      <c r="C25" s="1246"/>
      <c r="D25" s="257"/>
      <c r="E25" s="257"/>
      <c r="F25" s="257"/>
      <c r="G25" s="257"/>
      <c r="H25" s="257"/>
      <c r="I25" s="257"/>
      <c r="J25" s="257"/>
      <c r="K25" s="257"/>
      <c r="L25" s="257"/>
      <c r="M25" s="257"/>
      <c r="N25" s="257"/>
      <c r="O25" s="257"/>
      <c r="P25" s="257"/>
      <c r="Q25" s="257"/>
      <c r="R25" s="257"/>
      <c r="S25" s="257"/>
      <c r="T25" s="257"/>
    </row>
    <row r="26" spans="1:20">
      <c r="A26" s="261" t="s">
        <v>2537</v>
      </c>
      <c r="B26" s="257"/>
      <c r="C26" s="280" t="s">
        <v>2538</v>
      </c>
      <c r="D26" s="391" t="s">
        <v>97</v>
      </c>
      <c r="E26" s="271">
        <f>'E-2 Lighting FY2026'!G132</f>
        <v>60756125.713759989</v>
      </c>
      <c r="F26" s="271"/>
      <c r="G26" s="391" t="s">
        <v>97</v>
      </c>
      <c r="H26" s="271">
        <f>'E-2 Lighting FY2027'!G132</f>
        <v>60756125.713759989</v>
      </c>
      <c r="I26" s="257"/>
      <c r="J26" s="391" t="s">
        <v>97</v>
      </c>
      <c r="K26" s="271">
        <f>'E-2 Lighting FY2028'!G132</f>
        <v>60756125.713759989</v>
      </c>
      <c r="L26" s="257"/>
      <c r="M26" s="257"/>
      <c r="N26" s="257"/>
      <c r="O26" s="257"/>
      <c r="P26" s="257"/>
      <c r="Q26" s="257"/>
      <c r="R26" s="257"/>
      <c r="S26" s="257"/>
      <c r="T26" s="257"/>
    </row>
    <row r="27" spans="1:20" ht="18.95" customHeight="1">
      <c r="A27" s="261" t="s">
        <v>2539</v>
      </c>
      <c r="B27" s="257"/>
      <c r="C27" s="301" t="s">
        <v>2540</v>
      </c>
      <c r="D27" s="269">
        <f>'E-2 Lighting FY2026'!C11</f>
        <v>3109157.565660065</v>
      </c>
      <c r="E27" s="271">
        <f>'E-2 Lighting FY2026'!G11</f>
        <v>292764.94268929714</v>
      </c>
      <c r="F27" s="271"/>
      <c r="G27" s="269">
        <f>'E-2 Lighting FY2027'!C11</f>
        <v>3109157.565660065</v>
      </c>
      <c r="H27" s="271">
        <f>'E-2 Lighting FY2027'!G11</f>
        <v>292764.94268929714</v>
      </c>
      <c r="I27" s="257"/>
      <c r="J27" s="269">
        <f>'E-2 Lighting FY2028'!C11</f>
        <v>3109157.565660065</v>
      </c>
      <c r="K27" s="271">
        <f>'E-2 Lighting FY2028'!G11</f>
        <v>292764.94268929714</v>
      </c>
      <c r="L27" s="257"/>
      <c r="M27" s="257"/>
      <c r="N27" s="257"/>
      <c r="O27" s="257"/>
      <c r="P27" s="257"/>
      <c r="Q27" s="257"/>
      <c r="R27" s="257"/>
      <c r="S27" s="257"/>
      <c r="T27" s="257"/>
    </row>
    <row r="28" spans="1:20">
      <c r="A28" s="298"/>
      <c r="B28" s="298"/>
      <c r="C28" s="298" t="s">
        <v>2541</v>
      </c>
      <c r="D28" s="299">
        <f>D27</f>
        <v>3109157.565660065</v>
      </c>
      <c r="E28" s="300">
        <f>SUM(E26:E27)</f>
        <v>61048890.656449288</v>
      </c>
      <c r="F28" s="271"/>
      <c r="G28" s="299">
        <f>G27</f>
        <v>3109157.565660065</v>
      </c>
      <c r="H28" s="300">
        <f>SUM(H26:H27)</f>
        <v>61048890.656449288</v>
      </c>
      <c r="I28" s="257"/>
      <c r="J28" s="299">
        <f>J27</f>
        <v>3109157.565660065</v>
      </c>
      <c r="K28" s="300">
        <f>SUM(K26:K27)</f>
        <v>61048890.656449288</v>
      </c>
      <c r="L28" s="257"/>
      <c r="M28" s="257"/>
      <c r="N28" s="257"/>
      <c r="O28" s="257"/>
      <c r="P28" s="257"/>
      <c r="Q28" s="257"/>
      <c r="R28" s="257"/>
      <c r="S28" s="257"/>
      <c r="T28" s="257"/>
    </row>
    <row r="29" spans="1:20">
      <c r="A29" s="257"/>
      <c r="B29" s="1246"/>
      <c r="C29" s="1246"/>
      <c r="D29" s="257"/>
      <c r="E29" s="257"/>
      <c r="F29" s="257"/>
      <c r="G29" s="257"/>
      <c r="H29" s="257"/>
      <c r="I29" s="257"/>
      <c r="J29" s="257"/>
      <c r="K29" s="257"/>
      <c r="L29" s="257"/>
      <c r="M29" s="257"/>
      <c r="N29" s="257"/>
      <c r="O29" s="257"/>
      <c r="P29" s="257"/>
      <c r="Q29" s="257"/>
      <c r="R29" s="257"/>
      <c r="S29" s="257"/>
      <c r="T29" s="257"/>
    </row>
    <row r="30" spans="1:20" ht="39">
      <c r="A30" s="261" t="s">
        <v>2542</v>
      </c>
      <c r="B30" s="257"/>
      <c r="C30" s="297" t="s">
        <v>2543</v>
      </c>
      <c r="D30" s="269">
        <f>VLOOKUP("TOTAL "&amp;$A30, 'E-2 FY2026'!$A$11:$M$160, 3,FALSE)</f>
        <v>23109614.930104855</v>
      </c>
      <c r="E30" s="271">
        <f>VLOOKUP("TOTAL "&amp;$A30, 'E-2 FY2026'!$A$11:$M$160, 7,FALSE)</f>
        <v>1557783.106531179</v>
      </c>
      <c r="F30" s="271"/>
      <c r="G30" s="269">
        <f>VLOOKUP("TOTAL "&amp;$A30, 'E-2 FY2027'!$A$11:$M$160, 3,FALSE)</f>
        <v>23109615</v>
      </c>
      <c r="H30" s="271">
        <f>VLOOKUP("TOTAL "&amp;$A30, 'E-2 FY2027'!$A$11:$M$160, 7,FALSE)</f>
        <v>1557783.1108500001</v>
      </c>
      <c r="I30" s="257"/>
      <c r="J30" s="269">
        <f>VLOOKUP("TOTAL "&amp;$A30, 'E-2 FY2028'!$A$11:$M$160, 3,FALSE)</f>
        <v>23157847</v>
      </c>
      <c r="K30" s="271">
        <f>VLOOKUP("TOTAL "&amp;$A30, 'E-2 FY2028'!$A$11:$M$160, 7,FALSE)</f>
        <v>1560763.36613</v>
      </c>
      <c r="L30" s="257"/>
      <c r="M30" s="257"/>
      <c r="N30" s="257"/>
      <c r="O30" s="257"/>
      <c r="P30" s="257"/>
      <c r="Q30" s="257"/>
      <c r="R30" s="257"/>
      <c r="S30" s="257"/>
      <c r="T30" s="257"/>
    </row>
    <row r="31" spans="1:20">
      <c r="A31" s="298"/>
      <c r="B31" s="298"/>
      <c r="C31" s="298" t="s">
        <v>2544</v>
      </c>
      <c r="D31" s="299">
        <f>D30</f>
        <v>23109614.930104855</v>
      </c>
      <c r="E31" s="300">
        <f>E30</f>
        <v>1557783.106531179</v>
      </c>
      <c r="F31" s="271"/>
      <c r="G31" s="299">
        <f>G30</f>
        <v>23109615</v>
      </c>
      <c r="H31" s="300">
        <f>H30</f>
        <v>1557783.1108500001</v>
      </c>
      <c r="I31" s="257"/>
      <c r="J31" s="299">
        <f>J30</f>
        <v>23157847</v>
      </c>
      <c r="K31" s="300">
        <f>K30</f>
        <v>1560763.36613</v>
      </c>
      <c r="L31" s="257"/>
      <c r="M31" s="257"/>
      <c r="N31" s="257"/>
      <c r="O31" s="257"/>
      <c r="P31" s="257"/>
      <c r="Q31" s="257"/>
      <c r="R31" s="257"/>
      <c r="S31" s="257"/>
      <c r="T31" s="257"/>
    </row>
    <row r="32" spans="1:20">
      <c r="A32" s="257"/>
      <c r="B32" s="1247"/>
      <c r="C32" s="1247"/>
      <c r="D32" s="257"/>
      <c r="E32" s="257"/>
      <c r="F32" s="257"/>
      <c r="G32" s="257"/>
      <c r="H32" s="257"/>
      <c r="I32" s="257"/>
      <c r="J32" s="257"/>
      <c r="K32" s="257"/>
      <c r="L32" s="257"/>
      <c r="M32" s="257"/>
      <c r="N32" s="257"/>
      <c r="O32" s="257"/>
      <c r="P32" s="257"/>
      <c r="Q32" s="257"/>
      <c r="R32" s="257"/>
      <c r="S32" s="257"/>
      <c r="T32" s="257"/>
    </row>
    <row r="33" spans="1:20" ht="15.75" thickBot="1">
      <c r="A33" s="1249" t="s">
        <v>2545</v>
      </c>
      <c r="B33" s="1249"/>
      <c r="C33" s="1249"/>
      <c r="D33" s="302">
        <f>SUM(D9,D14,D18,D24,D28,D31)</f>
        <v>15575670748.210493</v>
      </c>
      <c r="E33" s="290">
        <f>SUM(E9,E14,E18,E24,E28,E31)</f>
        <v>1179202426.8818486</v>
      </c>
      <c r="F33" s="276"/>
      <c r="G33" s="302">
        <f>SUM(G9,G14,G18,G24,G28,G31)</f>
        <v>15109667007.287184</v>
      </c>
      <c r="H33" s="290">
        <f>SUM(H9,H14,H18,H24,H28,H31)</f>
        <v>1153897329.9670923</v>
      </c>
      <c r="I33" s="257"/>
      <c r="J33" s="302">
        <f>SUM(J9,J14,J18,J24,J28,J31)</f>
        <v>14782532912.160246</v>
      </c>
      <c r="K33" s="290">
        <f>SUM(K9,K14,K18,K24,K28,K31)</f>
        <v>1138445034.8482292</v>
      </c>
      <c r="L33" s="257"/>
      <c r="M33" s="257"/>
      <c r="N33" s="257"/>
      <c r="O33" s="257"/>
      <c r="P33" s="257"/>
      <c r="Q33" s="257"/>
      <c r="R33" s="257"/>
      <c r="S33" s="257"/>
      <c r="T33" s="257"/>
    </row>
    <row r="34" spans="1:20" ht="15.75" thickTop="1">
      <c r="A34" s="280"/>
      <c r="B34" s="1248"/>
      <c r="C34" s="1248"/>
      <c r="D34" s="257"/>
      <c r="E34" s="257"/>
      <c r="F34" s="257"/>
      <c r="G34" s="1248"/>
      <c r="H34" s="1248"/>
      <c r="I34" s="1248"/>
      <c r="J34" s="1248"/>
      <c r="K34" s="1246"/>
      <c r="L34" s="1246"/>
      <c r="M34" s="257"/>
      <c r="N34" s="257"/>
      <c r="O34" s="257"/>
      <c r="P34" s="257"/>
      <c r="Q34" s="257"/>
      <c r="R34" s="257"/>
      <c r="S34" s="257"/>
      <c r="T34" s="257"/>
    </row>
    <row r="35" spans="1:20">
      <c r="A35" s="280"/>
      <c r="B35" s="257"/>
      <c r="C35" s="257"/>
      <c r="D35" s="257"/>
      <c r="E35" s="271"/>
      <c r="F35" s="271"/>
      <c r="G35" s="257"/>
      <c r="H35" s="271"/>
      <c r="I35" s="257"/>
      <c r="J35" s="272"/>
      <c r="K35" s="1246"/>
      <c r="L35" s="1246"/>
      <c r="M35" s="257"/>
      <c r="N35" s="257"/>
      <c r="O35" s="257"/>
      <c r="P35" s="257"/>
      <c r="Q35" s="257"/>
      <c r="R35" s="257"/>
      <c r="S35" s="257"/>
      <c r="T35" s="257"/>
    </row>
    <row r="36" spans="1:20">
      <c r="A36" s="257"/>
      <c r="B36" s="257"/>
      <c r="C36" s="257"/>
      <c r="D36" s="257"/>
      <c r="E36" s="271"/>
      <c r="F36" s="271"/>
      <c r="G36" s="257"/>
      <c r="H36" s="271"/>
      <c r="I36" s="257"/>
      <c r="J36" s="272"/>
      <c r="K36" s="1246"/>
      <c r="L36" s="1246"/>
      <c r="M36" s="257"/>
      <c r="N36" s="257"/>
      <c r="O36" s="257"/>
      <c r="P36" s="257"/>
      <c r="Q36" s="257"/>
      <c r="R36" s="257"/>
      <c r="S36" s="257"/>
      <c r="T36" s="257"/>
    </row>
    <row r="37" spans="1:20">
      <c r="A37" s="257"/>
      <c r="B37" s="1246"/>
      <c r="C37" s="1246"/>
      <c r="D37" s="257"/>
      <c r="E37" s="257"/>
      <c r="F37" s="257"/>
      <c r="G37" s="1246"/>
      <c r="H37" s="1246"/>
      <c r="I37" s="1246"/>
      <c r="J37" s="1246"/>
      <c r="K37" s="1246"/>
      <c r="L37" s="1246"/>
      <c r="M37" s="257"/>
      <c r="N37" s="257"/>
      <c r="O37" s="257"/>
      <c r="P37" s="257"/>
      <c r="Q37" s="257"/>
      <c r="R37" s="257"/>
      <c r="S37" s="257"/>
      <c r="T37" s="257"/>
    </row>
    <row r="38" spans="1:20">
      <c r="A38" s="257"/>
      <c r="B38" s="257"/>
      <c r="C38" s="257"/>
      <c r="D38" s="269"/>
      <c r="E38" s="257"/>
      <c r="F38" s="257"/>
      <c r="G38" s="1246"/>
      <c r="H38" s="1246"/>
      <c r="I38" s="1246"/>
      <c r="J38" s="1246"/>
      <c r="K38" s="1246"/>
      <c r="L38" s="1246"/>
      <c r="M38" s="257"/>
      <c r="N38" s="257"/>
      <c r="O38" s="257"/>
      <c r="P38" s="257"/>
      <c r="Q38" s="257"/>
      <c r="R38" s="257"/>
      <c r="S38" s="257"/>
      <c r="T38" s="257"/>
    </row>
    <row r="39" spans="1:20">
      <c r="A39" s="257"/>
      <c r="B39" s="1246"/>
      <c r="C39" s="1246"/>
      <c r="D39" s="257"/>
      <c r="E39" s="257"/>
      <c r="F39" s="257"/>
      <c r="G39" s="257"/>
      <c r="H39" s="271"/>
      <c r="I39" s="1246"/>
      <c r="J39" s="1246"/>
      <c r="K39" s="1246"/>
      <c r="L39" s="1246"/>
      <c r="M39" s="257"/>
      <c r="N39" s="257"/>
      <c r="O39" s="257"/>
      <c r="P39" s="257"/>
      <c r="Q39" s="257"/>
      <c r="R39" s="257"/>
      <c r="S39" s="257"/>
      <c r="T39" s="257"/>
    </row>
    <row r="40" spans="1:20">
      <c r="A40" s="257"/>
      <c r="B40" s="1246"/>
      <c r="C40" s="1246"/>
      <c r="D40" s="296"/>
      <c r="E40" s="257"/>
      <c r="F40" s="257"/>
      <c r="G40" s="1246"/>
      <c r="H40" s="1246"/>
      <c r="I40" s="1246"/>
      <c r="J40" s="1246"/>
      <c r="K40" s="1246"/>
      <c r="L40" s="1246"/>
      <c r="M40" s="257"/>
      <c r="N40" s="257"/>
      <c r="O40" s="257"/>
      <c r="P40" s="257"/>
      <c r="Q40" s="257"/>
      <c r="R40" s="257"/>
      <c r="S40" s="257"/>
      <c r="T40" s="257"/>
    </row>
    <row r="41" spans="1:20">
      <c r="A41" s="257"/>
      <c r="B41" s="1246"/>
      <c r="C41" s="1246"/>
      <c r="D41" s="257"/>
      <c r="E41" s="257"/>
      <c r="F41" s="257"/>
      <c r="G41" s="257"/>
      <c r="H41" s="271"/>
      <c r="I41" s="1246"/>
      <c r="J41" s="1246"/>
      <c r="K41" s="1246"/>
      <c r="L41" s="1246"/>
      <c r="M41" s="257"/>
      <c r="N41" s="257"/>
      <c r="O41" s="257"/>
      <c r="P41" s="257"/>
      <c r="Q41" s="257"/>
      <c r="R41" s="257"/>
      <c r="S41" s="257"/>
      <c r="T41" s="257"/>
    </row>
    <row r="42" spans="1:20">
      <c r="A42" s="257"/>
      <c r="B42" s="1246"/>
      <c r="C42" s="1246"/>
      <c r="D42" s="296"/>
      <c r="E42" s="257"/>
      <c r="F42" s="257"/>
      <c r="G42" s="1246"/>
      <c r="H42" s="1246"/>
      <c r="I42" s="1246"/>
      <c r="J42" s="1246"/>
      <c r="K42" s="1246"/>
      <c r="L42" s="1246"/>
      <c r="M42" s="257"/>
      <c r="N42" s="257"/>
      <c r="O42" s="257"/>
      <c r="P42" s="257"/>
      <c r="Q42" s="257"/>
      <c r="R42" s="257"/>
      <c r="S42" s="257"/>
      <c r="T42" s="257"/>
    </row>
  </sheetData>
  <mergeCells count="40">
    <mergeCell ref="B4:C4"/>
    <mergeCell ref="I4:J4"/>
    <mergeCell ref="K4:L4"/>
    <mergeCell ref="D1:E1"/>
    <mergeCell ref="G1:H1"/>
    <mergeCell ref="J1:K1"/>
    <mergeCell ref="B10:C10"/>
    <mergeCell ref="B15:C15"/>
    <mergeCell ref="B25:C25"/>
    <mergeCell ref="B19:C19"/>
    <mergeCell ref="B29:C29"/>
    <mergeCell ref="B32:C32"/>
    <mergeCell ref="B34:C34"/>
    <mergeCell ref="G34:H34"/>
    <mergeCell ref="I34:J34"/>
    <mergeCell ref="K34:L34"/>
    <mergeCell ref="A33:C33"/>
    <mergeCell ref="K35:L35"/>
    <mergeCell ref="K36:L36"/>
    <mergeCell ref="B37:C37"/>
    <mergeCell ref="G37:H37"/>
    <mergeCell ref="I37:J37"/>
    <mergeCell ref="K37:L37"/>
    <mergeCell ref="G38:H38"/>
    <mergeCell ref="I38:J38"/>
    <mergeCell ref="K38:L38"/>
    <mergeCell ref="B39:C39"/>
    <mergeCell ref="I39:J39"/>
    <mergeCell ref="K39:L39"/>
    <mergeCell ref="B42:C42"/>
    <mergeCell ref="G42:H42"/>
    <mergeCell ref="I42:J42"/>
    <mergeCell ref="K42:L42"/>
    <mergeCell ref="B40:C40"/>
    <mergeCell ref="G40:H40"/>
    <mergeCell ref="I40:J40"/>
    <mergeCell ref="K40:L40"/>
    <mergeCell ref="B41:C41"/>
    <mergeCell ref="I41:J41"/>
    <mergeCell ref="K41:L41"/>
  </mergeCells>
  <pageMargins left="0.7" right="0.7" top="0.75" bottom="0.75" header="0.3" footer="0.3"/>
  <pageSetup scale="67" fitToHeight="0" orientation="portrait" horizontalDpi="1200" verticalDpi="1200" r:id="rId1"/>
  <headerFooter>
    <oddHeader>&amp;LPuerto Rico Electric Power Authority 
Docket NEPR-AP-2023-0003
Revenues at Present Rates&amp;RSchedule E-1
Page &amp;P of &amp;N</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B015B-B4D8-4FFB-A48C-62A58DEBFDA6}">
  <sheetPr>
    <tabColor theme="8" tint="0.79998168889431442"/>
  </sheetPr>
  <dimension ref="A1:Q159"/>
  <sheetViews>
    <sheetView workbookViewId="0"/>
    <sheetView workbookViewId="1"/>
    <sheetView workbookViewId="2"/>
  </sheetViews>
  <sheetFormatPr defaultColWidth="8.42578125" defaultRowHeight="12.75"/>
  <cols>
    <col min="1" max="1" width="32.140625" style="318" customWidth="1"/>
    <col min="2" max="2" width="1.5703125" style="318" customWidth="1"/>
    <col min="3" max="3" width="15.85546875" style="318" customWidth="1"/>
    <col min="4" max="4" width="8.85546875" style="318" customWidth="1"/>
    <col min="5" max="5" width="8" style="318" customWidth="1"/>
    <col min="6" max="6" width="1.5703125" style="318" customWidth="1"/>
    <col min="7" max="7" width="14.140625" style="318" customWidth="1"/>
    <col min="8" max="8" width="1.5703125" style="318" hidden="1" customWidth="1"/>
    <col min="9" max="9" width="15.5703125" style="318" hidden="1" customWidth="1"/>
    <col min="10" max="10" width="10.5703125" style="318" hidden="1" customWidth="1"/>
    <col min="11" max="11" width="8" style="318" hidden="1" customWidth="1"/>
    <col min="12" max="12" width="1.5703125" style="318" hidden="1" customWidth="1"/>
    <col min="13" max="13" width="13.140625" style="318" hidden="1" customWidth="1"/>
    <col min="14" max="14" width="1.5703125" style="318" hidden="1" customWidth="1"/>
    <col min="15" max="15" width="13" style="318" hidden="1" customWidth="1"/>
    <col min="16" max="16" width="0" style="318" hidden="1" customWidth="1"/>
    <col min="17" max="17" width="12.140625" style="318" hidden="1" customWidth="1"/>
    <col min="18" max="16384" width="8.42578125" style="318"/>
  </cols>
  <sheetData>
    <row r="1" spans="1:17">
      <c r="A1" s="119"/>
      <c r="B1" s="119"/>
      <c r="C1" s="119"/>
      <c r="D1" s="119"/>
      <c r="E1" s="119"/>
      <c r="F1" s="119"/>
      <c r="G1" s="119"/>
      <c r="H1" s="119"/>
      <c r="I1" s="119"/>
      <c r="J1" s="119"/>
      <c r="K1" s="119"/>
      <c r="L1" s="119"/>
      <c r="M1" s="119"/>
      <c r="N1" s="119"/>
      <c r="O1" s="119"/>
      <c r="P1" s="119"/>
      <c r="Q1" s="119"/>
    </row>
    <row r="2" spans="1:17">
      <c r="A2" s="119"/>
      <c r="B2" s="119"/>
      <c r="C2" s="120" t="s">
        <v>2503</v>
      </c>
      <c r="D2" s="119"/>
      <c r="E2" s="119"/>
      <c r="F2" s="119"/>
      <c r="G2" s="119"/>
      <c r="H2" s="119"/>
      <c r="I2" s="120" t="s">
        <v>2546</v>
      </c>
      <c r="J2" s="119"/>
      <c r="K2" s="119"/>
      <c r="L2" s="119"/>
      <c r="M2" s="119"/>
      <c r="N2" s="119"/>
      <c r="O2" s="118" t="s">
        <v>2547</v>
      </c>
      <c r="P2" s="118"/>
      <c r="Q2" s="118"/>
    </row>
    <row r="3" spans="1:17">
      <c r="A3" s="119"/>
      <c r="B3" s="119"/>
      <c r="C3" s="120" t="s">
        <v>2548</v>
      </c>
      <c r="D3" s="120" t="s">
        <v>2503</v>
      </c>
      <c r="E3" s="120"/>
      <c r="F3" s="120"/>
      <c r="G3" s="120" t="s">
        <v>2503</v>
      </c>
      <c r="H3" s="120"/>
      <c r="I3" s="120" t="s">
        <v>2548</v>
      </c>
      <c r="J3" s="120" t="s">
        <v>2546</v>
      </c>
      <c r="K3" s="120"/>
      <c r="L3" s="120"/>
      <c r="M3" s="120" t="s">
        <v>2546</v>
      </c>
      <c r="N3" s="120"/>
      <c r="O3" s="118" t="s">
        <v>2549</v>
      </c>
      <c r="P3" s="118"/>
      <c r="Q3" s="118"/>
    </row>
    <row r="4" spans="1:17">
      <c r="A4" s="121" t="s">
        <v>2550</v>
      </c>
      <c r="B4" s="121"/>
      <c r="C4" s="122" t="s">
        <v>2551</v>
      </c>
      <c r="D4" s="122" t="s">
        <v>2552</v>
      </c>
      <c r="E4" s="122"/>
      <c r="F4" s="122"/>
      <c r="G4" s="122" t="s">
        <v>2506</v>
      </c>
      <c r="H4" s="122"/>
      <c r="I4" s="122" t="s">
        <v>2551</v>
      </c>
      <c r="J4" s="122" t="s">
        <v>2552</v>
      </c>
      <c r="K4" s="122"/>
      <c r="L4" s="122"/>
      <c r="M4" s="122" t="s">
        <v>2506</v>
      </c>
      <c r="N4" s="122"/>
      <c r="O4" s="122" t="s">
        <v>2553</v>
      </c>
      <c r="P4" s="122"/>
      <c r="Q4" s="122" t="s">
        <v>2554</v>
      </c>
    </row>
    <row r="5" spans="1:17">
      <c r="A5" s="119"/>
      <c r="B5" s="119"/>
      <c r="C5" s="119"/>
      <c r="D5" s="119"/>
      <c r="E5" s="119"/>
      <c r="F5" s="119"/>
      <c r="G5" s="119"/>
      <c r="H5" s="119"/>
      <c r="I5" s="119"/>
      <c r="J5" s="119"/>
      <c r="K5" s="119"/>
      <c r="L5" s="119"/>
      <c r="M5" s="119"/>
      <c r="N5" s="119"/>
      <c r="O5" s="119"/>
      <c r="P5" s="119"/>
      <c r="Q5" s="119"/>
    </row>
    <row r="6" spans="1:17">
      <c r="A6" s="123" t="s">
        <v>2555</v>
      </c>
      <c r="B6" s="123"/>
      <c r="C6" s="119"/>
      <c r="D6" s="119"/>
      <c r="E6" s="119"/>
      <c r="F6" s="119"/>
      <c r="G6" s="119"/>
      <c r="H6" s="119"/>
      <c r="I6" s="124"/>
      <c r="J6" s="119"/>
      <c r="K6" s="119"/>
      <c r="L6" s="119"/>
      <c r="M6" s="119"/>
      <c r="N6" s="119"/>
      <c r="O6" s="119"/>
      <c r="P6" s="119"/>
      <c r="Q6" s="119"/>
    </row>
    <row r="7" spans="1:17">
      <c r="A7" s="119"/>
      <c r="B7" s="119"/>
      <c r="C7" s="119"/>
      <c r="D7" s="119"/>
      <c r="E7" s="119"/>
      <c r="F7" s="119"/>
      <c r="G7" s="119"/>
      <c r="H7" s="119"/>
      <c r="I7" s="124"/>
      <c r="J7" s="119"/>
      <c r="K7" s="119"/>
      <c r="L7" s="119"/>
      <c r="M7" s="119"/>
      <c r="N7" s="119"/>
      <c r="O7" s="119"/>
      <c r="P7" s="119"/>
      <c r="Q7" s="119"/>
    </row>
    <row r="8" spans="1:17">
      <c r="A8" s="119" t="s">
        <v>2556</v>
      </c>
      <c r="B8" s="119"/>
      <c r="C8" s="125">
        <f>'C-8'!M7</f>
        <v>1198265.6666666667</v>
      </c>
      <c r="D8" s="126">
        <v>4</v>
      </c>
      <c r="E8" s="119" t="s">
        <v>2557</v>
      </c>
      <c r="F8" s="127"/>
      <c r="G8" s="128">
        <f>C8*D8*12</f>
        <v>57516752</v>
      </c>
      <c r="H8" s="119"/>
      <c r="I8" s="319">
        <v>1171166</v>
      </c>
      <c r="J8" s="126">
        <v>15</v>
      </c>
      <c r="K8" s="119" t="s">
        <v>2557</v>
      </c>
      <c r="L8" s="127"/>
      <c r="M8" s="128">
        <v>210809880</v>
      </c>
      <c r="N8" s="128"/>
      <c r="O8" s="128">
        <v>154593912</v>
      </c>
      <c r="P8" s="128"/>
      <c r="Q8" s="130">
        <v>2.75</v>
      </c>
    </row>
    <row r="9" spans="1:17">
      <c r="A9" s="119"/>
      <c r="B9" s="119"/>
      <c r="C9" s="131"/>
      <c r="D9" s="132"/>
      <c r="E9" s="119"/>
      <c r="F9" s="119"/>
      <c r="G9" s="119"/>
      <c r="H9" s="119"/>
      <c r="I9" s="131"/>
      <c r="J9" s="132"/>
      <c r="K9" s="119"/>
      <c r="L9" s="119"/>
      <c r="M9" s="119"/>
      <c r="N9" s="119"/>
      <c r="O9" s="119"/>
      <c r="P9" s="119"/>
      <c r="Q9" s="119"/>
    </row>
    <row r="10" spans="1:17">
      <c r="A10" s="119" t="s">
        <v>2558</v>
      </c>
      <c r="B10" s="119"/>
      <c r="C10" s="125"/>
      <c r="D10" s="132"/>
      <c r="E10" s="119"/>
      <c r="F10" s="119"/>
      <c r="G10" s="119"/>
      <c r="H10" s="119"/>
      <c r="I10" s="131"/>
      <c r="J10" s="132"/>
      <c r="K10" s="119"/>
      <c r="L10" s="119"/>
      <c r="M10" s="119"/>
      <c r="N10" s="119"/>
      <c r="O10" s="119"/>
      <c r="P10" s="119"/>
      <c r="Q10" s="119"/>
    </row>
    <row r="11" spans="1:17">
      <c r="A11" s="133" t="s">
        <v>2559</v>
      </c>
      <c r="B11" s="119"/>
      <c r="C11" s="125">
        <f>'C-8'!M9</f>
        <v>3679021481.9555869</v>
      </c>
      <c r="D11" s="134">
        <v>4.9439999999999998E-2</v>
      </c>
      <c r="E11" s="135" t="s">
        <v>2560</v>
      </c>
      <c r="F11" s="119"/>
      <c r="G11" s="128">
        <f>C11*D11</f>
        <v>181890822.06788421</v>
      </c>
      <c r="H11" s="119"/>
      <c r="I11" s="125">
        <v>4930597659.9069214</v>
      </c>
      <c r="J11" s="134">
        <v>7.0000000000000007E-2</v>
      </c>
      <c r="K11" s="135" t="s">
        <v>2560</v>
      </c>
      <c r="L11" s="119"/>
      <c r="M11" s="128">
        <v>345141836</v>
      </c>
      <c r="N11" s="119"/>
      <c r="O11" s="128">
        <v>101373088</v>
      </c>
      <c r="P11" s="128"/>
      <c r="Q11" s="130">
        <v>0.41585760599999999</v>
      </c>
    </row>
    <row r="12" spans="1:17">
      <c r="A12" s="133" t="s">
        <v>2561</v>
      </c>
      <c r="B12" s="119"/>
      <c r="C12" s="125">
        <f>'C-8'!M10</f>
        <v>2123543257.746901</v>
      </c>
      <c r="D12" s="135">
        <v>5.5640000000000002E-2</v>
      </c>
      <c r="E12" s="135" t="s">
        <v>2560</v>
      </c>
      <c r="F12" s="135"/>
      <c r="G12" s="128">
        <f>C12*D12</f>
        <v>118153946.86103758</v>
      </c>
      <c r="H12" s="119"/>
      <c r="I12" s="125">
        <v>0</v>
      </c>
      <c r="J12" s="132">
        <v>8.5000000000000006E-2</v>
      </c>
      <c r="K12" s="135" t="s">
        <v>2560</v>
      </c>
      <c r="L12" s="135"/>
      <c r="M12" s="128">
        <v>0</v>
      </c>
      <c r="N12" s="128"/>
      <c r="O12" s="128">
        <v>0</v>
      </c>
      <c r="P12" s="128"/>
      <c r="Q12" s="130">
        <v>0</v>
      </c>
    </row>
    <row r="13" spans="1:17" ht="13.5" thickBot="1">
      <c r="A13" s="136" t="s">
        <v>2562</v>
      </c>
      <c r="B13" s="137"/>
      <c r="C13" s="138">
        <f>SUM(C11:C12)</f>
        <v>5802564739.7024879</v>
      </c>
      <c r="D13" s="139"/>
      <c r="E13" s="139"/>
      <c r="F13" s="139"/>
      <c r="G13" s="138">
        <f>SUM(G8:G12)</f>
        <v>357561520.92892182</v>
      </c>
      <c r="H13" s="137"/>
      <c r="I13" s="138">
        <v>4930597659.9069214</v>
      </c>
      <c r="J13" s="141"/>
      <c r="K13" s="139"/>
      <c r="L13" s="139"/>
      <c r="M13" s="140">
        <v>555951716</v>
      </c>
      <c r="N13" s="140"/>
      <c r="O13" s="140">
        <v>255967000</v>
      </c>
      <c r="P13" s="140"/>
      <c r="Q13" s="142">
        <v>0.85326680399999999</v>
      </c>
    </row>
    <row r="14" spans="1:17" ht="13.5" thickTop="1">
      <c r="A14" s="119"/>
      <c r="B14" s="119"/>
      <c r="C14" s="119"/>
      <c r="D14" s="119"/>
      <c r="E14" s="119"/>
      <c r="F14" s="119"/>
      <c r="G14" s="119"/>
      <c r="H14" s="119"/>
      <c r="I14" s="119"/>
      <c r="J14" s="119"/>
      <c r="K14" s="119"/>
      <c r="L14" s="119"/>
      <c r="M14" s="119"/>
      <c r="N14" s="119"/>
      <c r="O14" s="119"/>
      <c r="P14" s="119"/>
      <c r="Q14" s="119"/>
    </row>
    <row r="15" spans="1:17" s="321" customFormat="1">
      <c r="A15" s="680" t="s">
        <v>2563</v>
      </c>
      <c r="B15" s="680"/>
      <c r="C15" s="681"/>
      <c r="D15" s="681"/>
      <c r="E15" s="681"/>
      <c r="F15" s="681"/>
      <c r="G15" s="681"/>
      <c r="H15" s="681"/>
      <c r="I15" s="682"/>
      <c r="J15" s="681"/>
      <c r="K15" s="681"/>
      <c r="L15" s="681"/>
      <c r="M15" s="681"/>
      <c r="N15" s="681"/>
      <c r="O15" s="681"/>
      <c r="P15" s="681"/>
      <c r="Q15" s="681"/>
    </row>
    <row r="16" spans="1:17" s="321" customFormat="1">
      <c r="A16" s="681"/>
      <c r="B16" s="681"/>
      <c r="C16" s="681"/>
      <c r="D16" s="681"/>
      <c r="E16" s="681"/>
      <c r="F16" s="681"/>
      <c r="G16" s="681"/>
      <c r="H16" s="681"/>
      <c r="I16" s="682"/>
      <c r="J16" s="681"/>
      <c r="K16" s="681"/>
      <c r="L16" s="681"/>
      <c r="M16" s="681"/>
      <c r="N16" s="681"/>
      <c r="O16" s="681"/>
      <c r="P16" s="681"/>
      <c r="Q16" s="681"/>
    </row>
    <row r="17" spans="1:17" s="321" customFormat="1">
      <c r="A17" s="681" t="s">
        <v>2556</v>
      </c>
      <c r="B17" s="681"/>
      <c r="C17" s="683">
        <f>'C-8'!M14</f>
        <v>137468.5</v>
      </c>
      <c r="D17" s="684">
        <v>3</v>
      </c>
      <c r="E17" s="681" t="s">
        <v>2557</v>
      </c>
      <c r="F17" s="685"/>
      <c r="G17" s="128">
        <f>C17*D17*12</f>
        <v>4948866</v>
      </c>
      <c r="H17" s="681"/>
      <c r="I17" s="702">
        <v>156463</v>
      </c>
      <c r="J17" s="684">
        <v>3</v>
      </c>
      <c r="K17" s="681" t="s">
        <v>2557</v>
      </c>
      <c r="L17" s="685"/>
      <c r="M17" s="687">
        <v>5632668</v>
      </c>
      <c r="N17" s="687"/>
      <c r="O17" s="687">
        <v>0</v>
      </c>
      <c r="P17" s="687"/>
      <c r="Q17" s="703">
        <v>0</v>
      </c>
    </row>
    <row r="18" spans="1:17" s="321" customFormat="1">
      <c r="A18" s="681"/>
      <c r="B18" s="681"/>
      <c r="C18" s="689"/>
      <c r="D18" s="690"/>
      <c r="E18" s="681"/>
      <c r="F18" s="681"/>
      <c r="G18" s="681"/>
      <c r="H18" s="681"/>
      <c r="I18" s="689"/>
      <c r="J18" s="690"/>
      <c r="K18" s="681"/>
      <c r="L18" s="681"/>
      <c r="M18" s="681"/>
      <c r="N18" s="681"/>
      <c r="O18" s="681"/>
      <c r="P18" s="681"/>
      <c r="Q18" s="681"/>
    </row>
    <row r="19" spans="1:17" s="321" customFormat="1">
      <c r="A19" s="681" t="s">
        <v>2558</v>
      </c>
      <c r="B19" s="681"/>
      <c r="C19" s="683"/>
      <c r="D19" s="690"/>
      <c r="E19" s="681"/>
      <c r="F19" s="681"/>
      <c r="G19" s="687"/>
      <c r="H19" s="681"/>
      <c r="I19" s="689"/>
      <c r="J19" s="690"/>
      <c r="K19" s="681"/>
      <c r="L19" s="681"/>
      <c r="M19" s="681"/>
      <c r="N19" s="681"/>
      <c r="O19" s="681"/>
      <c r="P19" s="681"/>
      <c r="Q19" s="681"/>
    </row>
    <row r="20" spans="1:17" s="321" customFormat="1">
      <c r="A20" s="691" t="s">
        <v>2559</v>
      </c>
      <c r="B20" s="681"/>
      <c r="C20" s="683">
        <f>'C-8'!M16</f>
        <v>379941338.2249983</v>
      </c>
      <c r="D20" s="692">
        <v>2.0539999999999999E-2</v>
      </c>
      <c r="E20" s="693" t="s">
        <v>2560</v>
      </c>
      <c r="F20" s="681"/>
      <c r="G20" s="128">
        <f>C20*D20</f>
        <v>7803995.0871414645</v>
      </c>
      <c r="H20" s="681"/>
      <c r="I20" s="683">
        <v>433527426.08210695</v>
      </c>
      <c r="J20" s="692">
        <v>2.7189999999999999E-2</v>
      </c>
      <c r="K20" s="693" t="s">
        <v>2560</v>
      </c>
      <c r="L20" s="681"/>
      <c r="M20" s="687">
        <v>11787611</v>
      </c>
      <c r="N20" s="681"/>
      <c r="O20" s="687">
        <v>2882958</v>
      </c>
      <c r="P20" s="687"/>
      <c r="Q20" s="703">
        <v>0.32375860099999998</v>
      </c>
    </row>
    <row r="21" spans="1:17" s="321" customFormat="1">
      <c r="A21" s="691" t="s">
        <v>2561</v>
      </c>
      <c r="B21" s="681"/>
      <c r="C21" s="683">
        <f>'C-8'!M17</f>
        <v>103193501.5755908</v>
      </c>
      <c r="D21" s="693">
        <v>5.5640000000000002E-2</v>
      </c>
      <c r="E21" s="693" t="s">
        <v>2560</v>
      </c>
      <c r="F21" s="693"/>
      <c r="G21" s="128">
        <f>C21*D21</f>
        <v>5741686.4276658725</v>
      </c>
      <c r="H21" s="681"/>
      <c r="I21" s="683">
        <v>55436313.900534429</v>
      </c>
      <c r="J21" s="690">
        <v>7.3669999999999999E-2</v>
      </c>
      <c r="K21" s="693" t="s">
        <v>2560</v>
      </c>
      <c r="L21" s="693"/>
      <c r="M21" s="687">
        <v>4083993</v>
      </c>
      <c r="N21" s="687"/>
      <c r="O21" s="687">
        <v>999516</v>
      </c>
      <c r="P21" s="687"/>
      <c r="Q21" s="703">
        <v>0.324047156</v>
      </c>
    </row>
    <row r="22" spans="1:17" s="321" customFormat="1" ht="13.5" thickBot="1">
      <c r="A22" s="694" t="s">
        <v>2564</v>
      </c>
      <c r="B22" s="695"/>
      <c r="C22" s="696">
        <f>SUM(C20:C21)</f>
        <v>483134839.80058908</v>
      </c>
      <c r="D22" s="697"/>
      <c r="E22" s="697"/>
      <c r="F22" s="697"/>
      <c r="G22" s="696">
        <f>SUM(G17:G21)</f>
        <v>18494547.514807336</v>
      </c>
      <c r="H22" s="695"/>
      <c r="I22" s="696">
        <v>488963739.9826414</v>
      </c>
      <c r="J22" s="698"/>
      <c r="K22" s="697"/>
      <c r="L22" s="697"/>
      <c r="M22" s="699">
        <v>21504272</v>
      </c>
      <c r="N22" s="699"/>
      <c r="O22" s="699">
        <v>3882474</v>
      </c>
      <c r="P22" s="699"/>
      <c r="Q22" s="704">
        <v>0.22032224</v>
      </c>
    </row>
    <row r="23" spans="1:17" s="321" customFormat="1" ht="13.5" thickTop="1">
      <c r="A23" s="681"/>
      <c r="B23" s="681"/>
      <c r="C23" s="681"/>
      <c r="D23" s="681"/>
      <c r="E23" s="681"/>
      <c r="F23" s="681"/>
      <c r="G23" s="681"/>
      <c r="H23" s="681"/>
      <c r="I23" s="681"/>
      <c r="J23" s="681"/>
      <c r="K23" s="681"/>
      <c r="L23" s="681"/>
      <c r="M23" s="681"/>
      <c r="N23" s="681"/>
      <c r="O23" s="681"/>
      <c r="P23" s="681"/>
      <c r="Q23" s="681"/>
    </row>
    <row r="24" spans="1:17" s="321" customFormat="1">
      <c r="A24" s="680" t="s">
        <v>2565</v>
      </c>
      <c r="B24" s="680"/>
      <c r="C24" s="681"/>
      <c r="D24" s="681"/>
      <c r="E24" s="681"/>
      <c r="F24" s="681"/>
      <c r="G24" s="681"/>
      <c r="H24" s="681"/>
      <c r="I24" s="682"/>
      <c r="J24" s="681"/>
      <c r="K24" s="681"/>
      <c r="L24" s="681"/>
      <c r="M24" s="681"/>
      <c r="N24" s="681"/>
      <c r="O24" s="681"/>
      <c r="P24" s="681"/>
      <c r="Q24" s="681"/>
    </row>
    <row r="25" spans="1:17" s="321" customFormat="1">
      <c r="A25" s="681"/>
      <c r="B25" s="681"/>
      <c r="C25" s="681"/>
      <c r="D25" s="681"/>
      <c r="E25" s="681"/>
      <c r="F25" s="681"/>
      <c r="G25" s="681"/>
      <c r="H25" s="681"/>
      <c r="I25" s="682"/>
      <c r="J25" s="681"/>
      <c r="K25" s="681"/>
      <c r="L25" s="681"/>
      <c r="M25" s="681"/>
      <c r="N25" s="681"/>
      <c r="O25" s="681"/>
      <c r="P25" s="681"/>
      <c r="Q25" s="681"/>
    </row>
    <row r="26" spans="1:17" s="321" customFormat="1">
      <c r="A26" s="681" t="s">
        <v>2556</v>
      </c>
      <c r="B26" s="681"/>
      <c r="C26" s="683">
        <f>'C-8'!M21</f>
        <v>4377.4166666666661</v>
      </c>
      <c r="D26" s="684">
        <v>2</v>
      </c>
      <c r="E26" s="681" t="s">
        <v>2557</v>
      </c>
      <c r="F26" s="685"/>
      <c r="G26" s="128">
        <f>C26*D26*12</f>
        <v>105057.99999999999</v>
      </c>
      <c r="H26" s="681"/>
      <c r="I26" s="702">
        <v>5169</v>
      </c>
      <c r="J26" s="684">
        <v>2</v>
      </c>
      <c r="K26" s="681" t="s">
        <v>2557</v>
      </c>
      <c r="L26" s="685"/>
      <c r="M26" s="687">
        <v>124056</v>
      </c>
      <c r="N26" s="687"/>
      <c r="O26" s="687">
        <v>0</v>
      </c>
      <c r="P26" s="687"/>
      <c r="Q26" s="703">
        <v>0</v>
      </c>
    </row>
    <row r="27" spans="1:17" s="321" customFormat="1">
      <c r="A27" s="681"/>
      <c r="B27" s="681"/>
      <c r="C27" s="689"/>
      <c r="D27" s="690"/>
      <c r="E27" s="681"/>
      <c r="F27" s="681"/>
      <c r="G27" s="681"/>
      <c r="H27" s="681"/>
      <c r="I27" s="689"/>
      <c r="J27" s="690"/>
      <c r="K27" s="681"/>
      <c r="L27" s="681"/>
      <c r="M27" s="681"/>
      <c r="N27" s="681"/>
      <c r="O27" s="681"/>
      <c r="P27" s="681"/>
      <c r="Q27" s="681"/>
    </row>
    <row r="28" spans="1:17" s="321" customFormat="1">
      <c r="A28" s="681" t="s">
        <v>2558</v>
      </c>
      <c r="B28" s="681"/>
      <c r="C28" s="683"/>
      <c r="D28" s="690"/>
      <c r="E28" s="681"/>
      <c r="F28" s="681"/>
      <c r="G28" s="681"/>
      <c r="H28" s="681"/>
      <c r="I28" s="689"/>
      <c r="J28" s="690"/>
      <c r="K28" s="681"/>
      <c r="L28" s="681"/>
      <c r="M28" s="681"/>
      <c r="N28" s="681"/>
      <c r="O28" s="681"/>
      <c r="P28" s="681"/>
      <c r="Q28" s="681"/>
    </row>
    <row r="29" spans="1:17" s="321" customFormat="1">
      <c r="A29" s="691" t="s">
        <v>2559</v>
      </c>
      <c r="B29" s="681"/>
      <c r="C29" s="683">
        <f>'C-8'!M23</f>
        <v>12437032.118020106</v>
      </c>
      <c r="D29" s="692">
        <v>6.94E-3</v>
      </c>
      <c r="E29" s="693" t="s">
        <v>2560</v>
      </c>
      <c r="F29" s="681"/>
      <c r="G29" s="128">
        <f>C29*D29</f>
        <v>86313.002899059531</v>
      </c>
      <c r="H29" s="681"/>
      <c r="I29" s="683">
        <v>14568400.214777408</v>
      </c>
      <c r="J29" s="692">
        <v>9.1900000000000003E-3</v>
      </c>
      <c r="K29" s="693" t="s">
        <v>2560</v>
      </c>
      <c r="L29" s="681"/>
      <c r="M29" s="687">
        <v>133884</v>
      </c>
      <c r="N29" s="681"/>
      <c r="O29" s="687">
        <v>32779</v>
      </c>
      <c r="P29" s="687"/>
      <c r="Q29" s="703">
        <v>0.32420750700000001</v>
      </c>
    </row>
    <row r="30" spans="1:17" s="321" customFormat="1">
      <c r="A30" s="691" t="s">
        <v>2561</v>
      </c>
      <c r="B30" s="681"/>
      <c r="C30" s="683">
        <f>'C-8'!M24</f>
        <v>4942827.7268347908</v>
      </c>
      <c r="D30" s="693">
        <v>5.5640000000000002E-2</v>
      </c>
      <c r="E30" s="693" t="s">
        <v>2560</v>
      </c>
      <c r="F30" s="693"/>
      <c r="G30" s="128">
        <f>C30*D30</f>
        <v>275018.93472108775</v>
      </c>
      <c r="H30" s="681"/>
      <c r="I30" s="683">
        <v>2259979.2152436795</v>
      </c>
      <c r="J30" s="690">
        <v>7.3669999999999999E-2</v>
      </c>
      <c r="K30" s="693" t="s">
        <v>2560</v>
      </c>
      <c r="L30" s="693"/>
      <c r="M30" s="687">
        <v>166493</v>
      </c>
      <c r="N30" s="687"/>
      <c r="O30" s="687">
        <v>40748</v>
      </c>
      <c r="P30" s="687"/>
      <c r="Q30" s="703">
        <v>0.324052646</v>
      </c>
    </row>
    <row r="31" spans="1:17" s="321" customFormat="1" ht="13.5" thickBot="1">
      <c r="A31" s="694" t="s">
        <v>2566</v>
      </c>
      <c r="B31" s="695"/>
      <c r="C31" s="696">
        <f>SUM(C29:C30)</f>
        <v>17379859.844854899</v>
      </c>
      <c r="D31" s="697"/>
      <c r="E31" s="697"/>
      <c r="F31" s="697"/>
      <c r="G31" s="696">
        <f>SUM(G26:G30)</f>
        <v>466389.93762014725</v>
      </c>
      <c r="H31" s="695"/>
      <c r="I31" s="696">
        <v>16828379.430021089</v>
      </c>
      <c r="J31" s="698"/>
      <c r="K31" s="697"/>
      <c r="L31" s="697"/>
      <c r="M31" s="699">
        <v>424433</v>
      </c>
      <c r="N31" s="699"/>
      <c r="O31" s="699">
        <v>73527</v>
      </c>
      <c r="P31" s="699"/>
      <c r="Q31" s="704">
        <v>0.20953474699999999</v>
      </c>
    </row>
    <row r="32" spans="1:17" s="321" customFormat="1" ht="13.5" thickTop="1">
      <c r="A32" s="681"/>
      <c r="B32" s="681"/>
      <c r="C32" s="681"/>
      <c r="D32" s="681"/>
      <c r="E32" s="681"/>
      <c r="F32" s="681"/>
      <c r="G32" s="681"/>
      <c r="H32" s="681"/>
      <c r="I32" s="681"/>
      <c r="J32" s="681"/>
      <c r="K32" s="681"/>
      <c r="L32" s="681"/>
      <c r="M32" s="681"/>
      <c r="N32" s="681"/>
      <c r="O32" s="681"/>
      <c r="P32" s="681"/>
      <c r="Q32" s="681"/>
    </row>
    <row r="33" spans="1:17" s="321" customFormat="1">
      <c r="A33" s="680" t="s">
        <v>2567</v>
      </c>
      <c r="B33" s="680"/>
      <c r="C33" s="681"/>
      <c r="D33" s="681"/>
      <c r="E33" s="681"/>
      <c r="F33" s="681"/>
      <c r="G33" s="681"/>
      <c r="H33" s="681"/>
      <c r="I33" s="682"/>
      <c r="J33" s="681"/>
      <c r="K33" s="681"/>
      <c r="L33" s="681"/>
      <c r="M33" s="681"/>
      <c r="N33" s="681"/>
      <c r="O33" s="681"/>
      <c r="P33" s="681"/>
      <c r="Q33" s="681"/>
    </row>
    <row r="34" spans="1:17" s="321" customFormat="1">
      <c r="A34" s="681"/>
      <c r="B34" s="681"/>
      <c r="C34" s="681"/>
      <c r="D34" s="681"/>
      <c r="E34" s="681"/>
      <c r="F34" s="681"/>
      <c r="G34" s="681"/>
      <c r="H34" s="681"/>
      <c r="I34" s="682"/>
      <c r="J34" s="681"/>
      <c r="K34" s="681"/>
      <c r="L34" s="681"/>
      <c r="M34" s="681"/>
      <c r="N34" s="681"/>
      <c r="O34" s="681"/>
      <c r="P34" s="681"/>
      <c r="Q34" s="681"/>
    </row>
    <row r="35" spans="1:17" s="321" customFormat="1">
      <c r="A35" s="681" t="s">
        <v>2556</v>
      </c>
      <c r="B35" s="681"/>
      <c r="C35" s="683"/>
      <c r="D35" s="684"/>
      <c r="E35" s="681"/>
      <c r="F35" s="685"/>
      <c r="G35" s="687"/>
      <c r="H35" s="681"/>
      <c r="I35" s="702"/>
      <c r="J35" s="684"/>
      <c r="K35" s="681"/>
      <c r="L35" s="685"/>
      <c r="M35" s="687"/>
      <c r="N35" s="687"/>
      <c r="O35" s="681"/>
      <c r="P35" s="681"/>
      <c r="Q35" s="681"/>
    </row>
    <row r="36" spans="1:17" s="321" customFormat="1">
      <c r="A36" s="691" t="s">
        <v>2568</v>
      </c>
      <c r="B36" s="681"/>
      <c r="C36" s="683">
        <f>'C-8'!M29</f>
        <v>7702.666666666667</v>
      </c>
      <c r="D36" s="684">
        <v>30</v>
      </c>
      <c r="E36" s="681" t="s">
        <v>2557</v>
      </c>
      <c r="F36" s="685"/>
      <c r="G36" s="128">
        <f>C36*D36*12</f>
        <v>2772960</v>
      </c>
      <c r="H36" s="681"/>
      <c r="I36" s="702">
        <v>7447</v>
      </c>
      <c r="J36" s="684">
        <v>30</v>
      </c>
      <c r="K36" s="681" t="s">
        <v>2557</v>
      </c>
      <c r="L36" s="685"/>
      <c r="M36" s="687">
        <v>2680920</v>
      </c>
      <c r="N36" s="687"/>
      <c r="O36" s="687">
        <v>0</v>
      </c>
      <c r="P36" s="687"/>
      <c r="Q36" s="703">
        <v>0</v>
      </c>
    </row>
    <row r="37" spans="1:17" s="321" customFormat="1">
      <c r="A37" s="691" t="s">
        <v>2569</v>
      </c>
      <c r="B37" s="681"/>
      <c r="C37" s="683">
        <f>'C-8'!M30</f>
        <v>35073.5</v>
      </c>
      <c r="D37" s="684">
        <v>40</v>
      </c>
      <c r="E37" s="681" t="s">
        <v>2557</v>
      </c>
      <c r="F37" s="685"/>
      <c r="G37" s="128">
        <f>C37*D37*12</f>
        <v>16835280</v>
      </c>
      <c r="H37" s="681"/>
      <c r="I37" s="702">
        <v>34874</v>
      </c>
      <c r="J37" s="684">
        <v>40</v>
      </c>
      <c r="K37" s="681" t="s">
        <v>2557</v>
      </c>
      <c r="L37" s="685"/>
      <c r="M37" s="687">
        <v>16739520</v>
      </c>
      <c r="N37" s="687"/>
      <c r="O37" s="687">
        <v>0</v>
      </c>
      <c r="P37" s="687"/>
      <c r="Q37" s="703">
        <v>0</v>
      </c>
    </row>
    <row r="38" spans="1:17" s="321" customFormat="1">
      <c r="A38" s="691" t="s">
        <v>2570</v>
      </c>
      <c r="B38" s="681"/>
      <c r="C38" s="683">
        <f>'C-8'!M31</f>
        <v>3766.5833333333335</v>
      </c>
      <c r="D38" s="684">
        <v>50</v>
      </c>
      <c r="E38" s="681" t="s">
        <v>2557</v>
      </c>
      <c r="F38" s="685"/>
      <c r="G38" s="128">
        <f>C38*D38*12</f>
        <v>2259950</v>
      </c>
      <c r="H38" s="681"/>
      <c r="I38" s="702">
        <v>3756</v>
      </c>
      <c r="J38" s="684">
        <v>50</v>
      </c>
      <c r="K38" s="681" t="s">
        <v>2557</v>
      </c>
      <c r="L38" s="685"/>
      <c r="M38" s="687">
        <v>2253600</v>
      </c>
      <c r="N38" s="687"/>
      <c r="O38" s="687">
        <v>0</v>
      </c>
      <c r="P38" s="687"/>
      <c r="Q38" s="703">
        <v>0</v>
      </c>
    </row>
    <row r="39" spans="1:17" s="321" customFormat="1">
      <c r="A39" s="681"/>
      <c r="B39" s="681"/>
      <c r="C39" s="689"/>
      <c r="D39" s="690"/>
      <c r="E39" s="681"/>
      <c r="F39" s="681"/>
      <c r="G39" s="681"/>
      <c r="H39" s="681"/>
      <c r="I39" s="689"/>
      <c r="J39" s="690"/>
      <c r="K39" s="681"/>
      <c r="L39" s="681"/>
      <c r="M39" s="681"/>
      <c r="N39" s="681"/>
      <c r="O39" s="681"/>
      <c r="P39" s="681"/>
      <c r="Q39" s="681"/>
    </row>
    <row r="40" spans="1:17" s="321" customFormat="1">
      <c r="A40" s="681" t="s">
        <v>2558</v>
      </c>
      <c r="B40" s="681"/>
      <c r="C40" s="683"/>
      <c r="D40" s="690"/>
      <c r="E40" s="681"/>
      <c r="F40" s="681"/>
      <c r="G40" s="687"/>
      <c r="H40" s="681"/>
      <c r="I40" s="689"/>
      <c r="J40" s="690"/>
      <c r="K40" s="681"/>
      <c r="L40" s="681"/>
      <c r="M40" s="681"/>
      <c r="N40" s="681"/>
      <c r="O40" s="681"/>
      <c r="P40" s="681"/>
      <c r="Q40" s="681"/>
    </row>
    <row r="41" spans="1:17" s="321" customFormat="1">
      <c r="A41" s="691" t="s">
        <v>2571</v>
      </c>
      <c r="B41" s="681"/>
      <c r="C41" s="683">
        <f>'C-8'!M33</f>
        <v>5216865.7330633868</v>
      </c>
      <c r="D41" s="701">
        <v>5.5640000000000002E-2</v>
      </c>
      <c r="E41" s="693" t="s">
        <v>2560</v>
      </c>
      <c r="F41" s="681"/>
      <c r="G41" s="687">
        <f t="shared" ref="G41:G43" si="0">D41*C41</f>
        <v>290266.40938764683</v>
      </c>
      <c r="H41" s="681"/>
      <c r="I41" s="683">
        <v>0</v>
      </c>
      <c r="J41" s="701">
        <v>8.5000000000000006E-2</v>
      </c>
      <c r="K41" s="693" t="s">
        <v>2560</v>
      </c>
      <c r="L41" s="681"/>
      <c r="M41" s="687">
        <v>0</v>
      </c>
      <c r="N41" s="681"/>
      <c r="O41" s="687">
        <v>0</v>
      </c>
      <c r="P41" s="687"/>
      <c r="Q41" s="703">
        <v>0</v>
      </c>
    </row>
    <row r="42" spans="1:17" s="321" customFormat="1">
      <c r="A42" s="691" t="s">
        <v>2572</v>
      </c>
      <c r="B42" s="681"/>
      <c r="C42" s="683">
        <f>'C-8'!M34</f>
        <v>89775491.263406321</v>
      </c>
      <c r="D42" s="701">
        <v>5.5640000000000002E-2</v>
      </c>
      <c r="E42" s="693" t="s">
        <v>2560</v>
      </c>
      <c r="F42" s="693"/>
      <c r="G42" s="687">
        <f t="shared" si="0"/>
        <v>4995108.3338959282</v>
      </c>
      <c r="H42" s="681"/>
      <c r="I42" s="683">
        <v>0</v>
      </c>
      <c r="J42" s="701">
        <v>8.5000000000000006E-2</v>
      </c>
      <c r="K42" s="693" t="s">
        <v>2560</v>
      </c>
      <c r="L42" s="693"/>
      <c r="M42" s="687">
        <v>0</v>
      </c>
      <c r="N42" s="687"/>
      <c r="O42" s="687">
        <v>0</v>
      </c>
      <c r="P42" s="687"/>
      <c r="Q42" s="703">
        <v>0</v>
      </c>
    </row>
    <row r="43" spans="1:17" s="321" customFormat="1">
      <c r="A43" s="691" t="s">
        <v>2573</v>
      </c>
      <c r="B43" s="681"/>
      <c r="C43" s="683">
        <f>'C-8'!M35</f>
        <v>19469064.752904166</v>
      </c>
      <c r="D43" s="701">
        <v>5.5640000000000002E-2</v>
      </c>
      <c r="E43" s="693" t="s">
        <v>2560</v>
      </c>
      <c r="F43" s="693"/>
      <c r="G43" s="687">
        <f t="shared" si="0"/>
        <v>1083258.7628515877</v>
      </c>
      <c r="H43" s="681"/>
      <c r="I43" s="683">
        <v>0</v>
      </c>
      <c r="J43" s="701">
        <v>8.5000000000000006E-2</v>
      </c>
      <c r="K43" s="693" t="s">
        <v>2560</v>
      </c>
      <c r="L43" s="693"/>
      <c r="M43" s="687">
        <v>0</v>
      </c>
      <c r="N43" s="687"/>
      <c r="O43" s="687">
        <v>0</v>
      </c>
      <c r="P43" s="687"/>
      <c r="Q43" s="703">
        <v>0</v>
      </c>
    </row>
    <row r="44" spans="1:17" s="321" customFormat="1" ht="13.5" thickBot="1">
      <c r="A44" s="694" t="s">
        <v>2574</v>
      </c>
      <c r="B44" s="695"/>
      <c r="C44" s="696">
        <f>SUM(C41:C43)</f>
        <v>114461421.74937387</v>
      </c>
      <c r="D44" s="697"/>
      <c r="E44" s="697"/>
      <c r="F44" s="697"/>
      <c r="G44" s="699">
        <f>SUM(G36:G43)</f>
        <v>28236823.506135166</v>
      </c>
      <c r="H44" s="695"/>
      <c r="I44" s="696">
        <v>0</v>
      </c>
      <c r="J44" s="698"/>
      <c r="K44" s="697"/>
      <c r="L44" s="697"/>
      <c r="M44" s="699">
        <v>21674040</v>
      </c>
      <c r="N44" s="699"/>
      <c r="O44" s="699">
        <v>0</v>
      </c>
      <c r="P44" s="699"/>
      <c r="Q44" s="704">
        <v>0</v>
      </c>
    </row>
    <row r="45" spans="1:17" ht="13.5" thickTop="1">
      <c r="A45" s="166"/>
      <c r="B45" s="119"/>
      <c r="C45" s="125"/>
      <c r="D45" s="135"/>
      <c r="E45" s="135"/>
      <c r="F45" s="135"/>
      <c r="G45" s="128"/>
      <c r="H45" s="119"/>
      <c r="I45" s="125"/>
      <c r="J45" s="132"/>
      <c r="K45" s="135"/>
      <c r="L45" s="135"/>
      <c r="M45" s="128"/>
      <c r="N45" s="128"/>
      <c r="O45" s="128"/>
      <c r="P45" s="128"/>
      <c r="Q45" s="130"/>
    </row>
    <row r="46" spans="1:17">
      <c r="A46" s="123" t="s">
        <v>2575</v>
      </c>
      <c r="B46" s="123"/>
      <c r="C46" s="119"/>
      <c r="D46" s="119"/>
      <c r="E46" s="119"/>
      <c r="F46" s="119"/>
      <c r="G46" s="119"/>
      <c r="H46" s="119"/>
      <c r="I46" s="124"/>
      <c r="J46" s="119"/>
      <c r="K46" s="119"/>
      <c r="L46" s="119"/>
      <c r="M46" s="119"/>
      <c r="N46" s="119"/>
      <c r="O46" s="119"/>
      <c r="P46" s="119"/>
      <c r="Q46" s="119"/>
    </row>
    <row r="47" spans="1:17">
      <c r="A47" s="119"/>
      <c r="B47" s="119"/>
      <c r="C47" s="119"/>
      <c r="D47" s="119"/>
      <c r="E47" s="119"/>
      <c r="F47" s="119"/>
      <c r="G47" s="119"/>
      <c r="H47" s="119"/>
      <c r="I47" s="124"/>
      <c r="J47" s="119"/>
      <c r="K47" s="119"/>
      <c r="L47" s="119"/>
      <c r="M47" s="119"/>
      <c r="N47" s="119"/>
      <c r="O47" s="119"/>
      <c r="P47" s="119"/>
      <c r="Q47" s="119"/>
    </row>
    <row r="48" spans="1:17">
      <c r="A48" s="119" t="s">
        <v>2556</v>
      </c>
      <c r="B48" s="119"/>
      <c r="C48" s="125">
        <f>'C-8'!M39</f>
        <v>113457.41666666667</v>
      </c>
      <c r="D48" s="126">
        <v>5</v>
      </c>
      <c r="E48" s="119" t="s">
        <v>2557</v>
      </c>
      <c r="F48" s="127"/>
      <c r="G48" s="128">
        <f>C48*D48*12</f>
        <v>6807445</v>
      </c>
      <c r="H48" s="119"/>
      <c r="I48" s="319">
        <v>113937</v>
      </c>
      <c r="J48" s="126">
        <v>21</v>
      </c>
      <c r="K48" s="119" t="s">
        <v>2557</v>
      </c>
      <c r="L48" s="127"/>
      <c r="M48" s="128">
        <v>28712124</v>
      </c>
      <c r="N48" s="128"/>
      <c r="O48" s="128">
        <v>21875904</v>
      </c>
      <c r="P48" s="128"/>
      <c r="Q48" s="130">
        <v>3.2</v>
      </c>
    </row>
    <row r="49" spans="1:17">
      <c r="A49" s="119"/>
      <c r="B49" s="119"/>
      <c r="C49" s="131"/>
      <c r="D49" s="132"/>
      <c r="E49" s="119"/>
      <c r="F49" s="119"/>
      <c r="G49" s="119"/>
      <c r="H49" s="119"/>
      <c r="I49" s="131"/>
      <c r="J49" s="132"/>
      <c r="K49" s="119"/>
      <c r="L49" s="119"/>
      <c r="M49" s="119"/>
      <c r="N49" s="119"/>
      <c r="O49" s="119"/>
      <c r="P49" s="119"/>
      <c r="Q49" s="119"/>
    </row>
    <row r="50" spans="1:17">
      <c r="A50" s="119" t="s">
        <v>2558</v>
      </c>
      <c r="B50" s="119"/>
      <c r="C50" s="125"/>
      <c r="D50" s="132"/>
      <c r="E50" s="119"/>
      <c r="F50" s="119"/>
      <c r="G50" s="119"/>
      <c r="H50" s="119"/>
      <c r="I50" s="131"/>
      <c r="J50" s="132"/>
      <c r="K50" s="119"/>
      <c r="L50" s="119"/>
      <c r="M50" s="119"/>
      <c r="N50" s="119"/>
      <c r="O50" s="119"/>
      <c r="P50" s="119"/>
      <c r="Q50" s="119"/>
    </row>
    <row r="51" spans="1:17">
      <c r="A51" s="133" t="s">
        <v>912</v>
      </c>
      <c r="B51" s="119"/>
      <c r="C51" s="125">
        <f>'C-8'!M41</f>
        <v>2240801007.6701174</v>
      </c>
      <c r="D51" s="134">
        <v>8.4489999999999996E-2</v>
      </c>
      <c r="E51" s="135" t="s">
        <v>2560</v>
      </c>
      <c r="F51" s="119"/>
      <c r="G51" s="128">
        <f>C51*D51</f>
        <v>189325277.1380482</v>
      </c>
      <c r="H51" s="119"/>
      <c r="I51" s="125">
        <v>1818171251.5977724</v>
      </c>
      <c r="J51" s="134">
        <v>0.125</v>
      </c>
      <c r="K51" s="135" t="s">
        <v>2560</v>
      </c>
      <c r="L51" s="119"/>
      <c r="M51" s="128">
        <v>227271406</v>
      </c>
      <c r="N51" s="119"/>
      <c r="O51" s="128">
        <v>73654117</v>
      </c>
      <c r="P51" s="128"/>
      <c r="Q51" s="130">
        <v>0.47946502299999999</v>
      </c>
    </row>
    <row r="52" spans="1:17" ht="13.5" thickBot="1">
      <c r="A52" s="136" t="s">
        <v>2576</v>
      </c>
      <c r="B52" s="137"/>
      <c r="C52" s="138">
        <f>C51</f>
        <v>2240801007.6701174</v>
      </c>
      <c r="D52" s="139"/>
      <c r="E52" s="139"/>
      <c r="F52" s="139"/>
      <c r="G52" s="140">
        <f>SUM(G48:G51)</f>
        <v>196132722.1380482</v>
      </c>
      <c r="H52" s="137"/>
      <c r="I52" s="138">
        <v>1818171251.5977724</v>
      </c>
      <c r="J52" s="141"/>
      <c r="K52" s="139"/>
      <c r="L52" s="139"/>
      <c r="M52" s="140">
        <v>255983530</v>
      </c>
      <c r="N52" s="140"/>
      <c r="O52" s="140">
        <v>95530021</v>
      </c>
      <c r="P52" s="140"/>
      <c r="Q52" s="142">
        <v>0.595375082</v>
      </c>
    </row>
    <row r="53" spans="1:17" ht="13.5" thickTop="1">
      <c r="A53" s="166"/>
      <c r="B53" s="119"/>
      <c r="C53" s="125"/>
      <c r="D53" s="135"/>
      <c r="E53" s="135"/>
      <c r="F53" s="135"/>
      <c r="G53" s="128"/>
      <c r="H53" s="119"/>
      <c r="I53" s="125"/>
      <c r="J53" s="132"/>
      <c r="K53" s="135"/>
      <c r="L53" s="135"/>
      <c r="M53" s="128"/>
      <c r="N53" s="128"/>
      <c r="O53" s="128"/>
      <c r="P53" s="128"/>
      <c r="Q53" s="130"/>
    </row>
    <row r="54" spans="1:17">
      <c r="A54" s="123" t="s">
        <v>2577</v>
      </c>
      <c r="B54" s="123"/>
      <c r="C54" s="119"/>
      <c r="D54" s="119"/>
      <c r="E54" s="119"/>
      <c r="F54" s="119"/>
      <c r="G54" s="119"/>
      <c r="H54" s="119"/>
      <c r="I54" s="124"/>
      <c r="J54" s="119"/>
      <c r="K54" s="119"/>
      <c r="L54" s="119"/>
      <c r="M54" s="119"/>
      <c r="N54" s="119"/>
      <c r="O54" s="119"/>
      <c r="P54" s="119"/>
      <c r="Q54" s="119"/>
    </row>
    <row r="55" spans="1:17">
      <c r="A55" s="119"/>
      <c r="B55" s="119"/>
      <c r="C55" s="119"/>
      <c r="D55" s="119"/>
      <c r="E55" s="119"/>
      <c r="F55" s="119"/>
      <c r="G55" s="119"/>
      <c r="H55" s="119"/>
      <c r="I55" s="124"/>
      <c r="J55" s="119"/>
      <c r="K55" s="119"/>
      <c r="L55" s="119"/>
      <c r="M55" s="119"/>
      <c r="N55" s="119"/>
      <c r="O55" s="119"/>
      <c r="P55" s="119"/>
      <c r="Q55" s="119"/>
    </row>
    <row r="56" spans="1:17">
      <c r="A56" s="119" t="s">
        <v>2556</v>
      </c>
      <c r="B56" s="119"/>
      <c r="C56" s="125">
        <f>'C-8'!M45</f>
        <v>10818.5</v>
      </c>
      <c r="D56" s="126">
        <v>200</v>
      </c>
      <c r="E56" s="119" t="s">
        <v>2557</v>
      </c>
      <c r="F56" s="127"/>
      <c r="G56" s="128">
        <f>C56*D56*12</f>
        <v>25964400</v>
      </c>
      <c r="H56" s="119"/>
      <c r="I56" s="319">
        <v>10790</v>
      </c>
      <c r="J56" s="126">
        <v>400</v>
      </c>
      <c r="K56" s="119" t="s">
        <v>2557</v>
      </c>
      <c r="L56" s="127"/>
      <c r="M56" s="128">
        <v>51792000</v>
      </c>
      <c r="N56" s="128"/>
      <c r="O56" s="128">
        <v>25896000</v>
      </c>
      <c r="P56" s="128"/>
      <c r="Q56" s="130">
        <v>1</v>
      </c>
    </row>
    <row r="57" spans="1:17">
      <c r="A57" s="119"/>
      <c r="B57" s="119"/>
      <c r="C57" s="131"/>
      <c r="D57" s="132"/>
      <c r="E57" s="119"/>
      <c r="F57" s="119"/>
      <c r="G57" s="119"/>
      <c r="H57" s="119"/>
      <c r="I57" s="319"/>
      <c r="J57" s="132"/>
      <c r="K57" s="119"/>
      <c r="L57" s="119"/>
      <c r="M57" s="119"/>
      <c r="N57" s="119"/>
      <c r="O57" s="119"/>
      <c r="P57" s="119"/>
      <c r="Q57" s="119"/>
    </row>
    <row r="58" spans="1:17">
      <c r="A58" s="119" t="s">
        <v>2578</v>
      </c>
      <c r="B58" s="119"/>
      <c r="C58" s="131"/>
      <c r="D58" s="132"/>
      <c r="E58" s="119"/>
      <c r="F58" s="119"/>
      <c r="G58" s="119"/>
      <c r="H58" s="119"/>
      <c r="I58" s="319"/>
      <c r="J58" s="132"/>
      <c r="K58" s="119"/>
      <c r="L58" s="119"/>
      <c r="M58" s="119"/>
      <c r="N58" s="119"/>
      <c r="O58" s="119"/>
      <c r="P58" s="119"/>
      <c r="Q58" s="119"/>
    </row>
    <row r="59" spans="1:17">
      <c r="A59" s="133" t="s">
        <v>2579</v>
      </c>
      <c r="B59" s="119"/>
      <c r="C59" s="125">
        <f>'C-8'!M47</f>
        <v>14371776</v>
      </c>
      <c r="D59" s="127">
        <v>8.1</v>
      </c>
      <c r="E59" s="119" t="s">
        <v>2580</v>
      </c>
      <c r="F59" s="127"/>
      <c r="G59" s="128">
        <f>C59*D59</f>
        <v>116411385.59999999</v>
      </c>
      <c r="H59" s="119"/>
      <c r="I59" s="131">
        <v>17099772</v>
      </c>
      <c r="J59" s="127">
        <v>9</v>
      </c>
      <c r="K59" s="119" t="s">
        <v>2580</v>
      </c>
      <c r="L59" s="127"/>
      <c r="M59" s="128">
        <v>153897948</v>
      </c>
      <c r="N59" s="128"/>
      <c r="O59" s="128">
        <v>15389795</v>
      </c>
      <c r="P59" s="128"/>
      <c r="Q59" s="130">
        <v>0.111111113</v>
      </c>
    </row>
    <row r="60" spans="1:17">
      <c r="A60" s="133" t="s">
        <v>2581</v>
      </c>
      <c r="B60" s="119"/>
      <c r="C60" s="125">
        <f>'C-8'!M48</f>
        <v>1440923.2709863961</v>
      </c>
      <c r="D60" s="127">
        <v>10</v>
      </c>
      <c r="E60" s="119" t="s">
        <v>2580</v>
      </c>
      <c r="F60" s="127"/>
      <c r="G60" s="128">
        <f>C60*D60</f>
        <v>14409232.709863961</v>
      </c>
      <c r="H60" s="119"/>
      <c r="I60" s="131">
        <v>0</v>
      </c>
      <c r="J60" s="127">
        <v>10</v>
      </c>
      <c r="K60" s="119" t="s">
        <v>2580</v>
      </c>
      <c r="L60" s="127"/>
      <c r="M60" s="128">
        <v>0</v>
      </c>
      <c r="N60" s="128"/>
      <c r="O60" s="128">
        <v>0</v>
      </c>
      <c r="P60" s="128"/>
      <c r="Q60" s="130">
        <v>0</v>
      </c>
    </row>
    <row r="61" spans="1:17">
      <c r="A61" s="133"/>
      <c r="B61" s="119"/>
      <c r="C61" s="125"/>
      <c r="D61" s="127"/>
      <c r="E61" s="119"/>
      <c r="F61" s="127"/>
      <c r="G61" s="128"/>
      <c r="H61" s="119"/>
      <c r="I61" s="125"/>
      <c r="J61" s="127"/>
      <c r="K61" s="119"/>
      <c r="L61" s="127"/>
      <c r="M61" s="128"/>
      <c r="N61" s="128"/>
      <c r="O61" s="119"/>
      <c r="P61" s="119"/>
      <c r="Q61" s="119"/>
    </row>
    <row r="62" spans="1:17">
      <c r="A62" s="119" t="s">
        <v>2558</v>
      </c>
      <c r="B62" s="119"/>
      <c r="C62" s="125"/>
      <c r="D62" s="132"/>
      <c r="E62" s="119"/>
      <c r="F62" s="119"/>
      <c r="G62" s="119"/>
      <c r="H62" s="119"/>
      <c r="I62" s="131"/>
      <c r="J62" s="132"/>
      <c r="K62" s="119"/>
      <c r="L62" s="119"/>
      <c r="M62" s="119"/>
      <c r="N62" s="119"/>
      <c r="O62" s="119"/>
      <c r="P62" s="119"/>
      <c r="Q62" s="119"/>
    </row>
    <row r="63" spans="1:17">
      <c r="A63" s="133" t="s">
        <v>2582</v>
      </c>
      <c r="B63" s="119"/>
      <c r="C63" s="125">
        <f>'C-8'!M50</f>
        <v>3800723862.7741394</v>
      </c>
      <c r="D63" s="134">
        <v>4.6940000000000003E-2</v>
      </c>
      <c r="E63" s="135" t="s">
        <v>2560</v>
      </c>
      <c r="F63" s="119"/>
      <c r="G63" s="128">
        <f>C63*D63</f>
        <v>178405978.1186181</v>
      </c>
      <c r="H63" s="119"/>
      <c r="I63" s="125">
        <v>3559649918.1500192</v>
      </c>
      <c r="J63" s="134">
        <v>6.7500000000000004E-2</v>
      </c>
      <c r="K63" s="135" t="s">
        <v>2560</v>
      </c>
      <c r="L63" s="119"/>
      <c r="M63" s="128">
        <v>240276369</v>
      </c>
      <c r="N63" s="119"/>
      <c r="O63" s="128">
        <v>73186402</v>
      </c>
      <c r="P63" s="128"/>
      <c r="Q63" s="130">
        <v>0.43800596400000003</v>
      </c>
    </row>
    <row r="64" spans="1:17">
      <c r="A64" s="133" t="s">
        <v>2583</v>
      </c>
      <c r="B64" s="119"/>
      <c r="C64" s="125">
        <f>'C-8'!M51</f>
        <v>3162440.0196358524</v>
      </c>
      <c r="D64" s="135">
        <v>3.8940000000000002E-2</v>
      </c>
      <c r="E64" s="135" t="s">
        <v>2560</v>
      </c>
      <c r="F64" s="135"/>
      <c r="G64" s="128">
        <f>C64*D64</f>
        <v>123145.4143646201</v>
      </c>
      <c r="H64" s="119"/>
      <c r="I64" s="125">
        <v>0</v>
      </c>
      <c r="J64" s="132">
        <v>5.5E-2</v>
      </c>
      <c r="K64" s="135" t="s">
        <v>2560</v>
      </c>
      <c r="L64" s="135"/>
      <c r="M64" s="128">
        <v>0</v>
      </c>
      <c r="N64" s="128"/>
      <c r="O64" s="128">
        <v>0</v>
      </c>
      <c r="P64" s="128"/>
      <c r="Q64" s="130">
        <v>0</v>
      </c>
    </row>
    <row r="65" spans="1:17" ht="13.5" thickBot="1">
      <c r="A65" s="136" t="s">
        <v>2584</v>
      </c>
      <c r="B65" s="137"/>
      <c r="C65" s="138">
        <f>SUM(C63:C64)</f>
        <v>3803886302.7937751</v>
      </c>
      <c r="D65" s="139"/>
      <c r="E65" s="139"/>
      <c r="F65" s="139"/>
      <c r="G65" s="140">
        <f>SUM(G56:G64)</f>
        <v>335314141.84284669</v>
      </c>
      <c r="H65" s="137"/>
      <c r="I65" s="138">
        <v>3559649918.1500192</v>
      </c>
      <c r="J65" s="141"/>
      <c r="K65" s="139"/>
      <c r="L65" s="139"/>
      <c r="M65" s="140">
        <v>445966317</v>
      </c>
      <c r="N65" s="140"/>
      <c r="O65" s="140">
        <v>114472197</v>
      </c>
      <c r="P65" s="140"/>
      <c r="Q65" s="142">
        <v>0.34532195300000001</v>
      </c>
    </row>
    <row r="66" spans="1:17" ht="13.5" thickTop="1">
      <c r="A66" s="119"/>
      <c r="B66" s="119"/>
      <c r="C66" s="119"/>
      <c r="D66" s="119"/>
      <c r="E66" s="119"/>
      <c r="F66" s="119"/>
      <c r="G66" s="119"/>
      <c r="H66" s="119"/>
      <c r="I66" s="119"/>
      <c r="J66" s="119"/>
      <c r="K66" s="119"/>
      <c r="L66" s="119"/>
      <c r="M66" s="119"/>
      <c r="N66" s="119"/>
      <c r="O66" s="119"/>
      <c r="P66" s="119"/>
      <c r="Q66" s="119"/>
    </row>
    <row r="67" spans="1:17" s="321" customFormat="1">
      <c r="A67" s="680" t="s">
        <v>2585</v>
      </c>
      <c r="B67" s="680"/>
      <c r="C67" s="681"/>
      <c r="D67" s="681"/>
      <c r="E67" s="681"/>
      <c r="F67" s="681"/>
      <c r="G67" s="681"/>
      <c r="H67" s="681"/>
      <c r="I67" s="682"/>
      <c r="J67" s="681"/>
      <c r="K67" s="681"/>
      <c r="L67" s="681"/>
      <c r="M67" s="681"/>
      <c r="N67" s="681"/>
      <c r="O67" s="681"/>
      <c r="P67" s="681"/>
      <c r="Q67" s="681"/>
    </row>
    <row r="68" spans="1:17" s="321" customFormat="1">
      <c r="A68" s="681"/>
      <c r="B68" s="681"/>
      <c r="C68" s="681"/>
      <c r="D68" s="681"/>
      <c r="E68" s="681"/>
      <c r="F68" s="681"/>
      <c r="G68" s="681"/>
      <c r="H68" s="681"/>
      <c r="I68" s="682"/>
      <c r="J68" s="681"/>
      <c r="K68" s="681"/>
      <c r="L68" s="681"/>
      <c r="M68" s="681"/>
      <c r="N68" s="681"/>
      <c r="O68" s="681"/>
      <c r="P68" s="681"/>
      <c r="Q68" s="681"/>
    </row>
    <row r="69" spans="1:17" s="321" customFormat="1">
      <c r="A69" s="681" t="s">
        <v>2556</v>
      </c>
      <c r="B69" s="681"/>
      <c r="C69" s="683">
        <f>'C-8'!M55</f>
        <v>618.08333333333326</v>
      </c>
      <c r="D69" s="684">
        <v>450</v>
      </c>
      <c r="E69" s="681" t="s">
        <v>2557</v>
      </c>
      <c r="F69" s="685"/>
      <c r="G69" s="128">
        <f>C69*D69*12</f>
        <v>3337649.9999999991</v>
      </c>
      <c r="H69" s="681"/>
      <c r="I69" s="702">
        <v>601</v>
      </c>
      <c r="J69" s="684">
        <v>1000</v>
      </c>
      <c r="K69" s="681" t="s">
        <v>2557</v>
      </c>
      <c r="L69" s="685"/>
      <c r="M69" s="687">
        <v>7212000</v>
      </c>
      <c r="N69" s="687"/>
      <c r="O69" s="687">
        <v>3966600</v>
      </c>
      <c r="P69" s="687"/>
      <c r="Q69" s="703">
        <v>1.2222222220000001</v>
      </c>
    </row>
    <row r="70" spans="1:17" s="321" customFormat="1">
      <c r="A70" s="681"/>
      <c r="B70" s="681"/>
      <c r="C70" s="689"/>
      <c r="D70" s="690"/>
      <c r="E70" s="681"/>
      <c r="F70" s="681"/>
      <c r="G70" s="681"/>
      <c r="H70" s="681"/>
      <c r="I70" s="702"/>
      <c r="J70" s="690"/>
      <c r="K70" s="681"/>
      <c r="L70" s="681"/>
      <c r="M70" s="681"/>
      <c r="N70" s="681"/>
      <c r="O70" s="681"/>
      <c r="P70" s="681"/>
      <c r="Q70" s="681"/>
    </row>
    <row r="71" spans="1:17" s="321" customFormat="1">
      <c r="A71" s="681" t="s">
        <v>2578</v>
      </c>
      <c r="B71" s="681"/>
      <c r="C71" s="689"/>
      <c r="D71" s="690"/>
      <c r="E71" s="681"/>
      <c r="F71" s="681"/>
      <c r="G71" s="681"/>
      <c r="H71" s="681"/>
      <c r="I71" s="702"/>
      <c r="J71" s="690"/>
      <c r="K71" s="681"/>
      <c r="L71" s="681"/>
      <c r="M71" s="681"/>
      <c r="N71" s="681"/>
      <c r="O71" s="681"/>
      <c r="P71" s="681"/>
      <c r="Q71" s="681"/>
    </row>
    <row r="72" spans="1:17" s="321" customFormat="1">
      <c r="A72" s="691" t="s">
        <v>2579</v>
      </c>
      <c r="B72" s="681"/>
      <c r="C72" s="683">
        <f>'C-8'!M57</f>
        <v>7054980</v>
      </c>
      <c r="D72" s="685">
        <v>7.7</v>
      </c>
      <c r="E72" s="681" t="s">
        <v>2580</v>
      </c>
      <c r="F72" s="685"/>
      <c r="G72" s="128">
        <f>C72*D72</f>
        <v>54323346</v>
      </c>
      <c r="H72" s="681"/>
      <c r="I72" s="689">
        <v>6970845</v>
      </c>
      <c r="J72" s="685">
        <v>15</v>
      </c>
      <c r="K72" s="681" t="s">
        <v>2580</v>
      </c>
      <c r="L72" s="685"/>
      <c r="M72" s="687">
        <v>104562675</v>
      </c>
      <c r="N72" s="687"/>
      <c r="O72" s="687">
        <v>50887168</v>
      </c>
      <c r="P72" s="687"/>
      <c r="Q72" s="703">
        <v>0.94805192999999999</v>
      </c>
    </row>
    <row r="73" spans="1:17" s="321" customFormat="1">
      <c r="A73" s="691" t="s">
        <v>2581</v>
      </c>
      <c r="B73" s="681"/>
      <c r="C73" s="683">
        <f>'C-8'!M58</f>
        <v>347822.86118847976</v>
      </c>
      <c r="D73" s="685">
        <v>9.6</v>
      </c>
      <c r="E73" s="681" t="s">
        <v>2580</v>
      </c>
      <c r="F73" s="685"/>
      <c r="G73" s="128">
        <f>C73*D73</f>
        <v>3339099.4674094054</v>
      </c>
      <c r="H73" s="681"/>
      <c r="I73" s="689">
        <v>0</v>
      </c>
      <c r="J73" s="685">
        <v>16</v>
      </c>
      <c r="K73" s="681" t="s">
        <v>2580</v>
      </c>
      <c r="L73" s="685"/>
      <c r="M73" s="687">
        <v>0</v>
      </c>
      <c r="N73" s="687"/>
      <c r="O73" s="687">
        <v>0</v>
      </c>
      <c r="P73" s="687"/>
      <c r="Q73" s="703">
        <v>0</v>
      </c>
    </row>
    <row r="74" spans="1:17" s="321" customFormat="1">
      <c r="A74" s="691"/>
      <c r="B74" s="681"/>
      <c r="C74" s="683"/>
      <c r="D74" s="685"/>
      <c r="E74" s="681"/>
      <c r="F74" s="685"/>
      <c r="G74" s="687"/>
      <c r="H74" s="681"/>
      <c r="I74" s="683"/>
      <c r="J74" s="685"/>
      <c r="K74" s="681"/>
      <c r="L74" s="685"/>
      <c r="M74" s="687"/>
      <c r="N74" s="687"/>
      <c r="O74" s="681"/>
      <c r="P74" s="681"/>
      <c r="Q74" s="681"/>
    </row>
    <row r="75" spans="1:17" s="321" customFormat="1">
      <c r="A75" s="681" t="s">
        <v>2558</v>
      </c>
      <c r="B75" s="681"/>
      <c r="C75" s="683"/>
      <c r="D75" s="690"/>
      <c r="E75" s="681"/>
      <c r="F75" s="681"/>
      <c r="G75" s="681"/>
      <c r="H75" s="681"/>
      <c r="I75" s="689"/>
      <c r="J75" s="690"/>
      <c r="K75" s="681"/>
      <c r="L75" s="681"/>
      <c r="M75" s="681"/>
      <c r="N75" s="681"/>
      <c r="O75" s="681"/>
      <c r="P75" s="681"/>
      <c r="Q75" s="681"/>
    </row>
    <row r="76" spans="1:17" s="321" customFormat="1">
      <c r="A76" s="691" t="s">
        <v>2582</v>
      </c>
      <c r="B76" s="681"/>
      <c r="C76" s="683">
        <f>'C-8'!M60</f>
        <v>2200168799.9999995</v>
      </c>
      <c r="D76" s="692">
        <v>3.6499999999999998E-2</v>
      </c>
      <c r="E76" s="693" t="s">
        <v>2560</v>
      </c>
      <c r="F76" s="681"/>
      <c r="G76" s="128">
        <f>C76*D76</f>
        <v>80306161.199999973</v>
      </c>
      <c r="H76" s="681"/>
      <c r="I76" s="683">
        <v>1834520112.0000002</v>
      </c>
      <c r="J76" s="692">
        <v>0.06</v>
      </c>
      <c r="K76" s="693" t="s">
        <v>2560</v>
      </c>
      <c r="L76" s="681"/>
      <c r="M76" s="687">
        <v>110071207</v>
      </c>
      <c r="N76" s="681"/>
      <c r="O76" s="687">
        <v>43111223</v>
      </c>
      <c r="P76" s="687"/>
      <c r="Q76" s="703">
        <v>0.64383562299999997</v>
      </c>
    </row>
    <row r="77" spans="1:17" s="321" customFormat="1">
      <c r="A77" s="691" t="s">
        <v>2583</v>
      </c>
      <c r="B77" s="681"/>
      <c r="C77" s="683">
        <f>'C-8'!M61</f>
        <v>486491202.60010725</v>
      </c>
      <c r="D77" s="693">
        <v>3.2500000000000001E-2</v>
      </c>
      <c r="E77" s="693" t="s">
        <v>2560</v>
      </c>
      <c r="F77" s="693"/>
      <c r="G77" s="128">
        <f>C77*D77</f>
        <v>15810964.084503487</v>
      </c>
      <c r="H77" s="681"/>
      <c r="I77" s="683">
        <v>893974101.56693757</v>
      </c>
      <c r="J77" s="690">
        <v>4.7500000000000001E-2</v>
      </c>
      <c r="K77" s="693" t="s">
        <v>2560</v>
      </c>
      <c r="L77" s="693"/>
      <c r="M77" s="687">
        <v>42463770</v>
      </c>
      <c r="N77" s="687"/>
      <c r="O77" s="687">
        <v>13409612</v>
      </c>
      <c r="P77" s="687"/>
      <c r="Q77" s="703">
        <v>0.461538483</v>
      </c>
    </row>
    <row r="78" spans="1:17" s="321" customFormat="1" ht="13.5" thickBot="1">
      <c r="A78" s="694" t="s">
        <v>2586</v>
      </c>
      <c r="B78" s="695"/>
      <c r="C78" s="696">
        <f>SUM(C76:C77)</f>
        <v>2686660002.6001067</v>
      </c>
      <c r="D78" s="697"/>
      <c r="E78" s="697"/>
      <c r="F78" s="697"/>
      <c r="G78" s="699">
        <f>SUM(G69:G77)</f>
        <v>157117220.75191283</v>
      </c>
      <c r="H78" s="695"/>
      <c r="I78" s="696">
        <v>2728494213.5669379</v>
      </c>
      <c r="J78" s="698"/>
      <c r="K78" s="697"/>
      <c r="L78" s="697"/>
      <c r="M78" s="699">
        <v>264309652</v>
      </c>
      <c r="N78" s="699"/>
      <c r="O78" s="699">
        <v>111374603</v>
      </c>
      <c r="P78" s="699"/>
      <c r="Q78" s="704">
        <v>0.72824773499999995</v>
      </c>
    </row>
    <row r="79" spans="1:17" ht="13.5" thickTop="1">
      <c r="A79" s="119"/>
      <c r="B79" s="119"/>
      <c r="C79" s="119"/>
      <c r="D79" s="119"/>
      <c r="E79" s="119"/>
      <c r="F79" s="119"/>
      <c r="G79" s="119"/>
      <c r="H79" s="119"/>
      <c r="I79" s="119"/>
      <c r="J79" s="119"/>
      <c r="K79" s="119"/>
      <c r="L79" s="119"/>
      <c r="M79" s="119"/>
      <c r="N79" s="119"/>
      <c r="O79" s="119"/>
      <c r="P79" s="119"/>
      <c r="Q79" s="119"/>
    </row>
    <row r="80" spans="1:17">
      <c r="A80" s="123" t="s">
        <v>2587</v>
      </c>
      <c r="B80" s="123"/>
      <c r="C80" s="119"/>
      <c r="D80" s="119"/>
      <c r="E80" s="119"/>
      <c r="F80" s="119"/>
      <c r="G80" s="119"/>
      <c r="H80" s="119"/>
      <c r="I80" s="124"/>
      <c r="J80" s="119"/>
      <c r="K80" s="119"/>
      <c r="L80" s="119"/>
      <c r="M80" s="119"/>
      <c r="N80" s="119"/>
      <c r="O80" s="119"/>
      <c r="P80" s="119"/>
      <c r="Q80" s="119"/>
    </row>
    <row r="81" spans="1:17">
      <c r="A81" s="119"/>
      <c r="B81" s="119"/>
      <c r="C81" s="119"/>
      <c r="D81" s="119"/>
      <c r="E81" s="119"/>
      <c r="F81" s="119"/>
      <c r="G81" s="119"/>
      <c r="H81" s="119"/>
      <c r="I81" s="124"/>
      <c r="J81" s="119"/>
      <c r="K81" s="119"/>
      <c r="L81" s="119"/>
      <c r="M81" s="119"/>
      <c r="N81" s="119"/>
      <c r="O81" s="119"/>
      <c r="P81" s="119"/>
      <c r="Q81" s="119"/>
    </row>
    <row r="82" spans="1:17">
      <c r="A82" s="119" t="s">
        <v>2556</v>
      </c>
      <c r="B82" s="119"/>
      <c r="C82" s="125">
        <f>'C-8'!M65</f>
        <v>1</v>
      </c>
      <c r="D82" s="126">
        <v>200</v>
      </c>
      <c r="E82" s="119" t="s">
        <v>2557</v>
      </c>
      <c r="F82" s="127"/>
      <c r="G82" s="128">
        <f>C82*D82*12</f>
        <v>2400</v>
      </c>
      <c r="H82" s="119"/>
      <c r="I82" s="319">
        <v>1</v>
      </c>
      <c r="J82" s="126">
        <v>400</v>
      </c>
      <c r="K82" s="119" t="s">
        <v>2557</v>
      </c>
      <c r="L82" s="127"/>
      <c r="M82" s="128">
        <v>4800</v>
      </c>
      <c r="N82" s="128"/>
      <c r="O82" s="128">
        <v>2400</v>
      </c>
      <c r="P82" s="128"/>
      <c r="Q82" s="130">
        <v>1</v>
      </c>
    </row>
    <row r="83" spans="1:17">
      <c r="A83" s="119"/>
      <c r="B83" s="119"/>
      <c r="C83" s="131"/>
      <c r="D83" s="132"/>
      <c r="E83" s="119"/>
      <c r="F83" s="119"/>
      <c r="G83" s="119"/>
      <c r="H83" s="119"/>
      <c r="I83" s="319"/>
      <c r="J83" s="132"/>
      <c r="K83" s="119"/>
      <c r="L83" s="119"/>
      <c r="M83" s="119"/>
      <c r="N83" s="119"/>
      <c r="O83" s="119"/>
      <c r="P83" s="119"/>
      <c r="Q83" s="119"/>
    </row>
    <row r="84" spans="1:17">
      <c r="A84" s="119" t="s">
        <v>2578</v>
      </c>
      <c r="B84" s="119"/>
      <c r="C84" s="131"/>
      <c r="D84" s="132"/>
      <c r="E84" s="119"/>
      <c r="F84" s="119"/>
      <c r="G84" s="119"/>
      <c r="H84" s="119"/>
      <c r="I84" s="319"/>
      <c r="J84" s="132"/>
      <c r="K84" s="119"/>
      <c r="L84" s="119"/>
      <c r="M84" s="119"/>
      <c r="N84" s="119"/>
      <c r="O84" s="119"/>
      <c r="P84" s="119"/>
      <c r="Q84" s="119"/>
    </row>
    <row r="85" spans="1:17">
      <c r="A85" s="133" t="s">
        <v>2588</v>
      </c>
      <c r="B85" s="119"/>
      <c r="C85" s="125">
        <f>'C-8'!M67</f>
        <v>19824</v>
      </c>
      <c r="D85" s="127">
        <v>8.1</v>
      </c>
      <c r="E85" s="119" t="s">
        <v>2580</v>
      </c>
      <c r="F85" s="127"/>
      <c r="G85" s="128">
        <f>C85*D85</f>
        <v>160574.39999999999</v>
      </c>
      <c r="H85" s="119"/>
      <c r="I85" s="131">
        <v>1512.67</v>
      </c>
      <c r="J85" s="127">
        <v>9</v>
      </c>
      <c r="K85" s="119" t="s">
        <v>2580</v>
      </c>
      <c r="L85" s="127"/>
      <c r="M85" s="128">
        <v>13614</v>
      </c>
      <c r="N85" s="128"/>
      <c r="O85" s="128">
        <v>1361</v>
      </c>
      <c r="P85" s="128"/>
      <c r="Q85" s="130">
        <v>0.11107483899999999</v>
      </c>
    </row>
    <row r="86" spans="1:17">
      <c r="A86" s="133" t="s">
        <v>2589</v>
      </c>
      <c r="B86" s="119"/>
      <c r="C86" s="125">
        <f>'C-8'!M68</f>
        <v>18996</v>
      </c>
      <c r="D86" s="127">
        <v>1.1000000000000001</v>
      </c>
      <c r="E86" s="119" t="s">
        <v>2580</v>
      </c>
      <c r="F86" s="127"/>
      <c r="G86" s="128">
        <f>C86*D86</f>
        <v>20895.600000000002</v>
      </c>
      <c r="H86" s="119"/>
      <c r="I86" s="131">
        <v>1560</v>
      </c>
      <c r="J86" s="127">
        <v>1.1000000000000001</v>
      </c>
      <c r="K86" s="119" t="s">
        <v>2580</v>
      </c>
      <c r="L86" s="127"/>
      <c r="M86" s="128">
        <v>1716</v>
      </c>
      <c r="N86" s="128"/>
      <c r="O86" s="128">
        <v>0</v>
      </c>
      <c r="P86" s="128"/>
      <c r="Q86" s="130">
        <v>0</v>
      </c>
    </row>
    <row r="87" spans="1:17">
      <c r="A87" s="133"/>
      <c r="B87" s="119"/>
      <c r="C87" s="125"/>
      <c r="D87" s="127"/>
      <c r="E87" s="119"/>
      <c r="F87" s="127"/>
      <c r="G87" s="128"/>
      <c r="H87" s="119"/>
      <c r="I87" s="125"/>
      <c r="J87" s="127"/>
      <c r="K87" s="119"/>
      <c r="L87" s="127"/>
      <c r="M87" s="128"/>
      <c r="N87" s="128"/>
      <c r="O87" s="119"/>
      <c r="P87" s="119"/>
      <c r="Q87" s="119"/>
    </row>
    <row r="88" spans="1:17">
      <c r="A88" s="119" t="s">
        <v>2558</v>
      </c>
      <c r="B88" s="119"/>
      <c r="C88" s="125"/>
      <c r="D88" s="132"/>
      <c r="E88" s="119"/>
      <c r="F88" s="119"/>
      <c r="G88" s="119"/>
      <c r="H88" s="119"/>
      <c r="I88" s="131"/>
      <c r="J88" s="132"/>
      <c r="K88" s="119"/>
      <c r="L88" s="119"/>
      <c r="M88" s="119"/>
      <c r="N88" s="119"/>
      <c r="O88" s="119"/>
      <c r="P88" s="119"/>
      <c r="Q88" s="119"/>
    </row>
    <row r="89" spans="1:17">
      <c r="A89" s="133" t="s">
        <v>2590</v>
      </c>
      <c r="B89" s="119"/>
      <c r="C89" s="125">
        <f>'C-8'!M70</f>
        <v>2800792.7132038139</v>
      </c>
      <c r="D89" s="134">
        <v>5.7790000000000001E-2</v>
      </c>
      <c r="E89" s="135" t="s">
        <v>2560</v>
      </c>
      <c r="F89" s="119"/>
      <c r="G89" s="128">
        <f>C89*D89</f>
        <v>161857.81089604841</v>
      </c>
      <c r="H89" s="119"/>
      <c r="I89" s="125">
        <v>2454965.4562663632</v>
      </c>
      <c r="J89" s="134">
        <v>9.7500000000000003E-2</v>
      </c>
      <c r="K89" s="135" t="s">
        <v>2560</v>
      </c>
      <c r="L89" s="119"/>
      <c r="M89" s="128">
        <v>239359</v>
      </c>
      <c r="N89" s="119"/>
      <c r="O89" s="128">
        <v>97487</v>
      </c>
      <c r="P89" s="128"/>
      <c r="Q89" s="130">
        <v>0.68714757000000004</v>
      </c>
    </row>
    <row r="90" spans="1:17">
      <c r="A90" s="133" t="s">
        <v>2591</v>
      </c>
      <c r="B90" s="119"/>
      <c r="C90" s="125">
        <f>'C-8'!M71</f>
        <v>3257896.4396645539</v>
      </c>
      <c r="D90" s="135">
        <v>1.8790000000000001E-2</v>
      </c>
      <c r="E90" s="135" t="s">
        <v>2560</v>
      </c>
      <c r="F90" s="135"/>
      <c r="G90" s="128">
        <f>C90*D90</f>
        <v>61215.874101296969</v>
      </c>
      <c r="H90" s="119"/>
      <c r="I90" s="125">
        <v>3212466.7747025588</v>
      </c>
      <c r="J90" s="132">
        <v>4.3499999999999997E-2</v>
      </c>
      <c r="K90" s="135" t="s">
        <v>2560</v>
      </c>
      <c r="L90" s="135"/>
      <c r="M90" s="128">
        <v>139742</v>
      </c>
      <c r="N90" s="128"/>
      <c r="O90" s="128">
        <v>79380</v>
      </c>
      <c r="P90" s="128"/>
      <c r="Q90" s="130">
        <v>1.3150657699999999</v>
      </c>
    </row>
    <row r="91" spans="1:17" ht="13.5" thickBot="1">
      <c r="A91" s="136" t="s">
        <v>2592</v>
      </c>
      <c r="B91" s="137"/>
      <c r="C91" s="696">
        <f>SUM(C89:C90)</f>
        <v>6058689.1528683677</v>
      </c>
      <c r="D91" s="697"/>
      <c r="E91" s="697"/>
      <c r="F91" s="697"/>
      <c r="G91" s="699">
        <f>SUM(G82:G90)</f>
        <v>406943.68499734544</v>
      </c>
      <c r="H91" s="137"/>
      <c r="I91" s="138">
        <v>5667432.2309689224</v>
      </c>
      <c r="J91" s="141"/>
      <c r="K91" s="139"/>
      <c r="L91" s="139"/>
      <c r="M91" s="140">
        <v>399231</v>
      </c>
      <c r="N91" s="140"/>
      <c r="O91" s="140">
        <v>180628</v>
      </c>
      <c r="P91" s="140"/>
      <c r="Q91" s="142">
        <v>0.82628326200000002</v>
      </c>
    </row>
    <row r="92" spans="1:17" ht="13.5" thickTop="1">
      <c r="A92" s="119"/>
      <c r="B92" s="119"/>
      <c r="C92" s="119"/>
      <c r="D92" s="119"/>
      <c r="E92" s="119"/>
      <c r="F92" s="119"/>
      <c r="G92" s="119"/>
      <c r="H92" s="119"/>
      <c r="I92" s="119"/>
      <c r="J92" s="119"/>
      <c r="K92" s="119"/>
      <c r="L92" s="119"/>
      <c r="M92" s="119"/>
      <c r="N92" s="119"/>
      <c r="O92" s="119"/>
      <c r="P92" s="119"/>
      <c r="Q92" s="119"/>
    </row>
    <row r="93" spans="1:17">
      <c r="A93" s="123" t="s">
        <v>2593</v>
      </c>
      <c r="B93" s="123"/>
      <c r="C93" s="119"/>
      <c r="D93" s="119"/>
      <c r="E93" s="119"/>
      <c r="F93" s="119"/>
      <c r="G93" s="119"/>
      <c r="H93" s="119"/>
      <c r="I93" s="124"/>
      <c r="J93" s="119"/>
      <c r="K93" s="119"/>
      <c r="L93" s="119"/>
      <c r="M93" s="119"/>
      <c r="N93" s="119"/>
      <c r="O93" s="119"/>
      <c r="P93" s="119"/>
      <c r="Q93" s="119"/>
    </row>
    <row r="94" spans="1:17">
      <c r="A94" s="119"/>
      <c r="B94" s="119"/>
      <c r="C94" s="119"/>
      <c r="D94" s="119"/>
      <c r="E94" s="119"/>
      <c r="F94" s="119"/>
      <c r="G94" s="119"/>
      <c r="H94" s="119"/>
      <c r="I94" s="124"/>
      <c r="J94" s="119"/>
      <c r="K94" s="119"/>
      <c r="L94" s="119"/>
      <c r="M94" s="119"/>
      <c r="N94" s="119"/>
      <c r="O94" s="119"/>
      <c r="P94" s="119"/>
      <c r="Q94" s="119"/>
    </row>
    <row r="95" spans="1:17">
      <c r="A95" s="119" t="s">
        <v>2556</v>
      </c>
      <c r="B95" s="119"/>
      <c r="C95" s="125">
        <f>'C-8'!M75</f>
        <v>16</v>
      </c>
      <c r="D95" s="126">
        <v>450</v>
      </c>
      <c r="E95" s="119" t="s">
        <v>2557</v>
      </c>
      <c r="F95" s="127"/>
      <c r="G95" s="128">
        <f>C95*D95*12</f>
        <v>86400</v>
      </c>
      <c r="H95" s="119"/>
      <c r="I95" s="319">
        <v>17</v>
      </c>
      <c r="J95" s="126">
        <v>1000</v>
      </c>
      <c r="K95" s="119" t="s">
        <v>2557</v>
      </c>
      <c r="L95" s="127"/>
      <c r="M95" s="128">
        <v>204000</v>
      </c>
      <c r="N95" s="128"/>
      <c r="O95" s="128">
        <v>112200</v>
      </c>
      <c r="P95" s="128"/>
      <c r="Q95" s="130">
        <v>1.2222222220000001</v>
      </c>
    </row>
    <row r="96" spans="1:17">
      <c r="A96" s="119"/>
      <c r="B96" s="119"/>
      <c r="C96" s="131"/>
      <c r="D96" s="132"/>
      <c r="E96" s="119"/>
      <c r="F96" s="119"/>
      <c r="G96" s="119"/>
      <c r="H96" s="119"/>
      <c r="I96" s="319"/>
      <c r="J96" s="132"/>
      <c r="K96" s="119"/>
      <c r="L96" s="119"/>
      <c r="M96" s="119"/>
      <c r="N96" s="119"/>
      <c r="O96" s="119"/>
      <c r="P96" s="119"/>
      <c r="Q96" s="119"/>
    </row>
    <row r="97" spans="1:17">
      <c r="A97" s="119" t="s">
        <v>2578</v>
      </c>
      <c r="B97" s="119"/>
      <c r="C97" s="131"/>
      <c r="D97" s="132"/>
      <c r="E97" s="119"/>
      <c r="F97" s="119"/>
      <c r="G97" s="119"/>
      <c r="H97" s="119"/>
      <c r="I97" s="319"/>
      <c r="J97" s="132"/>
      <c r="K97" s="119"/>
      <c r="L97" s="119"/>
      <c r="M97" s="119"/>
      <c r="N97" s="119"/>
      <c r="O97" s="119"/>
      <c r="P97" s="119"/>
      <c r="Q97" s="119"/>
    </row>
    <row r="98" spans="1:17">
      <c r="A98" s="133" t="s">
        <v>2588</v>
      </c>
      <c r="B98" s="119"/>
      <c r="C98" s="125">
        <f>'C-8'!M77</f>
        <v>956520</v>
      </c>
      <c r="D98" s="127">
        <v>7.7</v>
      </c>
      <c r="E98" s="119" t="s">
        <v>2580</v>
      </c>
      <c r="F98" s="127"/>
      <c r="G98" s="128">
        <f>C98*D98</f>
        <v>7365204</v>
      </c>
      <c r="H98" s="119"/>
      <c r="I98" s="131">
        <v>87298</v>
      </c>
      <c r="J98" s="127">
        <v>16</v>
      </c>
      <c r="K98" s="119" t="s">
        <v>2580</v>
      </c>
      <c r="L98" s="127"/>
      <c r="M98" s="128">
        <v>1396768</v>
      </c>
      <c r="N98" s="128"/>
      <c r="O98" s="128">
        <v>724573</v>
      </c>
      <c r="P98" s="128"/>
      <c r="Q98" s="130">
        <v>1.0779208410000001</v>
      </c>
    </row>
    <row r="99" spans="1:17">
      <c r="A99" s="133" t="s">
        <v>2589</v>
      </c>
      <c r="B99" s="119"/>
      <c r="C99" s="125">
        <f>'C-8'!M78</f>
        <v>954684</v>
      </c>
      <c r="D99" s="127">
        <v>1</v>
      </c>
      <c r="E99" s="119" t="s">
        <v>2580</v>
      </c>
      <c r="F99" s="127"/>
      <c r="G99" s="128">
        <f>C99*D99</f>
        <v>954684</v>
      </c>
      <c r="H99" s="119"/>
      <c r="I99" s="131">
        <v>86878.75</v>
      </c>
      <c r="J99" s="127">
        <v>2</v>
      </c>
      <c r="K99" s="119" t="s">
        <v>2580</v>
      </c>
      <c r="L99" s="127"/>
      <c r="M99" s="128">
        <v>173758</v>
      </c>
      <c r="N99" s="128"/>
      <c r="O99" s="128">
        <v>86879</v>
      </c>
      <c r="P99" s="128"/>
      <c r="Q99" s="130">
        <v>1</v>
      </c>
    </row>
    <row r="100" spans="1:17">
      <c r="A100" s="133"/>
      <c r="B100" s="119"/>
      <c r="C100" s="125"/>
      <c r="D100" s="127"/>
      <c r="E100" s="119"/>
      <c r="F100" s="127"/>
      <c r="G100" s="128"/>
      <c r="H100" s="119"/>
      <c r="I100" s="125"/>
      <c r="J100" s="127"/>
      <c r="K100" s="119"/>
      <c r="L100" s="127"/>
      <c r="M100" s="128"/>
      <c r="N100" s="128"/>
      <c r="O100" s="119"/>
      <c r="P100" s="119"/>
      <c r="Q100" s="119"/>
    </row>
    <row r="101" spans="1:17">
      <c r="A101" s="119" t="s">
        <v>2558</v>
      </c>
      <c r="B101" s="119"/>
      <c r="C101" s="125"/>
      <c r="D101" s="132"/>
      <c r="E101" s="119"/>
      <c r="F101" s="119"/>
      <c r="G101" s="119"/>
      <c r="H101" s="119"/>
      <c r="I101" s="131"/>
      <c r="J101" s="132"/>
      <c r="K101" s="119"/>
      <c r="L101" s="119"/>
      <c r="M101" s="119"/>
      <c r="N101" s="119"/>
      <c r="O101" s="119"/>
      <c r="P101" s="119"/>
      <c r="Q101" s="119"/>
    </row>
    <row r="102" spans="1:17">
      <c r="A102" s="133" t="s">
        <v>2590</v>
      </c>
      <c r="B102" s="119"/>
      <c r="C102" s="125">
        <f>'C-8'!M80</f>
        <v>116994314.02349174</v>
      </c>
      <c r="D102" s="134">
        <v>4.6789999999999998E-2</v>
      </c>
      <c r="E102" s="135" t="s">
        <v>2560</v>
      </c>
      <c r="F102" s="119"/>
      <c r="G102" s="128">
        <f>C102*D102</f>
        <v>5474163.9531591786</v>
      </c>
      <c r="H102" s="119"/>
      <c r="I102" s="125">
        <v>174527299.71333742</v>
      </c>
      <c r="J102" s="134">
        <v>8.1000000000000003E-2</v>
      </c>
      <c r="K102" s="135" t="s">
        <v>2560</v>
      </c>
      <c r="L102" s="119"/>
      <c r="M102" s="128">
        <v>14136711</v>
      </c>
      <c r="N102" s="119"/>
      <c r="O102" s="128">
        <v>5970579</v>
      </c>
      <c r="P102" s="128"/>
      <c r="Q102" s="130">
        <v>0.73113917299999998</v>
      </c>
    </row>
    <row r="103" spans="1:17">
      <c r="A103" s="133" t="s">
        <v>2591</v>
      </c>
      <c r="B103" s="119"/>
      <c r="C103" s="125">
        <f>'C-8'!M81</f>
        <v>191675903.3890073</v>
      </c>
      <c r="D103" s="135">
        <v>1.779E-2</v>
      </c>
      <c r="E103" s="135" t="s">
        <v>2560</v>
      </c>
      <c r="F103" s="135"/>
      <c r="G103" s="128">
        <f>C103*D103</f>
        <v>3409914.3212904399</v>
      </c>
      <c r="H103" s="119"/>
      <c r="I103" s="125">
        <v>281412745.91853565</v>
      </c>
      <c r="J103" s="132">
        <v>0.04</v>
      </c>
      <c r="K103" s="135" t="s">
        <v>2560</v>
      </c>
      <c r="L103" s="135"/>
      <c r="M103" s="128">
        <v>11256510</v>
      </c>
      <c r="N103" s="128"/>
      <c r="O103" s="128">
        <v>6250177</v>
      </c>
      <c r="P103" s="128"/>
      <c r="Q103" s="130">
        <v>1.248454108</v>
      </c>
    </row>
    <row r="104" spans="1:17" ht="13.5" thickBot="1">
      <c r="A104" s="136" t="s">
        <v>2594</v>
      </c>
      <c r="B104" s="137"/>
      <c r="C104" s="696">
        <f>SUM(C102:C103)</f>
        <v>308670217.41249907</v>
      </c>
      <c r="D104" s="697"/>
      <c r="E104" s="697"/>
      <c r="F104" s="697"/>
      <c r="G104" s="699">
        <f>SUM(G95:G103)</f>
        <v>17290366.27444962</v>
      </c>
      <c r="H104" s="137"/>
      <c r="I104" s="138">
        <v>455940045.63187307</v>
      </c>
      <c r="J104" s="141"/>
      <c r="K104" s="139"/>
      <c r="L104" s="139"/>
      <c r="M104" s="140">
        <v>27167747</v>
      </c>
      <c r="N104" s="140"/>
      <c r="O104" s="140">
        <v>13144408</v>
      </c>
      <c r="P104" s="140"/>
      <c r="Q104" s="142">
        <v>0.93732369999999998</v>
      </c>
    </row>
    <row r="105" spans="1:17" ht="13.5" thickTop="1">
      <c r="A105" s="119"/>
      <c r="B105" s="119"/>
      <c r="C105" s="119"/>
      <c r="D105" s="119"/>
      <c r="E105" s="119"/>
      <c r="F105" s="119"/>
      <c r="G105" s="119"/>
      <c r="H105" s="119"/>
      <c r="I105" s="119"/>
      <c r="J105" s="119"/>
      <c r="K105" s="119"/>
      <c r="L105" s="119"/>
      <c r="M105" s="119"/>
      <c r="N105" s="119"/>
      <c r="O105" s="119"/>
      <c r="P105" s="119"/>
      <c r="Q105" s="119"/>
    </row>
    <row r="106" spans="1:17">
      <c r="A106" s="123" t="s">
        <v>2595</v>
      </c>
      <c r="B106" s="123"/>
      <c r="C106" s="119"/>
      <c r="D106" s="119"/>
      <c r="E106" s="119"/>
      <c r="F106" s="119"/>
      <c r="G106" s="119"/>
      <c r="H106" s="119"/>
      <c r="I106" s="124"/>
      <c r="J106" s="119"/>
      <c r="K106" s="119"/>
      <c r="L106" s="119"/>
      <c r="M106" s="119"/>
      <c r="N106" s="119"/>
      <c r="O106" s="119"/>
      <c r="P106" s="119"/>
      <c r="Q106" s="119"/>
    </row>
    <row r="107" spans="1:17">
      <c r="A107" s="119"/>
      <c r="B107" s="119"/>
      <c r="C107" s="119"/>
      <c r="D107" s="119"/>
      <c r="E107" s="119"/>
      <c r="F107" s="119"/>
      <c r="G107" s="119"/>
      <c r="H107" s="119"/>
      <c r="I107" s="124"/>
      <c r="J107" s="119"/>
      <c r="K107" s="119"/>
      <c r="L107" s="119"/>
      <c r="M107" s="119"/>
      <c r="N107" s="119"/>
      <c r="O107" s="119"/>
      <c r="P107" s="119"/>
      <c r="Q107" s="119"/>
    </row>
    <row r="108" spans="1:17">
      <c r="A108" s="119" t="s">
        <v>2556</v>
      </c>
      <c r="B108" s="119"/>
      <c r="C108" s="125">
        <f>'C-8'!M85</f>
        <v>1</v>
      </c>
      <c r="D108" s="126">
        <v>450</v>
      </c>
      <c r="E108" s="119" t="s">
        <v>2557</v>
      </c>
      <c r="F108" s="127"/>
      <c r="G108" s="128">
        <f>C108*D108*12</f>
        <v>5400</v>
      </c>
      <c r="H108" s="119"/>
      <c r="I108" s="319">
        <v>1</v>
      </c>
      <c r="J108" s="126">
        <v>1000</v>
      </c>
      <c r="K108" s="119" t="s">
        <v>2557</v>
      </c>
      <c r="L108" s="127"/>
      <c r="M108" s="128">
        <v>12000</v>
      </c>
      <c r="N108" s="128"/>
      <c r="O108" s="128">
        <v>6600</v>
      </c>
      <c r="P108" s="128"/>
      <c r="Q108" s="130">
        <v>1.2222222220000001</v>
      </c>
    </row>
    <row r="109" spans="1:17">
      <c r="A109" s="119"/>
      <c r="B109" s="119"/>
      <c r="C109" s="131"/>
      <c r="D109" s="132"/>
      <c r="E109" s="119"/>
      <c r="F109" s="119"/>
      <c r="G109" s="119"/>
      <c r="H109" s="119"/>
      <c r="I109" s="319"/>
      <c r="J109" s="132"/>
      <c r="K109" s="119"/>
      <c r="L109" s="119"/>
      <c r="M109" s="119"/>
      <c r="N109" s="119"/>
      <c r="O109" s="119"/>
      <c r="P109" s="119"/>
      <c r="Q109" s="119"/>
    </row>
    <row r="110" spans="1:17">
      <c r="A110" s="119" t="s">
        <v>2578</v>
      </c>
      <c r="B110" s="119"/>
      <c r="C110" s="131"/>
      <c r="D110" s="132"/>
      <c r="E110" s="119"/>
      <c r="F110" s="119"/>
      <c r="G110" s="119"/>
      <c r="H110" s="119"/>
      <c r="I110" s="319"/>
      <c r="J110" s="132"/>
      <c r="K110" s="119"/>
      <c r="L110" s="119"/>
      <c r="M110" s="119"/>
      <c r="N110" s="119"/>
      <c r="O110" s="119"/>
      <c r="P110" s="119"/>
      <c r="Q110" s="119"/>
    </row>
    <row r="111" spans="1:17">
      <c r="A111" s="133" t="s">
        <v>2596</v>
      </c>
      <c r="B111" s="119"/>
      <c r="C111" s="125">
        <f>'C-8'!M87</f>
        <v>182244</v>
      </c>
      <c r="D111" s="127">
        <v>6</v>
      </c>
      <c r="E111" s="119" t="s">
        <v>2580</v>
      </c>
      <c r="F111" s="127"/>
      <c r="G111" s="128">
        <f>C111*D111</f>
        <v>1093464</v>
      </c>
      <c r="H111" s="119"/>
      <c r="I111" s="131">
        <v>191931</v>
      </c>
      <c r="J111" s="127">
        <v>8.75</v>
      </c>
      <c r="K111" s="119" t="s">
        <v>2580</v>
      </c>
      <c r="L111" s="127"/>
      <c r="M111" s="128">
        <v>1679396</v>
      </c>
      <c r="N111" s="128"/>
      <c r="O111" s="128">
        <v>527810</v>
      </c>
      <c r="P111" s="128"/>
      <c r="Q111" s="130">
        <v>0.45833311599999998</v>
      </c>
    </row>
    <row r="112" spans="1:17">
      <c r="A112" s="133" t="s">
        <v>2581</v>
      </c>
      <c r="B112" s="119"/>
      <c r="C112" s="125">
        <f>'C-8'!M88</f>
        <v>0</v>
      </c>
      <c r="D112" s="127">
        <v>9.6</v>
      </c>
      <c r="E112" s="119" t="s">
        <v>2580</v>
      </c>
      <c r="F112" s="127"/>
      <c r="G112" s="128">
        <f>C112*D112</f>
        <v>0</v>
      </c>
      <c r="H112" s="119"/>
      <c r="I112" s="131">
        <v>0</v>
      </c>
      <c r="J112" s="127">
        <v>10</v>
      </c>
      <c r="K112" s="119" t="s">
        <v>2580</v>
      </c>
      <c r="L112" s="127"/>
      <c r="M112" s="128">
        <v>0</v>
      </c>
      <c r="N112" s="128"/>
      <c r="O112" s="128">
        <v>0</v>
      </c>
      <c r="P112" s="128"/>
      <c r="Q112" s="130">
        <v>0</v>
      </c>
    </row>
    <row r="113" spans="1:17">
      <c r="A113" s="133"/>
      <c r="B113" s="119"/>
      <c r="C113" s="125"/>
      <c r="D113" s="127"/>
      <c r="E113" s="119"/>
      <c r="F113" s="127"/>
      <c r="G113" s="128"/>
      <c r="H113" s="119"/>
      <c r="I113" s="125"/>
      <c r="J113" s="127"/>
      <c r="K113" s="119"/>
      <c r="L113" s="127"/>
      <c r="M113" s="128"/>
      <c r="N113" s="128"/>
      <c r="O113" s="119"/>
      <c r="P113" s="119"/>
      <c r="Q113" s="119"/>
    </row>
    <row r="114" spans="1:17">
      <c r="A114" s="119" t="s">
        <v>2558</v>
      </c>
      <c r="B114" s="119"/>
      <c r="C114" s="125"/>
      <c r="D114" s="132"/>
      <c r="E114" s="119"/>
      <c r="F114" s="119"/>
      <c r="G114" s="119"/>
      <c r="H114" s="119"/>
      <c r="I114" s="131"/>
      <c r="J114" s="132"/>
      <c r="K114" s="119"/>
      <c r="L114" s="119"/>
      <c r="M114" s="119"/>
      <c r="N114" s="119"/>
      <c r="O114" s="119"/>
      <c r="P114" s="119"/>
      <c r="Q114" s="119"/>
    </row>
    <row r="115" spans="1:17">
      <c r="A115" s="133" t="s">
        <v>2597</v>
      </c>
      <c r="B115" s="119"/>
      <c r="C115" s="125">
        <f>'C-8'!M90</f>
        <v>64792428.988055743</v>
      </c>
      <c r="D115" s="134">
        <v>2.496E-2</v>
      </c>
      <c r="E115" s="135" t="s">
        <v>2560</v>
      </c>
      <c r="F115" s="119"/>
      <c r="G115" s="128">
        <f>C115*D115</f>
        <v>1617219.0275418714</v>
      </c>
      <c r="H115" s="119"/>
      <c r="I115" s="125">
        <v>81329554.870816812</v>
      </c>
      <c r="J115" s="134">
        <v>6.7500000000000004E-2</v>
      </c>
      <c r="K115" s="135" t="s">
        <v>2560</v>
      </c>
      <c r="L115" s="119"/>
      <c r="M115" s="128">
        <v>5489745</v>
      </c>
      <c r="N115" s="119"/>
      <c r="O115" s="128">
        <v>3459759</v>
      </c>
      <c r="P115" s="128"/>
      <c r="Q115" s="130">
        <v>1.7043265320000001</v>
      </c>
    </row>
    <row r="116" spans="1:17">
      <c r="A116" s="133" t="s">
        <v>2598</v>
      </c>
      <c r="B116" s="119"/>
      <c r="C116" s="125">
        <f>'C-8'!M91</f>
        <v>0</v>
      </c>
      <c r="D116" s="135">
        <v>1.8960000000000001E-2</v>
      </c>
      <c r="E116" s="135" t="s">
        <v>2560</v>
      </c>
      <c r="F116" s="135"/>
      <c r="G116" s="128">
        <f>C116*D116</f>
        <v>0</v>
      </c>
      <c r="H116" s="119"/>
      <c r="I116" s="125">
        <v>0</v>
      </c>
      <c r="J116" s="132">
        <v>3.5000000000000003E-2</v>
      </c>
      <c r="K116" s="135" t="s">
        <v>2560</v>
      </c>
      <c r="L116" s="135"/>
      <c r="M116" s="128">
        <v>0</v>
      </c>
      <c r="N116" s="128"/>
      <c r="O116" s="128">
        <v>0</v>
      </c>
      <c r="P116" s="128"/>
      <c r="Q116" s="130">
        <v>0</v>
      </c>
    </row>
    <row r="117" spans="1:17" ht="13.5" thickBot="1">
      <c r="A117" s="136" t="s">
        <v>2599</v>
      </c>
      <c r="B117" s="137"/>
      <c r="C117" s="696">
        <f>SUM(C115:C116)</f>
        <v>64792428.988055743</v>
      </c>
      <c r="D117" s="697"/>
      <c r="E117" s="697"/>
      <c r="F117" s="697"/>
      <c r="G117" s="699">
        <f>SUM(G108:G116)</f>
        <v>2716083.0275418712</v>
      </c>
      <c r="H117" s="137"/>
      <c r="I117" s="138">
        <v>81329554.870816812</v>
      </c>
      <c r="J117" s="141"/>
      <c r="K117" s="139"/>
      <c r="L117" s="139"/>
      <c r="M117" s="140">
        <v>7181141</v>
      </c>
      <c r="N117" s="140"/>
      <c r="O117" s="140">
        <v>3994169</v>
      </c>
      <c r="P117" s="140"/>
      <c r="Q117" s="142">
        <v>1.2532802300000001</v>
      </c>
    </row>
    <row r="118" spans="1:17" ht="13.5" thickTop="1">
      <c r="A118" s="119"/>
      <c r="B118" s="119"/>
      <c r="C118" s="119"/>
      <c r="D118" s="119"/>
      <c r="E118" s="119"/>
      <c r="F118" s="119"/>
      <c r="G118" s="119"/>
      <c r="H118" s="119"/>
      <c r="I118" s="119"/>
      <c r="J118" s="119"/>
      <c r="K118" s="119"/>
      <c r="L118" s="119"/>
      <c r="M118" s="119"/>
      <c r="N118" s="119"/>
      <c r="O118" s="119"/>
      <c r="P118" s="119"/>
      <c r="Q118" s="119"/>
    </row>
    <row r="119" spans="1:17" s="321" customFormat="1">
      <c r="A119" s="680" t="s">
        <v>2600</v>
      </c>
      <c r="B119" s="680"/>
      <c r="C119" s="681"/>
      <c r="D119" s="681"/>
      <c r="E119" s="681"/>
      <c r="F119" s="681"/>
      <c r="G119" s="681"/>
      <c r="H119" s="681"/>
      <c r="I119" s="682"/>
      <c r="J119" s="681"/>
      <c r="K119" s="681"/>
      <c r="L119" s="681"/>
      <c r="M119" s="681"/>
      <c r="N119" s="681"/>
      <c r="O119" s="681"/>
      <c r="P119" s="681"/>
      <c r="Q119" s="681"/>
    </row>
    <row r="120" spans="1:17" s="321" customFormat="1">
      <c r="A120" s="681"/>
      <c r="B120" s="681"/>
      <c r="C120" s="681"/>
      <c r="D120" s="681"/>
      <c r="E120" s="681"/>
      <c r="F120" s="681"/>
      <c r="G120" s="681"/>
      <c r="H120" s="681"/>
      <c r="I120" s="682"/>
      <c r="J120" s="681"/>
      <c r="K120" s="681"/>
      <c r="L120" s="681"/>
      <c r="M120" s="681"/>
      <c r="N120" s="681"/>
      <c r="O120" s="681"/>
      <c r="P120" s="681"/>
      <c r="Q120" s="681"/>
    </row>
    <row r="121" spans="1:17" s="321" customFormat="1">
      <c r="A121" s="681" t="s">
        <v>2556</v>
      </c>
      <c r="B121" s="681"/>
      <c r="C121" s="683">
        <f>'C-8'!M95</f>
        <v>1082</v>
      </c>
      <c r="D121" s="684">
        <v>10</v>
      </c>
      <c r="E121" s="681" t="s">
        <v>2557</v>
      </c>
      <c r="F121" s="685"/>
      <c r="G121" s="128">
        <f>C121*D121*12</f>
        <v>129840</v>
      </c>
      <c r="H121" s="681"/>
      <c r="I121" s="702">
        <v>1103</v>
      </c>
      <c r="J121" s="684">
        <v>21</v>
      </c>
      <c r="K121" s="681" t="s">
        <v>2557</v>
      </c>
      <c r="L121" s="685"/>
      <c r="M121" s="687">
        <v>277956</v>
      </c>
      <c r="N121" s="687"/>
      <c r="O121" s="687">
        <v>145596</v>
      </c>
      <c r="P121" s="687"/>
      <c r="Q121" s="703">
        <v>1.1000000000000001</v>
      </c>
    </row>
    <row r="122" spans="1:17" s="321" customFormat="1">
      <c r="A122" s="681"/>
      <c r="B122" s="681"/>
      <c r="C122" s="689"/>
      <c r="D122" s="690"/>
      <c r="E122" s="681"/>
      <c r="F122" s="681"/>
      <c r="G122" s="681"/>
      <c r="H122" s="681"/>
      <c r="I122" s="689"/>
      <c r="J122" s="690"/>
      <c r="K122" s="681"/>
      <c r="L122" s="681"/>
      <c r="M122" s="681"/>
      <c r="N122" s="681"/>
      <c r="O122" s="681"/>
      <c r="P122" s="681"/>
      <c r="Q122" s="681"/>
    </row>
    <row r="123" spans="1:17" s="321" customFormat="1">
      <c r="A123" s="681" t="s">
        <v>2558</v>
      </c>
      <c r="B123" s="681"/>
      <c r="C123" s="683"/>
      <c r="D123" s="690"/>
      <c r="E123" s="681"/>
      <c r="F123" s="681"/>
      <c r="G123" s="681"/>
      <c r="H123" s="681"/>
      <c r="I123" s="689"/>
      <c r="J123" s="690"/>
      <c r="K123" s="681"/>
      <c r="L123" s="681"/>
      <c r="M123" s="681"/>
      <c r="N123" s="681"/>
      <c r="O123" s="681"/>
      <c r="P123" s="681"/>
      <c r="Q123" s="681"/>
    </row>
    <row r="124" spans="1:17" s="321" customFormat="1">
      <c r="A124" s="691" t="s">
        <v>912</v>
      </c>
      <c r="B124" s="681"/>
      <c r="C124" s="683">
        <f>'C-8'!M97</f>
        <v>23109614.930104855</v>
      </c>
      <c r="D124" s="692">
        <v>6.1789999999999998E-2</v>
      </c>
      <c r="E124" s="693" t="s">
        <v>2560</v>
      </c>
      <c r="F124" s="681"/>
      <c r="G124" s="128">
        <f>C124*D124</f>
        <v>1427943.106531179</v>
      </c>
      <c r="H124" s="681"/>
      <c r="I124" s="683">
        <v>19515369.388357587</v>
      </c>
      <c r="J124" s="692">
        <v>8.5000000000000006E-2</v>
      </c>
      <c r="K124" s="693" t="s">
        <v>2560</v>
      </c>
      <c r="L124" s="681"/>
      <c r="M124" s="687">
        <v>1658806</v>
      </c>
      <c r="N124" s="681"/>
      <c r="O124" s="687">
        <v>452951</v>
      </c>
      <c r="P124" s="687"/>
      <c r="Q124" s="703">
        <v>0.37562642299999999</v>
      </c>
    </row>
    <row r="125" spans="1:17" s="321" customFormat="1" ht="13.5" thickBot="1">
      <c r="A125" s="694" t="s">
        <v>2601</v>
      </c>
      <c r="B125" s="695"/>
      <c r="C125" s="696">
        <f>C124</f>
        <v>23109614.930104855</v>
      </c>
      <c r="D125" s="697"/>
      <c r="E125" s="697"/>
      <c r="F125" s="697"/>
      <c r="G125" s="699">
        <f>SUM(G121:G124)</f>
        <v>1557783.106531179</v>
      </c>
      <c r="H125" s="695"/>
      <c r="I125" s="696">
        <v>19515369.388357587</v>
      </c>
      <c r="J125" s="698"/>
      <c r="K125" s="697"/>
      <c r="L125" s="697"/>
      <c r="M125" s="699">
        <v>1936762</v>
      </c>
      <c r="N125" s="699"/>
      <c r="O125" s="699">
        <v>598547</v>
      </c>
      <c r="P125" s="699"/>
      <c r="Q125" s="704">
        <v>0.44727267300000001</v>
      </c>
    </row>
    <row r="126" spans="1:17" ht="13.5" thickTop="1">
      <c r="A126" s="166"/>
      <c r="B126" s="119"/>
      <c r="C126" s="125"/>
      <c r="D126" s="135"/>
      <c r="E126" s="135"/>
      <c r="F126" s="135"/>
      <c r="G126" s="128"/>
      <c r="H126" s="119"/>
      <c r="I126" s="125"/>
      <c r="J126" s="132"/>
      <c r="K126" s="135"/>
      <c r="L126" s="135"/>
      <c r="M126" s="128"/>
      <c r="N126" s="128"/>
      <c r="O126" s="128"/>
      <c r="P126" s="128"/>
      <c r="Q126" s="130"/>
    </row>
    <row r="127" spans="1:17">
      <c r="A127" s="123" t="s">
        <v>2602</v>
      </c>
      <c r="B127" s="123"/>
      <c r="C127" s="119"/>
      <c r="D127" s="119"/>
      <c r="E127" s="119"/>
      <c r="F127" s="119"/>
      <c r="G127" s="119"/>
      <c r="H127" s="119"/>
      <c r="I127" s="124"/>
      <c r="J127" s="119"/>
      <c r="K127" s="119"/>
      <c r="L127" s="119"/>
      <c r="M127" s="119"/>
      <c r="N127" s="119"/>
      <c r="O127" s="119"/>
      <c r="P127" s="119"/>
      <c r="Q127" s="119"/>
    </row>
    <row r="128" spans="1:17">
      <c r="A128" s="119"/>
      <c r="B128" s="119"/>
      <c r="C128" s="119"/>
      <c r="D128" s="119"/>
      <c r="E128" s="119"/>
      <c r="F128" s="119"/>
      <c r="G128" s="119"/>
      <c r="H128" s="119"/>
      <c r="I128" s="124"/>
      <c r="J128" s="119"/>
      <c r="K128" s="119"/>
      <c r="L128" s="119"/>
      <c r="M128" s="119"/>
      <c r="N128" s="119"/>
      <c r="O128" s="119"/>
      <c r="P128" s="119"/>
      <c r="Q128" s="119"/>
    </row>
    <row r="129" spans="1:17">
      <c r="A129" s="119" t="s">
        <v>2556</v>
      </c>
      <c r="B129" s="119"/>
      <c r="C129" s="125">
        <f>'C-8'!M101</f>
        <v>2465</v>
      </c>
      <c r="D129" s="126">
        <v>5</v>
      </c>
      <c r="E129" s="119" t="s">
        <v>2557</v>
      </c>
      <c r="F129" s="127"/>
      <c r="G129" s="128">
        <f>C129*D129*12</f>
        <v>147900</v>
      </c>
      <c r="H129" s="119"/>
      <c r="I129" s="319">
        <v>48</v>
      </c>
      <c r="J129" s="126">
        <v>15</v>
      </c>
      <c r="K129" s="119" t="s">
        <v>2557</v>
      </c>
      <c r="L129" s="127"/>
      <c r="M129" s="128">
        <v>8640</v>
      </c>
      <c r="N129" s="128"/>
      <c r="O129" s="128">
        <v>5760</v>
      </c>
      <c r="P129" s="128"/>
      <c r="Q129" s="130">
        <v>2</v>
      </c>
    </row>
    <row r="130" spans="1:17">
      <c r="A130" s="119"/>
      <c r="B130" s="119"/>
      <c r="C130" s="131"/>
      <c r="D130" s="132"/>
      <c r="E130" s="119"/>
      <c r="F130" s="119"/>
      <c r="G130" s="119"/>
      <c r="H130" s="119"/>
      <c r="I130" s="131"/>
      <c r="J130" s="132"/>
      <c r="K130" s="119"/>
      <c r="L130" s="119"/>
      <c r="M130" s="119"/>
      <c r="N130" s="119"/>
      <c r="O130" s="119"/>
      <c r="P130" s="119"/>
      <c r="Q130" s="119"/>
    </row>
    <row r="131" spans="1:17">
      <c r="A131" s="119" t="s">
        <v>2558</v>
      </c>
      <c r="B131" s="119"/>
      <c r="C131" s="125"/>
      <c r="D131" s="132"/>
      <c r="E131" s="119"/>
      <c r="F131" s="119"/>
      <c r="G131" s="119"/>
      <c r="H131" s="119"/>
      <c r="I131" s="131"/>
      <c r="J131" s="132"/>
      <c r="K131" s="119"/>
      <c r="L131" s="119"/>
      <c r="M131" s="119"/>
      <c r="N131" s="119"/>
      <c r="O131" s="119"/>
      <c r="P131" s="119"/>
      <c r="Q131" s="119"/>
    </row>
    <row r="132" spans="1:17">
      <c r="A132" s="133" t="s">
        <v>2603</v>
      </c>
      <c r="B132" s="119"/>
      <c r="C132" s="125">
        <f>'C-8'!M103</f>
        <v>0</v>
      </c>
      <c r="D132" s="134">
        <v>8.4489999999999996E-2</v>
      </c>
      <c r="E132" s="135" t="s">
        <v>2557</v>
      </c>
      <c r="F132" s="119"/>
      <c r="G132" s="128">
        <f>C132*D132</f>
        <v>0</v>
      </c>
      <c r="H132" s="119"/>
      <c r="I132" s="125">
        <v>0</v>
      </c>
      <c r="J132" s="134">
        <v>0.125</v>
      </c>
      <c r="K132" s="135" t="s">
        <v>2560</v>
      </c>
      <c r="L132" s="119"/>
      <c r="M132" s="128">
        <v>0</v>
      </c>
      <c r="N132" s="119"/>
      <c r="O132" s="128">
        <v>0</v>
      </c>
      <c r="P132" s="128"/>
      <c r="Q132" s="130">
        <v>0</v>
      </c>
    </row>
    <row r="133" spans="1:17">
      <c r="A133" s="133" t="s">
        <v>2604</v>
      </c>
      <c r="B133" s="119"/>
      <c r="C133" s="125">
        <f>'C-8'!M104</f>
        <v>0</v>
      </c>
      <c r="D133" s="135">
        <v>0</v>
      </c>
      <c r="E133" s="135" t="s">
        <v>2557</v>
      </c>
      <c r="F133" s="135"/>
      <c r="G133" s="128">
        <f>C133*D133</f>
        <v>0</v>
      </c>
      <c r="H133" s="119"/>
      <c r="I133" s="125">
        <v>0</v>
      </c>
      <c r="J133" s="132">
        <v>0</v>
      </c>
      <c r="K133" s="135" t="s">
        <v>2560</v>
      </c>
      <c r="L133" s="135"/>
      <c r="M133" s="128">
        <v>0</v>
      </c>
      <c r="N133" s="128"/>
      <c r="O133" s="128">
        <v>0</v>
      </c>
      <c r="P133" s="128"/>
      <c r="Q133" s="130">
        <v>0</v>
      </c>
    </row>
    <row r="134" spans="1:17">
      <c r="A134" s="133" t="s">
        <v>2605</v>
      </c>
      <c r="B134" s="119"/>
      <c r="C134" s="125">
        <f>'C-8'!M105</f>
        <v>16455131.999999998</v>
      </c>
      <c r="D134" s="135">
        <v>8.4489999999999996E-2</v>
      </c>
      <c r="E134" s="135" t="s">
        <v>2560</v>
      </c>
      <c r="F134" s="135"/>
      <c r="G134" s="128">
        <f>C134*D134</f>
        <v>1390294.1026799998</v>
      </c>
      <c r="H134" s="119"/>
      <c r="I134" s="125">
        <v>16455131.999999998</v>
      </c>
      <c r="J134" s="132">
        <v>0.125</v>
      </c>
      <c r="K134" s="135" t="s">
        <v>2560</v>
      </c>
      <c r="L134" s="135"/>
      <c r="M134" s="128">
        <v>2056892</v>
      </c>
      <c r="N134" s="128"/>
      <c r="O134" s="128">
        <v>666598</v>
      </c>
      <c r="P134" s="128"/>
      <c r="Q134" s="130">
        <v>0.47946549399999999</v>
      </c>
    </row>
    <row r="135" spans="1:17" ht="13.5" thickBot="1">
      <c r="A135" s="136" t="s">
        <v>2606</v>
      </c>
      <c r="B135" s="137"/>
      <c r="C135" s="138">
        <f>SUM(C132:C134)</f>
        <v>16455131.999999998</v>
      </c>
      <c r="D135" s="139"/>
      <c r="E135" s="139"/>
      <c r="F135" s="139"/>
      <c r="G135" s="140">
        <f>SUM(G129:G134)</f>
        <v>1538194.1026799998</v>
      </c>
      <c r="H135" s="137"/>
      <c r="I135" s="138">
        <v>16455131.999999998</v>
      </c>
      <c r="J135" s="141"/>
      <c r="K135" s="139"/>
      <c r="L135" s="139"/>
      <c r="M135" s="140">
        <v>2065532</v>
      </c>
      <c r="N135" s="140"/>
      <c r="O135" s="140">
        <v>672358</v>
      </c>
      <c r="P135" s="140"/>
      <c r="Q135" s="142">
        <v>0.48260877699999999</v>
      </c>
    </row>
    <row r="136" spans="1:17" ht="13.5" thickTop="1">
      <c r="A136" s="119"/>
      <c r="B136" s="119"/>
      <c r="C136" s="119"/>
      <c r="D136" s="119"/>
      <c r="E136" s="119"/>
      <c r="F136" s="119"/>
      <c r="G136" s="119"/>
      <c r="H136" s="119"/>
      <c r="I136" s="124"/>
      <c r="J136" s="119"/>
      <c r="K136" s="119"/>
      <c r="L136" s="119"/>
      <c r="M136" s="119"/>
      <c r="N136" s="119"/>
      <c r="O136" s="119"/>
      <c r="P136" s="119"/>
      <c r="Q136" s="119"/>
    </row>
    <row r="137" spans="1:17">
      <c r="A137" s="123" t="s">
        <v>2607</v>
      </c>
      <c r="B137" s="123"/>
      <c r="C137" s="119"/>
      <c r="D137" s="119"/>
      <c r="E137" s="119"/>
      <c r="F137" s="119"/>
      <c r="G137" s="119"/>
      <c r="H137" s="119"/>
      <c r="I137" s="124"/>
      <c r="J137" s="119"/>
      <c r="K137" s="119"/>
      <c r="L137" s="119"/>
      <c r="M137" s="119"/>
      <c r="N137" s="119"/>
      <c r="O137" s="119"/>
      <c r="P137" s="119"/>
      <c r="Q137" s="119"/>
    </row>
    <row r="138" spans="1:17">
      <c r="A138" s="119"/>
      <c r="B138" s="119"/>
      <c r="C138" s="119"/>
      <c r="D138" s="119"/>
      <c r="E138" s="119"/>
      <c r="F138" s="119"/>
      <c r="G138" s="119"/>
      <c r="H138" s="119"/>
      <c r="I138" s="124"/>
      <c r="J138" s="119"/>
      <c r="K138" s="119"/>
      <c r="L138" s="119"/>
      <c r="M138" s="119"/>
      <c r="N138" s="119"/>
      <c r="O138" s="119"/>
      <c r="P138" s="119"/>
      <c r="Q138" s="119"/>
    </row>
    <row r="139" spans="1:17">
      <c r="A139" s="119" t="s">
        <v>2556</v>
      </c>
      <c r="B139" s="119"/>
      <c r="C139" s="125">
        <f>'C-8'!M109</f>
        <v>923</v>
      </c>
      <c r="D139" s="126">
        <v>4.5999999999999996</v>
      </c>
      <c r="E139" s="119" t="s">
        <v>2557</v>
      </c>
      <c r="F139" s="127"/>
      <c r="G139" s="128">
        <f>C139*D139*12</f>
        <v>50949.599999999991</v>
      </c>
      <c r="H139" s="119"/>
      <c r="I139" s="319">
        <v>223</v>
      </c>
      <c r="J139" s="126">
        <v>15</v>
      </c>
      <c r="K139" s="119" t="s">
        <v>2557</v>
      </c>
      <c r="L139" s="127"/>
      <c r="M139" s="128">
        <v>40140</v>
      </c>
      <c r="N139" s="128"/>
      <c r="O139" s="128">
        <v>27830</v>
      </c>
      <c r="P139" s="128"/>
      <c r="Q139" s="130">
        <v>2.2607636069999999</v>
      </c>
    </row>
    <row r="140" spans="1:17">
      <c r="A140" s="119"/>
      <c r="B140" s="119"/>
      <c r="C140" s="131"/>
      <c r="D140" s="132"/>
      <c r="E140" s="119"/>
      <c r="F140" s="119"/>
      <c r="G140" s="119"/>
      <c r="H140" s="119"/>
      <c r="I140" s="131"/>
      <c r="J140" s="132"/>
      <c r="K140" s="119"/>
      <c r="L140" s="119"/>
      <c r="M140" s="119"/>
      <c r="N140" s="119"/>
      <c r="O140" s="119"/>
      <c r="P140" s="119"/>
      <c r="Q140" s="119"/>
    </row>
    <row r="141" spans="1:17">
      <c r="A141" s="119" t="s">
        <v>2558</v>
      </c>
      <c r="B141" s="119"/>
      <c r="C141" s="125"/>
      <c r="D141" s="132"/>
      <c r="E141" s="119"/>
      <c r="F141" s="119"/>
      <c r="G141" s="119"/>
      <c r="H141" s="119"/>
      <c r="I141" s="131"/>
      <c r="J141" s="132"/>
      <c r="K141" s="119"/>
      <c r="L141" s="119"/>
      <c r="M141" s="119"/>
      <c r="N141" s="119"/>
      <c r="O141" s="119"/>
      <c r="P141" s="119"/>
      <c r="Q141" s="119"/>
    </row>
    <row r="142" spans="1:17">
      <c r="A142" s="133" t="s">
        <v>912</v>
      </c>
      <c r="B142" s="119"/>
      <c r="C142" s="125">
        <f>'C-8'!M111</f>
        <v>153660</v>
      </c>
      <c r="D142" s="134">
        <v>8.4489999999999996E-2</v>
      </c>
      <c r="E142" s="135" t="s">
        <v>2560</v>
      </c>
      <c r="F142" s="119"/>
      <c r="G142" s="128">
        <f>C142*D142</f>
        <v>12982.733399999999</v>
      </c>
      <c r="H142" s="119"/>
      <c r="I142" s="125">
        <v>153660</v>
      </c>
      <c r="J142" s="134">
        <v>0.125</v>
      </c>
      <c r="K142" s="135" t="s">
        <v>2560</v>
      </c>
      <c r="L142" s="119"/>
      <c r="M142" s="128">
        <v>19208</v>
      </c>
      <c r="N142" s="119"/>
      <c r="O142" s="128">
        <v>6225</v>
      </c>
      <c r="P142" s="128"/>
      <c r="Q142" s="130">
        <v>0.47947315699999998</v>
      </c>
    </row>
    <row r="143" spans="1:17" ht="13.5" thickBot="1">
      <c r="A143" s="136" t="s">
        <v>2608</v>
      </c>
      <c r="B143" s="137"/>
      <c r="C143" s="138">
        <f>C142</f>
        <v>153660</v>
      </c>
      <c r="D143" s="139"/>
      <c r="E143" s="139"/>
      <c r="F143" s="139"/>
      <c r="G143" s="167">
        <f>SUM(G139:G142)</f>
        <v>63932.333399999989</v>
      </c>
      <c r="H143" s="137"/>
      <c r="I143" s="138">
        <v>153660</v>
      </c>
      <c r="J143" s="141"/>
      <c r="K143" s="139"/>
      <c r="L143" s="139"/>
      <c r="M143" s="140">
        <v>59348</v>
      </c>
      <c r="N143" s="140"/>
      <c r="O143" s="140">
        <v>34055</v>
      </c>
      <c r="P143" s="140"/>
      <c r="Q143" s="142">
        <v>1.346419958</v>
      </c>
    </row>
    <row r="144" spans="1:17" ht="13.5" thickTop="1">
      <c r="A144" s="166"/>
      <c r="B144" s="119"/>
      <c r="C144" s="125"/>
      <c r="D144" s="135"/>
      <c r="E144" s="135"/>
      <c r="F144" s="135"/>
      <c r="G144" s="128"/>
      <c r="H144" s="119"/>
      <c r="I144" s="125"/>
      <c r="J144" s="132"/>
      <c r="K144" s="135"/>
      <c r="L144" s="135"/>
      <c r="M144" s="128"/>
      <c r="N144" s="128"/>
      <c r="O144" s="128"/>
      <c r="P144" s="128"/>
      <c r="Q144" s="130"/>
    </row>
    <row r="145" spans="1:17">
      <c r="A145" s="123" t="s">
        <v>2609</v>
      </c>
      <c r="B145" s="123"/>
      <c r="C145" s="119"/>
      <c r="D145" s="119"/>
      <c r="E145" s="119"/>
      <c r="F145" s="119"/>
      <c r="G145" s="119"/>
      <c r="H145" s="119"/>
      <c r="I145" s="124"/>
      <c r="J145" s="119"/>
      <c r="K145" s="119"/>
      <c r="L145" s="119"/>
      <c r="M145" s="119"/>
      <c r="N145" s="119"/>
      <c r="O145" s="119"/>
      <c r="P145" s="119"/>
      <c r="Q145" s="119"/>
    </row>
    <row r="146" spans="1:17">
      <c r="A146" s="119"/>
      <c r="B146" s="119"/>
      <c r="C146" s="119"/>
      <c r="D146" s="119"/>
      <c r="E146" s="119"/>
      <c r="F146" s="119"/>
      <c r="G146" s="119"/>
      <c r="H146" s="119"/>
      <c r="I146" s="124"/>
      <c r="J146" s="119"/>
      <c r="K146" s="119"/>
      <c r="L146" s="119"/>
      <c r="M146" s="119"/>
      <c r="N146" s="119"/>
      <c r="O146" s="119"/>
      <c r="P146" s="119"/>
      <c r="Q146" s="119"/>
    </row>
    <row r="147" spans="1:17">
      <c r="A147" s="119" t="s">
        <v>2556</v>
      </c>
      <c r="B147" s="119"/>
      <c r="C147" s="125">
        <f>'C-8'!M115</f>
        <v>2</v>
      </c>
      <c r="D147" s="126">
        <v>521.67999999999995</v>
      </c>
      <c r="E147" s="119" t="s">
        <v>2557</v>
      </c>
      <c r="F147" s="127"/>
      <c r="G147" s="128">
        <f>C147*D147*12</f>
        <v>12520.32</v>
      </c>
      <c r="H147" s="119"/>
      <c r="I147" s="319">
        <v>2</v>
      </c>
      <c r="J147" s="126">
        <v>1750</v>
      </c>
      <c r="K147" s="119" t="s">
        <v>2557</v>
      </c>
      <c r="L147" s="127"/>
      <c r="M147" s="128">
        <v>42000</v>
      </c>
      <c r="N147" s="128"/>
      <c r="O147" s="128">
        <v>29480</v>
      </c>
      <c r="P147" s="128"/>
      <c r="Q147" s="130">
        <v>2.3546325879999999</v>
      </c>
    </row>
    <row r="148" spans="1:17">
      <c r="A148" s="119"/>
      <c r="B148" s="119"/>
      <c r="C148" s="131"/>
      <c r="D148" s="132"/>
      <c r="E148" s="119"/>
      <c r="F148" s="119"/>
      <c r="G148" s="119"/>
      <c r="H148" s="119"/>
      <c r="I148" s="131"/>
      <c r="J148" s="132"/>
      <c r="K148" s="119"/>
      <c r="L148" s="119"/>
      <c r="M148" s="119"/>
      <c r="N148" s="119"/>
      <c r="O148" s="119"/>
      <c r="P148" s="119"/>
      <c r="Q148" s="119"/>
    </row>
    <row r="149" spans="1:17">
      <c r="A149" s="119" t="s">
        <v>2578</v>
      </c>
      <c r="B149" s="119"/>
      <c r="C149" s="131"/>
      <c r="D149" s="132"/>
      <c r="E149" s="119"/>
      <c r="F149" s="119"/>
      <c r="G149" s="119"/>
      <c r="H149" s="119"/>
      <c r="I149" s="319"/>
      <c r="J149" s="132"/>
      <c r="K149" s="119"/>
      <c r="L149" s="119"/>
      <c r="M149" s="119"/>
      <c r="N149" s="119"/>
      <c r="O149" s="119"/>
      <c r="P149" s="119"/>
      <c r="Q149" s="119"/>
    </row>
    <row r="150" spans="1:17">
      <c r="A150" s="133" t="s">
        <v>2579</v>
      </c>
      <c r="B150" s="119"/>
      <c r="C150" s="125">
        <f>'C-8'!M117</f>
        <v>130503.05120829679</v>
      </c>
      <c r="D150" s="127">
        <v>8.58</v>
      </c>
      <c r="E150" s="119" t="s">
        <v>2580</v>
      </c>
      <c r="F150" s="127"/>
      <c r="G150" s="128">
        <f>C150*D150</f>
        <v>1119716.1793671865</v>
      </c>
      <c r="H150" s="119"/>
      <c r="I150" s="131">
        <v>0</v>
      </c>
      <c r="J150" s="127">
        <v>8.58</v>
      </c>
      <c r="K150" s="119" t="s">
        <v>2580</v>
      </c>
      <c r="L150" s="127"/>
      <c r="M150" s="128">
        <v>0</v>
      </c>
      <c r="N150" s="128"/>
      <c r="O150" s="128">
        <v>0</v>
      </c>
      <c r="P150" s="128"/>
      <c r="Q150" s="130">
        <v>0</v>
      </c>
    </row>
    <row r="151" spans="1:17">
      <c r="A151" s="133" t="s">
        <v>2581</v>
      </c>
      <c r="B151" s="119"/>
      <c r="C151" s="125">
        <f>'C-8'!M118</f>
        <v>0</v>
      </c>
      <c r="D151" s="127">
        <v>11.59</v>
      </c>
      <c r="E151" s="119" t="s">
        <v>2580</v>
      </c>
      <c r="F151" s="127"/>
      <c r="G151" s="128">
        <f>C151*D151</f>
        <v>0</v>
      </c>
      <c r="H151" s="119"/>
      <c r="I151" s="131">
        <v>0</v>
      </c>
      <c r="J151" s="127">
        <v>11.59</v>
      </c>
      <c r="K151" s="119" t="s">
        <v>2580</v>
      </c>
      <c r="L151" s="127"/>
      <c r="M151" s="128">
        <v>0</v>
      </c>
      <c r="N151" s="128"/>
      <c r="O151" s="128">
        <v>0</v>
      </c>
      <c r="P151" s="128"/>
      <c r="Q151" s="130">
        <v>0</v>
      </c>
    </row>
    <row r="152" spans="1:17">
      <c r="A152" s="133"/>
      <c r="B152" s="119"/>
      <c r="C152" s="125"/>
      <c r="D152" s="127"/>
      <c r="E152" s="119"/>
      <c r="F152" s="127"/>
      <c r="G152" s="128"/>
      <c r="H152" s="119"/>
      <c r="I152" s="125"/>
      <c r="J152" s="127"/>
      <c r="K152" s="119"/>
      <c r="L152" s="127"/>
      <c r="M152" s="128"/>
      <c r="N152" s="128"/>
      <c r="O152" s="119"/>
      <c r="P152" s="119"/>
      <c r="Q152" s="119"/>
    </row>
    <row r="153" spans="1:17">
      <c r="A153" s="119" t="s">
        <v>2558</v>
      </c>
      <c r="B153" s="119"/>
      <c r="C153" s="125"/>
      <c r="D153" s="132"/>
      <c r="E153" s="119"/>
      <c r="F153" s="119"/>
      <c r="G153" s="119"/>
      <c r="H153" s="119"/>
      <c r="I153" s="131"/>
      <c r="J153" s="132"/>
      <c r="K153" s="119"/>
      <c r="L153" s="119"/>
      <c r="M153" s="119"/>
      <c r="N153" s="119"/>
      <c r="O153" s="119"/>
      <c r="P153" s="119"/>
      <c r="Q153" s="119"/>
    </row>
    <row r="154" spans="1:17">
      <c r="A154" s="133" t="s">
        <v>912</v>
      </c>
      <c r="B154" s="119"/>
      <c r="C154" s="125">
        <f>'C-8'!M120</f>
        <v>4433674</v>
      </c>
      <c r="D154" s="134">
        <v>2.811E-2</v>
      </c>
      <c r="E154" s="135" t="s">
        <v>2560</v>
      </c>
      <c r="F154" s="119"/>
      <c r="G154" s="128">
        <f>C154*D154</f>
        <v>124630.57614</v>
      </c>
      <c r="H154" s="119"/>
      <c r="I154" s="125">
        <v>698242.00885200687</v>
      </c>
      <c r="J154" s="134">
        <v>4.5999999999999999E-2</v>
      </c>
      <c r="K154" s="135" t="s">
        <v>2560</v>
      </c>
      <c r="L154" s="119"/>
      <c r="M154" s="128">
        <v>32119</v>
      </c>
      <c r="N154" s="119"/>
      <c r="O154" s="128">
        <v>12491</v>
      </c>
      <c r="P154" s="128"/>
      <c r="Q154" s="130">
        <v>0.63638679399999998</v>
      </c>
    </row>
    <row r="155" spans="1:17" ht="13.5" thickBot="1">
      <c r="A155" s="136" t="s">
        <v>2610</v>
      </c>
      <c r="B155" s="137"/>
      <c r="C155" s="138">
        <f>C154</f>
        <v>4433674</v>
      </c>
      <c r="D155" s="139"/>
      <c r="E155" s="139"/>
      <c r="F155" s="139"/>
      <c r="G155" s="140">
        <f>SUM(G147:G154)</f>
        <v>1256867.0755071866</v>
      </c>
      <c r="H155" s="137"/>
      <c r="I155" s="138">
        <v>698242.00885200687</v>
      </c>
      <c r="J155" s="141"/>
      <c r="K155" s="139"/>
      <c r="L155" s="139"/>
      <c r="M155" s="140">
        <v>74119</v>
      </c>
      <c r="N155" s="140"/>
      <c r="O155" s="140">
        <v>41971</v>
      </c>
      <c r="P155" s="140"/>
      <c r="Q155" s="142">
        <v>1.3055555560000001</v>
      </c>
    </row>
    <row r="156" spans="1:17" ht="13.5" thickTop="1"/>
    <row r="157" spans="1:17">
      <c r="C157" s="319"/>
      <c r="G157" s="320"/>
      <c r="M157" s="320">
        <v>1604697840</v>
      </c>
      <c r="O157" s="320">
        <v>-599965958</v>
      </c>
    </row>
    <row r="159" spans="1:17">
      <c r="G159" s="320"/>
    </row>
  </sheetData>
  <conditionalFormatting sqref="I6:I7">
    <cfRule type="cellIs" dxfId="392" priority="70" operator="equal">
      <formula>C6</formula>
    </cfRule>
  </conditionalFormatting>
  <conditionalFormatting sqref="I15:I16">
    <cfRule type="cellIs" dxfId="391" priority="68" operator="equal">
      <formula>C15</formula>
    </cfRule>
  </conditionalFormatting>
  <conditionalFormatting sqref="I24:I25">
    <cfRule type="cellIs" dxfId="390" priority="66" operator="equal">
      <formula>C24</formula>
    </cfRule>
  </conditionalFormatting>
  <conditionalFormatting sqref="I33:I34">
    <cfRule type="cellIs" dxfId="389" priority="64" operator="equal">
      <formula>C33</formula>
    </cfRule>
  </conditionalFormatting>
  <conditionalFormatting sqref="I46:I47">
    <cfRule type="cellIs" dxfId="388" priority="60" operator="equal">
      <formula>C46</formula>
    </cfRule>
  </conditionalFormatting>
  <conditionalFormatting sqref="I54:I55">
    <cfRule type="cellIs" dxfId="387" priority="58" operator="equal">
      <formula>C54</formula>
    </cfRule>
  </conditionalFormatting>
  <conditionalFormatting sqref="I61">
    <cfRule type="cellIs" dxfId="386" priority="72" operator="equal">
      <formula>C61</formula>
    </cfRule>
  </conditionalFormatting>
  <conditionalFormatting sqref="I67:I68">
    <cfRule type="cellIs" dxfId="385" priority="55" operator="equal">
      <formula>C67</formula>
    </cfRule>
  </conditionalFormatting>
  <conditionalFormatting sqref="I74">
    <cfRule type="cellIs" dxfId="384" priority="57" operator="equal">
      <formula>C74</formula>
    </cfRule>
  </conditionalFormatting>
  <conditionalFormatting sqref="I80:I81">
    <cfRule type="cellIs" dxfId="383" priority="52" operator="equal">
      <formula>C80</formula>
    </cfRule>
  </conditionalFormatting>
  <conditionalFormatting sqref="I87">
    <cfRule type="cellIs" dxfId="382" priority="54" operator="equal">
      <formula>C87</formula>
    </cfRule>
  </conditionalFormatting>
  <conditionalFormatting sqref="I93:I94">
    <cfRule type="cellIs" dxfId="381" priority="49" operator="equal">
      <formula>C93</formula>
    </cfRule>
  </conditionalFormatting>
  <conditionalFormatting sqref="I100">
    <cfRule type="cellIs" dxfId="380" priority="51" operator="equal">
      <formula>C100</formula>
    </cfRule>
  </conditionalFormatting>
  <conditionalFormatting sqref="I106:I107">
    <cfRule type="cellIs" dxfId="379" priority="46" operator="equal">
      <formula>C106</formula>
    </cfRule>
  </conditionalFormatting>
  <conditionalFormatting sqref="I113">
    <cfRule type="cellIs" dxfId="378" priority="48" operator="equal">
      <formula>C113</formula>
    </cfRule>
  </conditionalFormatting>
  <conditionalFormatting sqref="I119:I120">
    <cfRule type="cellIs" dxfId="377" priority="43" operator="equal">
      <formula>C119</formula>
    </cfRule>
  </conditionalFormatting>
  <conditionalFormatting sqref="I127:I128">
    <cfRule type="cellIs" dxfId="376" priority="40" operator="equal">
      <formula>C127</formula>
    </cfRule>
  </conditionalFormatting>
  <conditionalFormatting sqref="I136:I138">
    <cfRule type="cellIs" dxfId="375" priority="35" operator="equal">
      <formula>C136</formula>
    </cfRule>
  </conditionalFormatting>
  <conditionalFormatting sqref="I145:I146">
    <cfRule type="cellIs" dxfId="374" priority="32" operator="equal">
      <formula>C145</formula>
    </cfRule>
  </conditionalFormatting>
  <conditionalFormatting sqref="I152">
    <cfRule type="cellIs" dxfId="373" priority="30" operator="equal">
      <formula>C152</formula>
    </cfRule>
  </conditionalFormatting>
  <conditionalFormatting sqref="I36:L38">
    <cfRule type="expression" dxfId="372" priority="63">
      <formula>HideProposed</formula>
    </cfRule>
  </conditionalFormatting>
  <conditionalFormatting sqref="I41:L43">
    <cfRule type="expression" dxfId="371" priority="62">
      <formula>HideProposed</formula>
    </cfRule>
  </conditionalFormatting>
  <conditionalFormatting sqref="I48:L48">
    <cfRule type="expression" dxfId="370" priority="59">
      <formula>HideProposed</formula>
    </cfRule>
  </conditionalFormatting>
  <conditionalFormatting sqref="I121:L121">
    <cfRule type="expression" dxfId="369" priority="42">
      <formula>HideProposed</formula>
    </cfRule>
  </conditionalFormatting>
  <conditionalFormatting sqref="I132:L134">
    <cfRule type="expression" dxfId="368" priority="39">
      <formula>HideProposed</formula>
    </cfRule>
  </conditionalFormatting>
  <conditionalFormatting sqref="I139:L139">
    <cfRule type="expression" dxfId="367" priority="37">
      <formula>HideProposed</formula>
    </cfRule>
  </conditionalFormatting>
  <conditionalFormatting sqref="I147:L147">
    <cfRule type="expression" dxfId="366" priority="31">
      <formula>HideProposed</formula>
    </cfRule>
  </conditionalFormatting>
  <conditionalFormatting sqref="I154:L154 J155:L155">
    <cfRule type="expression" dxfId="365" priority="34">
      <formula>HideProposed</formula>
    </cfRule>
  </conditionalFormatting>
  <conditionalFormatting sqref="I5:Q7 I8:L8 N8:Q8 I9:Q10 I11:L12 N11:Q12 J13:Q13 I49:Q50 I51:L51 N51:Q52 J52:L52 I53:Q55 I56:L56 N56:Q56 I57:Q58 I59:L60 N59:Q60 I61:Q62 I63:L64 N63:Q64 J65:Q65">
    <cfRule type="expression" dxfId="364" priority="71">
      <formula>HideProposed</formula>
    </cfRule>
  </conditionalFormatting>
  <conditionalFormatting sqref="I14:Q16 I17:L17 I18:Q19 I20:L21 J22:Q22">
    <cfRule type="expression" dxfId="363" priority="69">
      <formula>HideProposed</formula>
    </cfRule>
  </conditionalFormatting>
  <conditionalFormatting sqref="I23:Q25 I26:L26 I27:Q28 I29:L30 J31:Q31">
    <cfRule type="expression" dxfId="362" priority="67">
      <formula>HideProposed</formula>
    </cfRule>
  </conditionalFormatting>
  <conditionalFormatting sqref="I32:Q35 I39:Q40 J44:L44">
    <cfRule type="expression" dxfId="361" priority="65">
      <formula>HideProposed</formula>
    </cfRule>
  </conditionalFormatting>
  <conditionalFormatting sqref="I45:Q47">
    <cfRule type="expression" dxfId="360" priority="61">
      <formula>HideProposed</formula>
    </cfRule>
  </conditionalFormatting>
  <conditionalFormatting sqref="I66:Q68 I69:L69 I70:Q71 I72:L73 I74:Q75 I76:L77 J78:Q78">
    <cfRule type="expression" dxfId="359" priority="56">
      <formula>HideProposed</formula>
    </cfRule>
  </conditionalFormatting>
  <conditionalFormatting sqref="I79:Q81 I82:L82 I83:Q84 I85:L86 I87:Q88 I89:L90 J91:Q91">
    <cfRule type="expression" dxfId="358" priority="53">
      <formula>HideProposed</formula>
    </cfRule>
  </conditionalFormatting>
  <conditionalFormatting sqref="I92:Q94 I95:L95 I96:Q97 I98:L99 I100:Q101 I102:L103 J104:Q104">
    <cfRule type="expression" dxfId="357" priority="50">
      <formula>HideProposed</formula>
    </cfRule>
  </conditionalFormatting>
  <conditionalFormatting sqref="I105:Q107 I108:L108 I109:Q110 I111:L112 I113:Q114 I115:L116 J117:Q117">
    <cfRule type="expression" dxfId="356" priority="47">
      <formula>HideProposed</formula>
    </cfRule>
  </conditionalFormatting>
  <conditionalFormatting sqref="I118:Q120">
    <cfRule type="expression" dxfId="355" priority="44">
      <formula>HideProposed</formula>
    </cfRule>
  </conditionalFormatting>
  <conditionalFormatting sqref="I122:Q123 I124:L124 J125:L125">
    <cfRule type="expression" dxfId="354" priority="45">
      <formula>HideProposed</formula>
    </cfRule>
  </conditionalFormatting>
  <conditionalFormatting sqref="I126:Q128 I129:L129 I130:Q131 J135:L135">
    <cfRule type="expression" dxfId="353" priority="41">
      <formula>HideProposed</formula>
    </cfRule>
  </conditionalFormatting>
  <conditionalFormatting sqref="I136:Q138">
    <cfRule type="expression" dxfId="352" priority="36">
      <formula>HideProposed</formula>
    </cfRule>
  </conditionalFormatting>
  <conditionalFormatting sqref="I140:Q141 I142:L142 J143:L143">
    <cfRule type="expression" dxfId="351" priority="38">
      <formula>HideProposed</formula>
    </cfRule>
  </conditionalFormatting>
  <conditionalFormatting sqref="I144:Q146">
    <cfRule type="expression" dxfId="350" priority="33">
      <formula>HideProposed</formula>
    </cfRule>
  </conditionalFormatting>
  <conditionalFormatting sqref="I148:Q149 I150:L151 I152:Q153">
    <cfRule type="expression" dxfId="349" priority="29">
      <formula>HideProposed</formula>
    </cfRule>
  </conditionalFormatting>
  <conditionalFormatting sqref="N17:Q17">
    <cfRule type="expression" dxfId="348" priority="28">
      <formula>HideProposed</formula>
    </cfRule>
  </conditionalFormatting>
  <conditionalFormatting sqref="N20:Q21">
    <cfRule type="expression" dxfId="347" priority="27">
      <formula>HideProposed</formula>
    </cfRule>
  </conditionalFormatting>
  <conditionalFormatting sqref="N26:Q26">
    <cfRule type="expression" dxfId="346" priority="26">
      <formula>HideProposed</formula>
    </cfRule>
  </conditionalFormatting>
  <conditionalFormatting sqref="N29:Q30">
    <cfRule type="expression" dxfId="345" priority="25">
      <formula>HideProposed</formula>
    </cfRule>
  </conditionalFormatting>
  <conditionalFormatting sqref="N36:Q38">
    <cfRule type="expression" dxfId="344" priority="24">
      <formula>HideProposed</formula>
    </cfRule>
  </conditionalFormatting>
  <conditionalFormatting sqref="N41:Q44">
    <cfRule type="expression" dxfId="343" priority="23">
      <formula>HideProposed</formula>
    </cfRule>
  </conditionalFormatting>
  <conditionalFormatting sqref="N48:Q48">
    <cfRule type="expression" dxfId="342" priority="22">
      <formula>HideProposed</formula>
    </cfRule>
  </conditionalFormatting>
  <conditionalFormatting sqref="N69:Q69">
    <cfRule type="expression" dxfId="341" priority="21">
      <formula>HideProposed</formula>
    </cfRule>
  </conditionalFormatting>
  <conditionalFormatting sqref="N72:Q73">
    <cfRule type="expression" dxfId="340" priority="20">
      <formula>HideProposed</formula>
    </cfRule>
  </conditionalFormatting>
  <conditionalFormatting sqref="N76:Q77">
    <cfRule type="expression" dxfId="339" priority="19">
      <formula>HideProposed</formula>
    </cfRule>
  </conditionalFormatting>
  <conditionalFormatting sqref="N82:Q82">
    <cfRule type="expression" dxfId="338" priority="18">
      <formula>HideProposed</formula>
    </cfRule>
  </conditionalFormatting>
  <conditionalFormatting sqref="N85:Q86">
    <cfRule type="expression" dxfId="337" priority="17">
      <formula>HideProposed</formula>
    </cfRule>
  </conditionalFormatting>
  <conditionalFormatting sqref="N89:Q90">
    <cfRule type="expression" dxfId="336" priority="16">
      <formula>HideProposed</formula>
    </cfRule>
  </conditionalFormatting>
  <conditionalFormatting sqref="N95:Q95">
    <cfRule type="expression" dxfId="335" priority="15">
      <formula>HideProposed</formula>
    </cfRule>
  </conditionalFormatting>
  <conditionalFormatting sqref="N98:Q99">
    <cfRule type="expression" dxfId="334" priority="14">
      <formula>HideProposed</formula>
    </cfRule>
  </conditionalFormatting>
  <conditionalFormatting sqref="N102:Q103">
    <cfRule type="expression" dxfId="333" priority="13">
      <formula>HideProposed</formula>
    </cfRule>
  </conditionalFormatting>
  <conditionalFormatting sqref="N108:Q108">
    <cfRule type="expression" dxfId="332" priority="12">
      <formula>HideProposed</formula>
    </cfRule>
  </conditionalFormatting>
  <conditionalFormatting sqref="N111:Q112">
    <cfRule type="expression" dxfId="331" priority="11">
      <formula>HideProposed</formula>
    </cfRule>
  </conditionalFormatting>
  <conditionalFormatting sqref="N115:Q116">
    <cfRule type="expression" dxfId="330" priority="10">
      <formula>HideProposed</formula>
    </cfRule>
  </conditionalFormatting>
  <conditionalFormatting sqref="N121:Q121">
    <cfRule type="expression" dxfId="329" priority="9">
      <formula>HideProposed</formula>
    </cfRule>
  </conditionalFormatting>
  <conditionalFormatting sqref="N124:Q125">
    <cfRule type="expression" dxfId="328" priority="8">
      <formula>HideProposed</formula>
    </cfRule>
  </conditionalFormatting>
  <conditionalFormatting sqref="N129:Q129">
    <cfRule type="expression" dxfId="327" priority="7">
      <formula>HideProposed</formula>
    </cfRule>
  </conditionalFormatting>
  <conditionalFormatting sqref="N132:Q135">
    <cfRule type="expression" dxfId="326" priority="6">
      <formula>HideProposed</formula>
    </cfRule>
  </conditionalFormatting>
  <conditionalFormatting sqref="N139:Q139">
    <cfRule type="expression" dxfId="325" priority="5">
      <formula>HideProposed</formula>
    </cfRule>
  </conditionalFormatting>
  <conditionalFormatting sqref="N142:Q143">
    <cfRule type="expression" dxfId="324" priority="4">
      <formula>HideProposed</formula>
    </cfRule>
  </conditionalFormatting>
  <conditionalFormatting sqref="N147:Q147">
    <cfRule type="expression" dxfId="323" priority="3">
      <formula>HideProposed</formula>
    </cfRule>
  </conditionalFormatting>
  <conditionalFormatting sqref="N150:Q151">
    <cfRule type="expression" dxfId="322" priority="2">
      <formula>HideProposed</formula>
    </cfRule>
  </conditionalFormatting>
  <conditionalFormatting sqref="N154:Q155">
    <cfRule type="expression" dxfId="321" priority="1">
      <formula>HideProposed</formula>
    </cfRule>
  </conditionalFormatting>
  <pageMargins left="0.7" right="0.7" top="0.75" bottom="0.75" header="0.3" footer="0.3"/>
  <pageSetup orientation="portrait" horizontalDpi="1200" verticalDpi="1200" r:id="rId1"/>
  <headerFooter>
    <oddHeader>&amp;LPuerto Rico Electric Power Authority 
Docket NEPR-AP-2023-0003
Consumer Analysis at Present Rates&amp;RSchedule E-2.1 FY 2026
Page &amp;P of &amp;N</oddHeader>
  </headerFooter>
  <rowBreaks count="2" manualBreakCount="2">
    <brk id="91" max="6" man="1"/>
    <brk id="135" max="6"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40C1E-E9E7-450D-A730-77722D607B67}">
  <sheetPr>
    <tabColor theme="8" tint="0.79998168889431442"/>
  </sheetPr>
  <dimension ref="A1:Q159"/>
  <sheetViews>
    <sheetView workbookViewId="0"/>
    <sheetView workbookViewId="1"/>
    <sheetView workbookViewId="2"/>
  </sheetViews>
  <sheetFormatPr defaultColWidth="8.42578125" defaultRowHeight="12.75"/>
  <cols>
    <col min="1" max="1" width="32.140625" style="318" customWidth="1"/>
    <col min="2" max="2" width="1.5703125" style="318" customWidth="1"/>
    <col min="3" max="3" width="15.85546875" style="318" customWidth="1"/>
    <col min="4" max="4" width="8.85546875" style="318" customWidth="1"/>
    <col min="5" max="5" width="8" style="318" customWidth="1"/>
    <col min="6" max="6" width="1.5703125" style="318" customWidth="1"/>
    <col min="7" max="7" width="14.140625" style="318" customWidth="1"/>
    <col min="8" max="8" width="1.5703125" style="318" hidden="1" customWidth="1"/>
    <col min="9" max="9" width="15.5703125" style="318" hidden="1" customWidth="1"/>
    <col min="10" max="10" width="10.5703125" style="318" hidden="1" customWidth="1"/>
    <col min="11" max="11" width="8" style="318" hidden="1" customWidth="1"/>
    <col min="12" max="12" width="1.5703125" style="318" hidden="1" customWidth="1"/>
    <col min="13" max="13" width="13.140625" style="318" hidden="1" customWidth="1"/>
    <col min="14" max="14" width="1.5703125" style="318" hidden="1" customWidth="1"/>
    <col min="15" max="15" width="13" style="318" hidden="1" customWidth="1"/>
    <col min="16" max="16" width="0" style="318" hidden="1" customWidth="1"/>
    <col min="17" max="17" width="12.140625" style="318" hidden="1" customWidth="1"/>
    <col min="18" max="16384" width="8.42578125" style="318"/>
  </cols>
  <sheetData>
    <row r="1" spans="1:17">
      <c r="A1" s="119"/>
      <c r="B1" s="119"/>
      <c r="C1" s="119"/>
      <c r="D1" s="119"/>
      <c r="E1" s="119"/>
      <c r="F1" s="119"/>
      <c r="G1" s="119"/>
      <c r="H1" s="119"/>
      <c r="I1" s="119"/>
      <c r="J1" s="119"/>
      <c r="K1" s="119"/>
      <c r="L1" s="119"/>
      <c r="M1" s="119"/>
      <c r="N1" s="119"/>
      <c r="O1" s="119"/>
      <c r="P1" s="119"/>
      <c r="Q1" s="119"/>
    </row>
    <row r="2" spans="1:17">
      <c r="A2" s="119"/>
      <c r="B2" s="119"/>
      <c r="C2" s="120" t="s">
        <v>2503</v>
      </c>
      <c r="D2" s="119"/>
      <c r="E2" s="119"/>
      <c r="F2" s="119"/>
      <c r="G2" s="119"/>
      <c r="H2" s="119"/>
      <c r="I2" s="120" t="s">
        <v>2546</v>
      </c>
      <c r="J2" s="119"/>
      <c r="K2" s="119"/>
      <c r="L2" s="119"/>
      <c r="M2" s="119"/>
      <c r="N2" s="119"/>
      <c r="O2" s="118" t="s">
        <v>2547</v>
      </c>
      <c r="P2" s="118"/>
      <c r="Q2" s="118"/>
    </row>
    <row r="3" spans="1:17">
      <c r="A3" s="119"/>
      <c r="B3" s="119"/>
      <c r="C3" s="120" t="s">
        <v>2548</v>
      </c>
      <c r="D3" s="120" t="s">
        <v>2503</v>
      </c>
      <c r="E3" s="120"/>
      <c r="F3" s="120"/>
      <c r="G3" s="120" t="s">
        <v>2503</v>
      </c>
      <c r="H3" s="120"/>
      <c r="I3" s="120" t="s">
        <v>2548</v>
      </c>
      <c r="J3" s="120" t="s">
        <v>2546</v>
      </c>
      <c r="K3" s="120"/>
      <c r="L3" s="120"/>
      <c r="M3" s="120" t="s">
        <v>2546</v>
      </c>
      <c r="N3" s="120"/>
      <c r="O3" s="118" t="s">
        <v>2549</v>
      </c>
      <c r="P3" s="118"/>
      <c r="Q3" s="118"/>
    </row>
    <row r="4" spans="1:17">
      <c r="A4" s="121" t="s">
        <v>2550</v>
      </c>
      <c r="B4" s="121"/>
      <c r="C4" s="122" t="s">
        <v>2551</v>
      </c>
      <c r="D4" s="122" t="s">
        <v>2552</v>
      </c>
      <c r="E4" s="122"/>
      <c r="F4" s="122"/>
      <c r="G4" s="122" t="s">
        <v>2506</v>
      </c>
      <c r="H4" s="122"/>
      <c r="I4" s="122" t="s">
        <v>2551</v>
      </c>
      <c r="J4" s="122" t="s">
        <v>2552</v>
      </c>
      <c r="K4" s="122"/>
      <c r="L4" s="122"/>
      <c r="M4" s="122" t="s">
        <v>2506</v>
      </c>
      <c r="N4" s="122"/>
      <c r="O4" s="122" t="s">
        <v>2553</v>
      </c>
      <c r="P4" s="122"/>
      <c r="Q4" s="122" t="s">
        <v>2554</v>
      </c>
    </row>
    <row r="5" spans="1:17">
      <c r="A5" s="119"/>
      <c r="B5" s="119"/>
      <c r="C5" s="119"/>
      <c r="D5" s="119"/>
      <c r="E5" s="119"/>
      <c r="F5" s="119"/>
      <c r="G5" s="119"/>
      <c r="H5" s="119"/>
      <c r="I5" s="119"/>
      <c r="J5" s="119"/>
      <c r="K5" s="119"/>
      <c r="L5" s="119"/>
      <c r="M5" s="119"/>
      <c r="N5" s="119"/>
      <c r="O5" s="119"/>
      <c r="P5" s="119"/>
      <c r="Q5" s="119"/>
    </row>
    <row r="6" spans="1:17">
      <c r="A6" s="123" t="s">
        <v>2555</v>
      </c>
      <c r="B6" s="123"/>
      <c r="C6" s="119"/>
      <c r="D6" s="119"/>
      <c r="E6" s="119"/>
      <c r="F6" s="119"/>
      <c r="G6" s="119"/>
      <c r="H6" s="119"/>
      <c r="I6" s="124"/>
      <c r="J6" s="119"/>
      <c r="K6" s="119"/>
      <c r="L6" s="119"/>
      <c r="M6" s="119"/>
      <c r="N6" s="119"/>
      <c r="O6" s="119"/>
      <c r="P6" s="119"/>
      <c r="Q6" s="119"/>
    </row>
    <row r="7" spans="1:17">
      <c r="A7" s="119"/>
      <c r="B7" s="119"/>
      <c r="C7" s="119"/>
      <c r="D7" s="119"/>
      <c r="E7" s="119"/>
      <c r="F7" s="119"/>
      <c r="G7" s="119"/>
      <c r="H7" s="119"/>
      <c r="I7" s="124"/>
      <c r="J7" s="119"/>
      <c r="K7" s="119"/>
      <c r="L7" s="119"/>
      <c r="M7" s="119"/>
      <c r="N7" s="119"/>
      <c r="O7" s="119"/>
      <c r="P7" s="119"/>
      <c r="Q7" s="119"/>
    </row>
    <row r="8" spans="1:17">
      <c r="A8" s="119" t="s">
        <v>2556</v>
      </c>
      <c r="B8" s="119"/>
      <c r="C8" s="125">
        <f>'C-8'!O7</f>
        <v>1200273</v>
      </c>
      <c r="D8" s="126">
        <v>4</v>
      </c>
      <c r="E8" s="119" t="s">
        <v>2557</v>
      </c>
      <c r="F8" s="127"/>
      <c r="G8" s="128">
        <f>C8*D8*12</f>
        <v>57613104</v>
      </c>
      <c r="H8" s="119"/>
      <c r="I8" s="678">
        <v>1171166</v>
      </c>
      <c r="J8" s="126">
        <v>15</v>
      </c>
      <c r="K8" s="119" t="s">
        <v>2557</v>
      </c>
      <c r="L8" s="127"/>
      <c r="M8" s="128">
        <v>210809880</v>
      </c>
      <c r="N8" s="128"/>
      <c r="O8" s="128">
        <v>154593912</v>
      </c>
      <c r="P8" s="128"/>
      <c r="Q8" s="679">
        <v>2.75</v>
      </c>
    </row>
    <row r="9" spans="1:17">
      <c r="A9" s="119"/>
      <c r="B9" s="119"/>
      <c r="C9" s="131"/>
      <c r="D9" s="132"/>
      <c r="E9" s="119"/>
      <c r="F9" s="119"/>
      <c r="G9" s="119"/>
      <c r="H9" s="119"/>
      <c r="I9" s="131"/>
      <c r="J9" s="132"/>
      <c r="K9" s="119"/>
      <c r="L9" s="119"/>
      <c r="M9" s="119"/>
      <c r="N9" s="119"/>
      <c r="O9" s="119"/>
      <c r="P9" s="119"/>
      <c r="Q9" s="119"/>
    </row>
    <row r="10" spans="1:17">
      <c r="A10" s="119" t="s">
        <v>2558</v>
      </c>
      <c r="B10" s="119"/>
      <c r="C10" s="125"/>
      <c r="D10" s="132"/>
      <c r="E10" s="119"/>
      <c r="F10" s="119"/>
      <c r="G10" s="119"/>
      <c r="H10" s="119"/>
      <c r="I10" s="131"/>
      <c r="J10" s="132"/>
      <c r="K10" s="119"/>
      <c r="L10" s="119"/>
      <c r="M10" s="119"/>
      <c r="N10" s="119"/>
      <c r="O10" s="119"/>
      <c r="P10" s="119"/>
      <c r="Q10" s="119"/>
    </row>
    <row r="11" spans="1:17">
      <c r="A11" s="133" t="s">
        <v>2559</v>
      </c>
      <c r="B11" s="119"/>
      <c r="C11" s="125">
        <f>'C-8'!O9</f>
        <v>3465700000</v>
      </c>
      <c r="D11" s="134">
        <v>4.9439999999999998E-2</v>
      </c>
      <c r="E11" s="135" t="s">
        <v>2560</v>
      </c>
      <c r="F11" s="119"/>
      <c r="G11" s="128">
        <f>C11*D11</f>
        <v>171344208</v>
      </c>
      <c r="H11" s="119"/>
      <c r="I11" s="125">
        <v>4930597659.9069214</v>
      </c>
      <c r="J11" s="134">
        <v>7.0000000000000007E-2</v>
      </c>
      <c r="K11" s="135" t="s">
        <v>2560</v>
      </c>
      <c r="L11" s="119"/>
      <c r="M11" s="128">
        <v>345141836</v>
      </c>
      <c r="N11" s="119"/>
      <c r="O11" s="128">
        <v>101373088</v>
      </c>
      <c r="P11" s="128"/>
      <c r="Q11" s="679">
        <v>0.41585760599999999</v>
      </c>
    </row>
    <row r="12" spans="1:17">
      <c r="A12" s="133" t="s">
        <v>2561</v>
      </c>
      <c r="B12" s="119"/>
      <c r="C12" s="125">
        <f>'C-8'!O10</f>
        <v>2000399999.9999998</v>
      </c>
      <c r="D12" s="135">
        <v>5.5640000000000002E-2</v>
      </c>
      <c r="E12" s="135" t="s">
        <v>2560</v>
      </c>
      <c r="F12" s="135"/>
      <c r="G12" s="128">
        <f>C12*D12</f>
        <v>111302255.99999999</v>
      </c>
      <c r="H12" s="119"/>
      <c r="I12" s="125">
        <v>0</v>
      </c>
      <c r="J12" s="132">
        <v>8.5000000000000006E-2</v>
      </c>
      <c r="K12" s="135" t="s">
        <v>2560</v>
      </c>
      <c r="L12" s="135"/>
      <c r="M12" s="128">
        <v>0</v>
      </c>
      <c r="N12" s="128"/>
      <c r="O12" s="128">
        <v>0</v>
      </c>
      <c r="P12" s="128"/>
      <c r="Q12" s="679">
        <v>0</v>
      </c>
    </row>
    <row r="13" spans="1:17" ht="13.5" thickBot="1">
      <c r="A13" s="136" t="s">
        <v>2562</v>
      </c>
      <c r="B13" s="137"/>
      <c r="C13" s="138">
        <f>SUM(C11:C12)</f>
        <v>5466100000</v>
      </c>
      <c r="D13" s="139"/>
      <c r="E13" s="139"/>
      <c r="F13" s="139"/>
      <c r="G13" s="138">
        <f>SUM(G8:G12)</f>
        <v>340259568</v>
      </c>
      <c r="H13" s="137"/>
      <c r="I13" s="138">
        <v>4930597659.9069214</v>
      </c>
      <c r="J13" s="141"/>
      <c r="K13" s="139"/>
      <c r="L13" s="139"/>
      <c r="M13" s="140">
        <v>555951716</v>
      </c>
      <c r="N13" s="140"/>
      <c r="O13" s="140">
        <v>255967000</v>
      </c>
      <c r="P13" s="140"/>
      <c r="Q13" s="142">
        <v>0.85326680399999999</v>
      </c>
    </row>
    <row r="14" spans="1:17" ht="13.5" thickTop="1">
      <c r="A14" s="119"/>
      <c r="B14" s="119"/>
      <c r="C14" s="119"/>
      <c r="D14" s="119"/>
      <c r="E14" s="119"/>
      <c r="F14" s="119"/>
      <c r="G14" s="119"/>
      <c r="H14" s="119"/>
      <c r="I14" s="119"/>
      <c r="J14" s="119"/>
      <c r="K14" s="119"/>
      <c r="L14" s="119"/>
      <c r="M14" s="119"/>
      <c r="N14" s="119"/>
      <c r="O14" s="119"/>
      <c r="P14" s="119"/>
      <c r="Q14" s="119"/>
    </row>
    <row r="15" spans="1:17" s="321" customFormat="1">
      <c r="A15" s="680" t="s">
        <v>2563</v>
      </c>
      <c r="B15" s="680"/>
      <c r="C15" s="681"/>
      <c r="D15" s="681"/>
      <c r="E15" s="681"/>
      <c r="F15" s="681"/>
      <c r="G15" s="681"/>
      <c r="H15" s="681"/>
      <c r="I15" s="682"/>
      <c r="J15" s="681"/>
      <c r="K15" s="681"/>
      <c r="L15" s="681"/>
      <c r="M15" s="681"/>
      <c r="N15" s="681"/>
      <c r="O15" s="681"/>
      <c r="P15" s="681"/>
      <c r="Q15" s="681"/>
    </row>
    <row r="16" spans="1:17" s="321" customFormat="1">
      <c r="A16" s="681"/>
      <c r="B16" s="681"/>
      <c r="C16" s="681"/>
      <c r="D16" s="681"/>
      <c r="E16" s="681"/>
      <c r="F16" s="681"/>
      <c r="G16" s="681"/>
      <c r="H16" s="681"/>
      <c r="I16" s="682"/>
      <c r="J16" s="681"/>
      <c r="K16" s="681"/>
      <c r="L16" s="681"/>
      <c r="M16" s="681"/>
      <c r="N16" s="681"/>
      <c r="O16" s="681"/>
      <c r="P16" s="681"/>
      <c r="Q16" s="681"/>
    </row>
    <row r="17" spans="1:17" s="321" customFormat="1">
      <c r="A17" s="681" t="s">
        <v>2556</v>
      </c>
      <c r="B17" s="681"/>
      <c r="C17" s="683">
        <f>'C-8'!O14</f>
        <v>137698</v>
      </c>
      <c r="D17" s="684">
        <v>3</v>
      </c>
      <c r="E17" s="681" t="s">
        <v>2557</v>
      </c>
      <c r="F17" s="685"/>
      <c r="G17" s="128">
        <f>C17*D17*12</f>
        <v>4957128</v>
      </c>
      <c r="H17" s="681"/>
      <c r="I17" s="686">
        <v>156463</v>
      </c>
      <c r="J17" s="684">
        <v>3</v>
      </c>
      <c r="K17" s="681" t="s">
        <v>2557</v>
      </c>
      <c r="L17" s="685"/>
      <c r="M17" s="687">
        <v>5632668</v>
      </c>
      <c r="N17" s="687"/>
      <c r="O17" s="687">
        <v>0</v>
      </c>
      <c r="P17" s="687"/>
      <c r="Q17" s="688">
        <v>0</v>
      </c>
    </row>
    <row r="18" spans="1:17" s="321" customFormat="1">
      <c r="A18" s="681"/>
      <c r="B18" s="681"/>
      <c r="C18" s="689"/>
      <c r="D18" s="690"/>
      <c r="E18" s="681"/>
      <c r="F18" s="681"/>
      <c r="G18" s="681"/>
      <c r="H18" s="681"/>
      <c r="I18" s="689"/>
      <c r="J18" s="690"/>
      <c r="K18" s="681"/>
      <c r="L18" s="681"/>
      <c r="M18" s="681"/>
      <c r="N18" s="681"/>
      <c r="O18" s="681"/>
      <c r="P18" s="681"/>
      <c r="Q18" s="681"/>
    </row>
    <row r="19" spans="1:17" s="321" customFormat="1">
      <c r="A19" s="681" t="s">
        <v>2558</v>
      </c>
      <c r="B19" s="681"/>
      <c r="C19" s="683"/>
      <c r="D19" s="690"/>
      <c r="E19" s="681"/>
      <c r="F19" s="681"/>
      <c r="G19" s="687"/>
      <c r="H19" s="681"/>
      <c r="I19" s="689"/>
      <c r="J19" s="690"/>
      <c r="K19" s="681"/>
      <c r="L19" s="681"/>
      <c r="M19" s="681"/>
      <c r="N19" s="681"/>
      <c r="O19" s="681"/>
      <c r="P19" s="681"/>
      <c r="Q19" s="681"/>
    </row>
    <row r="20" spans="1:17" s="321" customFormat="1">
      <c r="A20" s="691" t="s">
        <v>2559</v>
      </c>
      <c r="B20" s="681"/>
      <c r="C20" s="683">
        <f>'C-8'!O16</f>
        <v>357900000</v>
      </c>
      <c r="D20" s="692">
        <v>2.0539999999999999E-2</v>
      </c>
      <c r="E20" s="693" t="s">
        <v>2560</v>
      </c>
      <c r="F20" s="681"/>
      <c r="G20" s="128">
        <f>C20*D20</f>
        <v>7351266</v>
      </c>
      <c r="H20" s="681"/>
      <c r="I20" s="683">
        <v>433527426.08210695</v>
      </c>
      <c r="J20" s="692">
        <v>2.7189999999999999E-2</v>
      </c>
      <c r="K20" s="693" t="s">
        <v>2560</v>
      </c>
      <c r="L20" s="681"/>
      <c r="M20" s="687">
        <v>11787611</v>
      </c>
      <c r="N20" s="681"/>
      <c r="O20" s="687">
        <v>2882958</v>
      </c>
      <c r="P20" s="687"/>
      <c r="Q20" s="688">
        <v>0.32375860099999998</v>
      </c>
    </row>
    <row r="21" spans="1:17" s="321" customFormat="1">
      <c r="A21" s="691" t="s">
        <v>2561</v>
      </c>
      <c r="B21" s="681"/>
      <c r="C21" s="683">
        <f>'C-8'!O17</f>
        <v>97199999.999999985</v>
      </c>
      <c r="D21" s="693">
        <v>5.5640000000000002E-2</v>
      </c>
      <c r="E21" s="693" t="s">
        <v>2560</v>
      </c>
      <c r="F21" s="693"/>
      <c r="G21" s="128">
        <f>C21*D21</f>
        <v>5408207.9999999991</v>
      </c>
      <c r="H21" s="681"/>
      <c r="I21" s="683">
        <v>55436313.900534429</v>
      </c>
      <c r="J21" s="690">
        <v>7.3669999999999999E-2</v>
      </c>
      <c r="K21" s="693" t="s">
        <v>2560</v>
      </c>
      <c r="L21" s="693"/>
      <c r="M21" s="687">
        <v>4083993</v>
      </c>
      <c r="N21" s="687"/>
      <c r="O21" s="687">
        <v>999516</v>
      </c>
      <c r="P21" s="687"/>
      <c r="Q21" s="688">
        <v>0.324047156</v>
      </c>
    </row>
    <row r="22" spans="1:17" s="321" customFormat="1" ht="13.5" thickBot="1">
      <c r="A22" s="694" t="s">
        <v>2564</v>
      </c>
      <c r="B22" s="695"/>
      <c r="C22" s="696">
        <f>SUM(C20:C21)</f>
        <v>455100000</v>
      </c>
      <c r="D22" s="697"/>
      <c r="E22" s="697"/>
      <c r="F22" s="697"/>
      <c r="G22" s="696">
        <f>SUM(G17:G21)</f>
        <v>17716602</v>
      </c>
      <c r="H22" s="695"/>
      <c r="I22" s="696">
        <v>488963739.9826414</v>
      </c>
      <c r="J22" s="698"/>
      <c r="K22" s="697"/>
      <c r="L22" s="697"/>
      <c r="M22" s="699">
        <v>21504272</v>
      </c>
      <c r="N22" s="699"/>
      <c r="O22" s="699">
        <v>3882474</v>
      </c>
      <c r="P22" s="699"/>
      <c r="Q22" s="700">
        <v>0.22032224</v>
      </c>
    </row>
    <row r="23" spans="1:17" s="321" customFormat="1" ht="13.5" thickTop="1">
      <c r="A23" s="681"/>
      <c r="B23" s="681"/>
      <c r="C23" s="681"/>
      <c r="D23" s="681"/>
      <c r="E23" s="681"/>
      <c r="F23" s="681"/>
      <c r="G23" s="681"/>
      <c r="H23" s="681"/>
      <c r="I23" s="681"/>
      <c r="J23" s="681"/>
      <c r="K23" s="681"/>
      <c r="L23" s="681"/>
      <c r="M23" s="681"/>
      <c r="N23" s="681"/>
      <c r="O23" s="681"/>
      <c r="P23" s="681"/>
      <c r="Q23" s="681"/>
    </row>
    <row r="24" spans="1:17" s="321" customFormat="1">
      <c r="A24" s="680" t="s">
        <v>2565</v>
      </c>
      <c r="B24" s="680"/>
      <c r="C24" s="681"/>
      <c r="D24" s="681"/>
      <c r="E24" s="681"/>
      <c r="F24" s="681"/>
      <c r="G24" s="681"/>
      <c r="H24" s="681"/>
      <c r="I24" s="682"/>
      <c r="J24" s="681"/>
      <c r="K24" s="681"/>
      <c r="L24" s="681"/>
      <c r="M24" s="681"/>
      <c r="N24" s="681"/>
      <c r="O24" s="681"/>
      <c r="P24" s="681"/>
      <c r="Q24" s="681"/>
    </row>
    <row r="25" spans="1:17" s="321" customFormat="1">
      <c r="A25" s="681"/>
      <c r="B25" s="681"/>
      <c r="C25" s="681"/>
      <c r="D25" s="681"/>
      <c r="E25" s="681"/>
      <c r="F25" s="681"/>
      <c r="G25" s="681"/>
      <c r="H25" s="681"/>
      <c r="I25" s="682"/>
      <c r="J25" s="681"/>
      <c r="K25" s="681"/>
      <c r="L25" s="681"/>
      <c r="M25" s="681"/>
      <c r="N25" s="681"/>
      <c r="O25" s="681"/>
      <c r="P25" s="681"/>
      <c r="Q25" s="681"/>
    </row>
    <row r="26" spans="1:17" s="321" customFormat="1">
      <c r="A26" s="681" t="s">
        <v>2556</v>
      </c>
      <c r="B26" s="681"/>
      <c r="C26" s="683">
        <f>'C-8'!O21</f>
        <v>4385</v>
      </c>
      <c r="D26" s="684">
        <v>2</v>
      </c>
      <c r="E26" s="681" t="s">
        <v>2557</v>
      </c>
      <c r="F26" s="685"/>
      <c r="G26" s="128">
        <f>C26*D26*12</f>
        <v>105240</v>
      </c>
      <c r="H26" s="681"/>
      <c r="I26" s="686">
        <v>5169</v>
      </c>
      <c r="J26" s="684">
        <v>2</v>
      </c>
      <c r="K26" s="681" t="s">
        <v>2557</v>
      </c>
      <c r="L26" s="685"/>
      <c r="M26" s="687">
        <v>124056</v>
      </c>
      <c r="N26" s="687"/>
      <c r="O26" s="687">
        <v>0</v>
      </c>
      <c r="P26" s="687"/>
      <c r="Q26" s="688">
        <v>0</v>
      </c>
    </row>
    <row r="27" spans="1:17" s="321" customFormat="1">
      <c r="A27" s="681"/>
      <c r="B27" s="681"/>
      <c r="C27" s="689"/>
      <c r="D27" s="690"/>
      <c r="E27" s="681"/>
      <c r="F27" s="681"/>
      <c r="G27" s="681"/>
      <c r="H27" s="681"/>
      <c r="I27" s="689"/>
      <c r="J27" s="690"/>
      <c r="K27" s="681"/>
      <c r="L27" s="681"/>
      <c r="M27" s="681"/>
      <c r="N27" s="681"/>
      <c r="O27" s="681"/>
      <c r="P27" s="681"/>
      <c r="Q27" s="681"/>
    </row>
    <row r="28" spans="1:17" s="321" customFormat="1">
      <c r="A28" s="681" t="s">
        <v>2558</v>
      </c>
      <c r="B28" s="681"/>
      <c r="C28" s="683"/>
      <c r="D28" s="690"/>
      <c r="E28" s="681"/>
      <c r="F28" s="681"/>
      <c r="G28" s="681"/>
      <c r="H28" s="681"/>
      <c r="I28" s="689"/>
      <c r="J28" s="690"/>
      <c r="K28" s="681"/>
      <c r="L28" s="681"/>
      <c r="M28" s="681"/>
      <c r="N28" s="681"/>
      <c r="O28" s="681"/>
      <c r="P28" s="681"/>
      <c r="Q28" s="681"/>
    </row>
    <row r="29" spans="1:17" s="321" customFormat="1">
      <c r="A29" s="691" t="s">
        <v>2559</v>
      </c>
      <c r="B29" s="681"/>
      <c r="C29" s="683">
        <f>'C-8'!O23</f>
        <v>11700000</v>
      </c>
      <c r="D29" s="692">
        <v>6.94E-3</v>
      </c>
      <c r="E29" s="693" t="s">
        <v>2560</v>
      </c>
      <c r="F29" s="681"/>
      <c r="G29" s="128">
        <f>C29*D29</f>
        <v>81198</v>
      </c>
      <c r="H29" s="681"/>
      <c r="I29" s="683">
        <v>14568400.214777408</v>
      </c>
      <c r="J29" s="692">
        <v>9.1900000000000003E-3</v>
      </c>
      <c r="K29" s="693" t="s">
        <v>2560</v>
      </c>
      <c r="L29" s="681"/>
      <c r="M29" s="687">
        <v>133884</v>
      </c>
      <c r="N29" s="681"/>
      <c r="O29" s="687">
        <v>32779</v>
      </c>
      <c r="P29" s="687"/>
      <c r="Q29" s="688">
        <v>0.32420750700000001</v>
      </c>
    </row>
    <row r="30" spans="1:17" s="321" customFormat="1">
      <c r="A30" s="691" t="s">
        <v>2561</v>
      </c>
      <c r="B30" s="681"/>
      <c r="C30" s="683">
        <f>'C-8'!O24</f>
        <v>4699999.9999999991</v>
      </c>
      <c r="D30" s="693">
        <v>5.5640000000000002E-2</v>
      </c>
      <c r="E30" s="693" t="s">
        <v>2560</v>
      </c>
      <c r="F30" s="693"/>
      <c r="G30" s="128">
        <f>C30*D30</f>
        <v>261507.99999999997</v>
      </c>
      <c r="H30" s="681"/>
      <c r="I30" s="683">
        <v>2259979.2152436795</v>
      </c>
      <c r="J30" s="690">
        <v>7.3669999999999999E-2</v>
      </c>
      <c r="K30" s="693" t="s">
        <v>2560</v>
      </c>
      <c r="L30" s="693"/>
      <c r="M30" s="687">
        <v>166493</v>
      </c>
      <c r="N30" s="687"/>
      <c r="O30" s="687">
        <v>40748</v>
      </c>
      <c r="P30" s="687"/>
      <c r="Q30" s="688">
        <v>0.324052646</v>
      </c>
    </row>
    <row r="31" spans="1:17" s="321" customFormat="1" ht="13.5" thickBot="1">
      <c r="A31" s="694" t="s">
        <v>2566</v>
      </c>
      <c r="B31" s="695"/>
      <c r="C31" s="696">
        <f>SUM(C29:C30)</f>
        <v>16400000</v>
      </c>
      <c r="D31" s="697"/>
      <c r="E31" s="697"/>
      <c r="F31" s="697"/>
      <c r="G31" s="696">
        <f>SUM(G26:G30)</f>
        <v>447946</v>
      </c>
      <c r="H31" s="695"/>
      <c r="I31" s="696">
        <v>16828379.430021089</v>
      </c>
      <c r="J31" s="698"/>
      <c r="K31" s="697"/>
      <c r="L31" s="697"/>
      <c r="M31" s="699">
        <v>424433</v>
      </c>
      <c r="N31" s="699"/>
      <c r="O31" s="699">
        <v>73527</v>
      </c>
      <c r="P31" s="699"/>
      <c r="Q31" s="700">
        <v>0.20953474699999999</v>
      </c>
    </row>
    <row r="32" spans="1:17" s="321" customFormat="1" ht="13.5" thickTop="1">
      <c r="A32" s="681"/>
      <c r="B32" s="681"/>
      <c r="C32" s="681"/>
      <c r="D32" s="681"/>
      <c r="E32" s="681"/>
      <c r="F32" s="681"/>
      <c r="G32" s="681"/>
      <c r="H32" s="681"/>
      <c r="I32" s="681"/>
      <c r="J32" s="681"/>
      <c r="K32" s="681"/>
      <c r="L32" s="681"/>
      <c r="M32" s="681"/>
      <c r="N32" s="681"/>
      <c r="O32" s="681"/>
      <c r="P32" s="681"/>
      <c r="Q32" s="681"/>
    </row>
    <row r="33" spans="1:17" s="321" customFormat="1">
      <c r="A33" s="680" t="s">
        <v>2567</v>
      </c>
      <c r="B33" s="680"/>
      <c r="C33" s="681"/>
      <c r="D33" s="681"/>
      <c r="E33" s="681"/>
      <c r="F33" s="681"/>
      <c r="G33" s="681"/>
      <c r="H33" s="681"/>
      <c r="I33" s="682"/>
      <c r="J33" s="681"/>
      <c r="K33" s="681"/>
      <c r="L33" s="681"/>
      <c r="M33" s="681"/>
      <c r="N33" s="681"/>
      <c r="O33" s="681"/>
      <c r="P33" s="681"/>
      <c r="Q33" s="681"/>
    </row>
    <row r="34" spans="1:17" s="321" customFormat="1">
      <c r="A34" s="681"/>
      <c r="B34" s="681"/>
      <c r="C34" s="681"/>
      <c r="D34" s="681"/>
      <c r="E34" s="681"/>
      <c r="F34" s="681"/>
      <c r="G34" s="681"/>
      <c r="H34" s="681"/>
      <c r="I34" s="682"/>
      <c r="J34" s="681"/>
      <c r="K34" s="681"/>
      <c r="L34" s="681"/>
      <c r="M34" s="681"/>
      <c r="N34" s="681"/>
      <c r="O34" s="681"/>
      <c r="P34" s="681"/>
      <c r="Q34" s="681"/>
    </row>
    <row r="35" spans="1:17" s="321" customFormat="1">
      <c r="A35" s="681" t="s">
        <v>2556</v>
      </c>
      <c r="B35" s="681"/>
      <c r="C35" s="683"/>
      <c r="D35" s="684"/>
      <c r="E35" s="681"/>
      <c r="F35" s="685"/>
      <c r="G35" s="687"/>
      <c r="H35" s="681"/>
      <c r="I35" s="686"/>
      <c r="J35" s="684"/>
      <c r="K35" s="681"/>
      <c r="L35" s="685"/>
      <c r="M35" s="687"/>
      <c r="N35" s="687"/>
      <c r="O35" s="681"/>
      <c r="P35" s="681"/>
      <c r="Q35" s="681"/>
    </row>
    <row r="36" spans="1:17" s="321" customFormat="1">
      <c r="A36" s="691" t="s">
        <v>2568</v>
      </c>
      <c r="B36" s="681"/>
      <c r="C36" s="683">
        <f>'C-8'!O29</f>
        <v>7716</v>
      </c>
      <c r="D36" s="684">
        <v>30</v>
      </c>
      <c r="E36" s="681" t="s">
        <v>2557</v>
      </c>
      <c r="F36" s="685"/>
      <c r="G36" s="128">
        <f>C36*D36*12</f>
        <v>2777760</v>
      </c>
      <c r="H36" s="681"/>
      <c r="I36" s="686">
        <v>7447</v>
      </c>
      <c r="J36" s="684">
        <v>30</v>
      </c>
      <c r="K36" s="681" t="s">
        <v>2557</v>
      </c>
      <c r="L36" s="685"/>
      <c r="M36" s="687">
        <v>2680920</v>
      </c>
      <c r="N36" s="687"/>
      <c r="O36" s="687">
        <v>0</v>
      </c>
      <c r="P36" s="687"/>
      <c r="Q36" s="688">
        <v>0</v>
      </c>
    </row>
    <row r="37" spans="1:17" s="321" customFormat="1">
      <c r="A37" s="691" t="s">
        <v>2569</v>
      </c>
      <c r="B37" s="681"/>
      <c r="C37" s="683">
        <f>'C-8'!O30</f>
        <v>35132</v>
      </c>
      <c r="D37" s="684">
        <v>40</v>
      </c>
      <c r="E37" s="681" t="s">
        <v>2557</v>
      </c>
      <c r="F37" s="685"/>
      <c r="G37" s="128">
        <f>C37*D37*12</f>
        <v>16863360</v>
      </c>
      <c r="H37" s="681"/>
      <c r="I37" s="686">
        <v>34874</v>
      </c>
      <c r="J37" s="684">
        <v>40</v>
      </c>
      <c r="K37" s="681" t="s">
        <v>2557</v>
      </c>
      <c r="L37" s="685"/>
      <c r="M37" s="687">
        <v>16739520</v>
      </c>
      <c r="N37" s="687"/>
      <c r="O37" s="687">
        <v>0</v>
      </c>
      <c r="P37" s="687"/>
      <c r="Q37" s="688">
        <v>0</v>
      </c>
    </row>
    <row r="38" spans="1:17" s="321" customFormat="1">
      <c r="A38" s="691" t="s">
        <v>2570</v>
      </c>
      <c r="B38" s="681"/>
      <c r="C38" s="683">
        <f>'C-8'!O31</f>
        <v>3773</v>
      </c>
      <c r="D38" s="684">
        <v>50</v>
      </c>
      <c r="E38" s="681" t="s">
        <v>2557</v>
      </c>
      <c r="F38" s="685"/>
      <c r="G38" s="128">
        <f>C38*D38*12</f>
        <v>2263800</v>
      </c>
      <c r="H38" s="681"/>
      <c r="I38" s="686">
        <v>3756</v>
      </c>
      <c r="J38" s="684">
        <v>50</v>
      </c>
      <c r="K38" s="681" t="s">
        <v>2557</v>
      </c>
      <c r="L38" s="685"/>
      <c r="M38" s="687">
        <v>2253600</v>
      </c>
      <c r="N38" s="687"/>
      <c r="O38" s="687">
        <v>0</v>
      </c>
      <c r="P38" s="687"/>
      <c r="Q38" s="688">
        <v>0</v>
      </c>
    </row>
    <row r="39" spans="1:17" s="321" customFormat="1">
      <c r="A39" s="681"/>
      <c r="B39" s="681"/>
      <c r="C39" s="689"/>
      <c r="D39" s="690"/>
      <c r="E39" s="681"/>
      <c r="F39" s="681"/>
      <c r="G39" s="681"/>
      <c r="H39" s="681"/>
      <c r="I39" s="689"/>
      <c r="J39" s="690"/>
      <c r="K39" s="681"/>
      <c r="L39" s="681"/>
      <c r="M39" s="681"/>
      <c r="N39" s="681"/>
      <c r="O39" s="681"/>
      <c r="P39" s="681"/>
      <c r="Q39" s="681"/>
    </row>
    <row r="40" spans="1:17" s="321" customFormat="1">
      <c r="A40" s="681" t="s">
        <v>2558</v>
      </c>
      <c r="B40" s="681"/>
      <c r="C40" s="683"/>
      <c r="D40" s="690"/>
      <c r="E40" s="681"/>
      <c r="F40" s="681"/>
      <c r="G40" s="687"/>
      <c r="H40" s="681"/>
      <c r="I40" s="689"/>
      <c r="J40" s="690"/>
      <c r="K40" s="681"/>
      <c r="L40" s="681"/>
      <c r="M40" s="681"/>
      <c r="N40" s="681"/>
      <c r="O40" s="681"/>
      <c r="P40" s="681"/>
      <c r="Q40" s="681"/>
    </row>
    <row r="41" spans="1:17" s="321" customFormat="1">
      <c r="A41" s="691" t="s">
        <v>2571</v>
      </c>
      <c r="B41" s="681"/>
      <c r="C41" s="683">
        <f>'C-8'!O33</f>
        <v>4900000</v>
      </c>
      <c r="D41" s="701">
        <v>5.5640000000000002E-2</v>
      </c>
      <c r="E41" s="693" t="s">
        <v>2560</v>
      </c>
      <c r="F41" s="681"/>
      <c r="G41" s="687">
        <f>D41*C41</f>
        <v>272636</v>
      </c>
      <c r="H41" s="681"/>
      <c r="I41" s="683">
        <v>0</v>
      </c>
      <c r="J41" s="701">
        <v>8.5000000000000006E-2</v>
      </c>
      <c r="K41" s="693" t="s">
        <v>2560</v>
      </c>
      <c r="L41" s="681"/>
      <c r="M41" s="687">
        <v>0</v>
      </c>
      <c r="N41" s="681"/>
      <c r="O41" s="687">
        <v>0</v>
      </c>
      <c r="P41" s="687"/>
      <c r="Q41" s="688">
        <v>0</v>
      </c>
    </row>
    <row r="42" spans="1:17" s="321" customFormat="1">
      <c r="A42" s="691" t="s">
        <v>2572</v>
      </c>
      <c r="B42" s="681"/>
      <c r="C42" s="683">
        <f>'C-8'!O34</f>
        <v>84600000</v>
      </c>
      <c r="D42" s="701">
        <v>5.5640000000000002E-2</v>
      </c>
      <c r="E42" s="693" t="s">
        <v>2560</v>
      </c>
      <c r="F42" s="693"/>
      <c r="G42" s="687">
        <f>D42*C42</f>
        <v>4707144</v>
      </c>
      <c r="H42" s="681"/>
      <c r="I42" s="683">
        <v>0</v>
      </c>
      <c r="J42" s="701">
        <v>8.5000000000000006E-2</v>
      </c>
      <c r="K42" s="693" t="s">
        <v>2560</v>
      </c>
      <c r="L42" s="693"/>
      <c r="M42" s="687">
        <v>0</v>
      </c>
      <c r="N42" s="687"/>
      <c r="O42" s="687">
        <v>0</v>
      </c>
      <c r="P42" s="687"/>
      <c r="Q42" s="688">
        <v>0</v>
      </c>
    </row>
    <row r="43" spans="1:17" s="321" customFormat="1">
      <c r="A43" s="691" t="s">
        <v>2573</v>
      </c>
      <c r="B43" s="681"/>
      <c r="C43" s="683">
        <f>'C-8'!O35</f>
        <v>18300000</v>
      </c>
      <c r="D43" s="701">
        <v>5.5640000000000002E-2</v>
      </c>
      <c r="E43" s="693" t="s">
        <v>2560</v>
      </c>
      <c r="F43" s="693"/>
      <c r="G43" s="687">
        <f>D43*C43</f>
        <v>1018212</v>
      </c>
      <c r="H43" s="681"/>
      <c r="I43" s="683">
        <v>0</v>
      </c>
      <c r="J43" s="701">
        <v>8.5000000000000006E-2</v>
      </c>
      <c r="K43" s="693" t="s">
        <v>2560</v>
      </c>
      <c r="L43" s="693"/>
      <c r="M43" s="687">
        <v>0</v>
      </c>
      <c r="N43" s="687"/>
      <c r="O43" s="687">
        <v>0</v>
      </c>
      <c r="P43" s="687"/>
      <c r="Q43" s="688">
        <v>0</v>
      </c>
    </row>
    <row r="44" spans="1:17" s="321" customFormat="1" ht="13.5" thickBot="1">
      <c r="A44" s="694" t="s">
        <v>2574</v>
      </c>
      <c r="B44" s="695"/>
      <c r="C44" s="696">
        <f>SUM(C41:C43)</f>
        <v>107800000</v>
      </c>
      <c r="D44" s="697"/>
      <c r="E44" s="697"/>
      <c r="F44" s="697"/>
      <c r="G44" s="699">
        <f>SUM(G36:G43)</f>
        <v>27902912</v>
      </c>
      <c r="H44" s="695"/>
      <c r="I44" s="696">
        <v>0</v>
      </c>
      <c r="J44" s="698"/>
      <c r="K44" s="697"/>
      <c r="L44" s="697"/>
      <c r="M44" s="699">
        <v>21674040</v>
      </c>
      <c r="N44" s="699"/>
      <c r="O44" s="699">
        <v>0</v>
      </c>
      <c r="P44" s="699"/>
      <c r="Q44" s="700">
        <v>0</v>
      </c>
    </row>
    <row r="45" spans="1:17" ht="13.5" thickTop="1">
      <c r="A45" s="166"/>
      <c r="B45" s="119"/>
      <c r="C45" s="125"/>
      <c r="D45" s="135"/>
      <c r="E45" s="135"/>
      <c r="F45" s="135"/>
      <c r="G45" s="128"/>
      <c r="H45" s="119"/>
      <c r="I45" s="125"/>
      <c r="J45" s="132"/>
      <c r="K45" s="135"/>
      <c r="L45" s="135"/>
      <c r="M45" s="128"/>
      <c r="N45" s="128"/>
      <c r="O45" s="128"/>
      <c r="P45" s="128"/>
      <c r="Q45" s="679"/>
    </row>
    <row r="46" spans="1:17">
      <c r="A46" s="123" t="s">
        <v>2575</v>
      </c>
      <c r="B46" s="123"/>
      <c r="C46" s="119"/>
      <c r="D46" s="119"/>
      <c r="E46" s="119"/>
      <c r="F46" s="119"/>
      <c r="G46" s="119"/>
      <c r="H46" s="119"/>
      <c r="I46" s="124"/>
      <c r="J46" s="119"/>
      <c r="K46" s="119"/>
      <c r="L46" s="119"/>
      <c r="M46" s="119"/>
      <c r="N46" s="119"/>
      <c r="O46" s="119"/>
      <c r="P46" s="119"/>
      <c r="Q46" s="119"/>
    </row>
    <row r="47" spans="1:17">
      <c r="A47" s="119"/>
      <c r="B47" s="119"/>
      <c r="C47" s="119"/>
      <c r="D47" s="119"/>
      <c r="E47" s="119"/>
      <c r="F47" s="119"/>
      <c r="G47" s="119"/>
      <c r="H47" s="119"/>
      <c r="I47" s="124"/>
      <c r="J47" s="119"/>
      <c r="K47" s="119"/>
      <c r="L47" s="119"/>
      <c r="M47" s="119"/>
      <c r="N47" s="119"/>
      <c r="O47" s="119"/>
      <c r="P47" s="119"/>
      <c r="Q47" s="119"/>
    </row>
    <row r="48" spans="1:17">
      <c r="A48" s="119" t="s">
        <v>2556</v>
      </c>
      <c r="B48" s="119"/>
      <c r="C48" s="125">
        <f>'C-8'!O39</f>
        <v>113488</v>
      </c>
      <c r="D48" s="126">
        <v>5</v>
      </c>
      <c r="E48" s="119" t="s">
        <v>2557</v>
      </c>
      <c r="F48" s="127"/>
      <c r="G48" s="128">
        <f>C48*D48*12</f>
        <v>6809280</v>
      </c>
      <c r="H48" s="119"/>
      <c r="I48" s="678">
        <v>113937</v>
      </c>
      <c r="J48" s="126">
        <v>21</v>
      </c>
      <c r="K48" s="119" t="s">
        <v>2557</v>
      </c>
      <c r="L48" s="127"/>
      <c r="M48" s="128">
        <v>28712124</v>
      </c>
      <c r="N48" s="128"/>
      <c r="O48" s="128">
        <v>21875904</v>
      </c>
      <c r="P48" s="128"/>
      <c r="Q48" s="679">
        <v>3.2</v>
      </c>
    </row>
    <row r="49" spans="1:17">
      <c r="A49" s="119"/>
      <c r="B49" s="119"/>
      <c r="C49" s="131"/>
      <c r="D49" s="132"/>
      <c r="E49" s="119"/>
      <c r="F49" s="119"/>
      <c r="G49" s="119"/>
      <c r="H49" s="119"/>
      <c r="I49" s="131"/>
      <c r="J49" s="132"/>
      <c r="K49" s="119"/>
      <c r="L49" s="119"/>
      <c r="M49" s="119"/>
      <c r="N49" s="119"/>
      <c r="O49" s="119"/>
      <c r="P49" s="119"/>
      <c r="Q49" s="119"/>
    </row>
    <row r="50" spans="1:17">
      <c r="A50" s="119" t="s">
        <v>2558</v>
      </c>
      <c r="B50" s="119"/>
      <c r="C50" s="125"/>
      <c r="D50" s="132"/>
      <c r="E50" s="119"/>
      <c r="F50" s="119"/>
      <c r="G50" s="119"/>
      <c r="H50" s="119"/>
      <c r="I50" s="131"/>
      <c r="J50" s="132"/>
      <c r="K50" s="119"/>
      <c r="L50" s="119"/>
      <c r="M50" s="119"/>
      <c r="N50" s="119"/>
      <c r="O50" s="119"/>
      <c r="P50" s="119"/>
      <c r="Q50" s="119"/>
    </row>
    <row r="51" spans="1:17">
      <c r="A51" s="133" t="s">
        <v>912</v>
      </c>
      <c r="B51" s="119"/>
      <c r="C51" s="125">
        <f>'C-8'!O41</f>
        <v>2239100000</v>
      </c>
      <c r="D51" s="134">
        <v>8.4489999999999996E-2</v>
      </c>
      <c r="E51" s="135" t="s">
        <v>2560</v>
      </c>
      <c r="F51" s="119"/>
      <c r="G51" s="128">
        <f>C51*D51</f>
        <v>189181559</v>
      </c>
      <c r="H51" s="119"/>
      <c r="I51" s="125">
        <v>1818171251.5977724</v>
      </c>
      <c r="J51" s="134">
        <v>0.125</v>
      </c>
      <c r="K51" s="135" t="s">
        <v>2560</v>
      </c>
      <c r="L51" s="119"/>
      <c r="M51" s="128">
        <v>227271406</v>
      </c>
      <c r="N51" s="119"/>
      <c r="O51" s="128">
        <v>73654117</v>
      </c>
      <c r="P51" s="128"/>
      <c r="Q51" s="679">
        <v>0.47946502299999999</v>
      </c>
    </row>
    <row r="52" spans="1:17" ht="13.5" thickBot="1">
      <c r="A52" s="136" t="s">
        <v>2576</v>
      </c>
      <c r="B52" s="137"/>
      <c r="C52" s="138">
        <f>C51</f>
        <v>2239100000</v>
      </c>
      <c r="D52" s="139"/>
      <c r="E52" s="139"/>
      <c r="F52" s="139"/>
      <c r="G52" s="140">
        <f>SUM(G48:G51)</f>
        <v>195990839</v>
      </c>
      <c r="H52" s="137"/>
      <c r="I52" s="138">
        <v>1818171251.5977724</v>
      </c>
      <c r="J52" s="141"/>
      <c r="K52" s="139"/>
      <c r="L52" s="139"/>
      <c r="M52" s="140">
        <v>255983530</v>
      </c>
      <c r="N52" s="140"/>
      <c r="O52" s="140">
        <v>95530021</v>
      </c>
      <c r="P52" s="140"/>
      <c r="Q52" s="142">
        <v>0.595375082</v>
      </c>
    </row>
    <row r="53" spans="1:17" ht="13.5" thickTop="1">
      <c r="A53" s="166"/>
      <c r="B53" s="119"/>
      <c r="C53" s="125"/>
      <c r="D53" s="135"/>
      <c r="E53" s="135"/>
      <c r="F53" s="135"/>
      <c r="G53" s="128"/>
      <c r="H53" s="119"/>
      <c r="I53" s="125"/>
      <c r="J53" s="132"/>
      <c r="K53" s="135"/>
      <c r="L53" s="135"/>
      <c r="M53" s="128"/>
      <c r="N53" s="128"/>
      <c r="O53" s="128"/>
      <c r="P53" s="128"/>
      <c r="Q53" s="679"/>
    </row>
    <row r="54" spans="1:17">
      <c r="A54" s="123" t="s">
        <v>2577</v>
      </c>
      <c r="B54" s="123"/>
      <c r="C54" s="119"/>
      <c r="D54" s="119"/>
      <c r="E54" s="119"/>
      <c r="F54" s="119"/>
      <c r="G54" s="119"/>
      <c r="H54" s="119"/>
      <c r="I54" s="124"/>
      <c r="J54" s="119"/>
      <c r="K54" s="119"/>
      <c r="L54" s="119"/>
      <c r="M54" s="119"/>
      <c r="N54" s="119"/>
      <c r="O54" s="119"/>
      <c r="P54" s="119"/>
      <c r="Q54" s="119"/>
    </row>
    <row r="55" spans="1:17">
      <c r="A55" s="119"/>
      <c r="B55" s="119"/>
      <c r="C55" s="119"/>
      <c r="D55" s="119"/>
      <c r="E55" s="119"/>
      <c r="F55" s="119"/>
      <c r="G55" s="119"/>
      <c r="H55" s="119"/>
      <c r="I55" s="124"/>
      <c r="J55" s="119"/>
      <c r="K55" s="119"/>
      <c r="L55" s="119"/>
      <c r="M55" s="119"/>
      <c r="N55" s="119"/>
      <c r="O55" s="119"/>
      <c r="P55" s="119"/>
      <c r="Q55" s="119"/>
    </row>
    <row r="56" spans="1:17">
      <c r="A56" s="119" t="s">
        <v>2556</v>
      </c>
      <c r="B56" s="119"/>
      <c r="C56" s="125">
        <f>'C-8'!O45</f>
        <v>10820</v>
      </c>
      <c r="D56" s="126">
        <v>200</v>
      </c>
      <c r="E56" s="119" t="s">
        <v>2557</v>
      </c>
      <c r="F56" s="127"/>
      <c r="G56" s="128">
        <f>C56*D56*12</f>
        <v>25968000</v>
      </c>
      <c r="H56" s="119"/>
      <c r="I56" s="678">
        <v>10790</v>
      </c>
      <c r="J56" s="126">
        <v>400</v>
      </c>
      <c r="K56" s="119" t="s">
        <v>2557</v>
      </c>
      <c r="L56" s="127"/>
      <c r="M56" s="128">
        <v>51792000</v>
      </c>
      <c r="N56" s="128"/>
      <c r="O56" s="128">
        <v>25896000</v>
      </c>
      <c r="P56" s="128"/>
      <c r="Q56" s="679">
        <v>1</v>
      </c>
    </row>
    <row r="57" spans="1:17">
      <c r="A57" s="119"/>
      <c r="B57" s="119"/>
      <c r="C57" s="131"/>
      <c r="D57" s="132"/>
      <c r="E57" s="119"/>
      <c r="F57" s="119"/>
      <c r="G57" s="119"/>
      <c r="H57" s="119"/>
      <c r="I57" s="678"/>
      <c r="J57" s="132"/>
      <c r="K57" s="119"/>
      <c r="L57" s="119"/>
      <c r="M57" s="119"/>
      <c r="N57" s="119"/>
      <c r="O57" s="119"/>
      <c r="P57" s="119"/>
      <c r="Q57" s="119"/>
    </row>
    <row r="58" spans="1:17">
      <c r="A58" s="119" t="s">
        <v>2578</v>
      </c>
      <c r="B58" s="119"/>
      <c r="C58" s="131"/>
      <c r="D58" s="132"/>
      <c r="E58" s="119"/>
      <c r="F58" s="119"/>
      <c r="G58" s="119"/>
      <c r="H58" s="119"/>
      <c r="I58" s="678"/>
      <c r="J58" s="132"/>
      <c r="K58" s="119"/>
      <c r="L58" s="119"/>
      <c r="M58" s="119"/>
      <c r="N58" s="119"/>
      <c r="O58" s="119"/>
      <c r="P58" s="119"/>
      <c r="Q58" s="119"/>
    </row>
    <row r="59" spans="1:17">
      <c r="A59" s="133" t="s">
        <v>2579</v>
      </c>
      <c r="B59" s="119"/>
      <c r="C59" s="125">
        <f>'C-8'!O47</f>
        <v>14371776</v>
      </c>
      <c r="D59" s="127">
        <v>8.1</v>
      </c>
      <c r="E59" s="119" t="s">
        <v>2580</v>
      </c>
      <c r="F59" s="127"/>
      <c r="G59" s="128">
        <f>C59*D59</f>
        <v>116411385.59999999</v>
      </c>
      <c r="H59" s="119"/>
      <c r="I59" s="131">
        <v>17099772</v>
      </c>
      <c r="J59" s="127">
        <v>9</v>
      </c>
      <c r="K59" s="119" t="s">
        <v>2580</v>
      </c>
      <c r="L59" s="127"/>
      <c r="M59" s="128">
        <v>153897948</v>
      </c>
      <c r="N59" s="128"/>
      <c r="O59" s="128">
        <v>15389795</v>
      </c>
      <c r="P59" s="128"/>
      <c r="Q59" s="679">
        <v>0.111111113</v>
      </c>
    </row>
    <row r="60" spans="1:17">
      <c r="A60" s="133" t="s">
        <v>2581</v>
      </c>
      <c r="B60" s="119"/>
      <c r="C60" s="125">
        <f>'C-8'!O48</f>
        <v>1440923.2709863961</v>
      </c>
      <c r="D60" s="127">
        <v>10</v>
      </c>
      <c r="E60" s="119" t="s">
        <v>2580</v>
      </c>
      <c r="F60" s="127"/>
      <c r="G60" s="128">
        <f>C60*D60</f>
        <v>14409232.709863961</v>
      </c>
      <c r="H60" s="119"/>
      <c r="I60" s="131">
        <v>0</v>
      </c>
      <c r="J60" s="127">
        <v>10</v>
      </c>
      <c r="K60" s="119" t="s">
        <v>2580</v>
      </c>
      <c r="L60" s="127"/>
      <c r="M60" s="128">
        <v>0</v>
      </c>
      <c r="N60" s="128"/>
      <c r="O60" s="128">
        <v>0</v>
      </c>
      <c r="P60" s="128"/>
      <c r="Q60" s="679">
        <v>0</v>
      </c>
    </row>
    <row r="61" spans="1:17">
      <c r="A61" s="133"/>
      <c r="B61" s="119"/>
      <c r="C61" s="125"/>
      <c r="D61" s="127"/>
      <c r="E61" s="119"/>
      <c r="F61" s="127"/>
      <c r="G61" s="128"/>
      <c r="H61" s="119"/>
      <c r="I61" s="125"/>
      <c r="J61" s="127"/>
      <c r="K61" s="119"/>
      <c r="L61" s="127"/>
      <c r="M61" s="128"/>
      <c r="N61" s="128"/>
      <c r="O61" s="119"/>
      <c r="P61" s="119"/>
      <c r="Q61" s="119"/>
    </row>
    <row r="62" spans="1:17">
      <c r="A62" s="119" t="s">
        <v>2558</v>
      </c>
      <c r="B62" s="119"/>
      <c r="C62" s="125"/>
      <c r="D62" s="132"/>
      <c r="E62" s="119"/>
      <c r="F62" s="119"/>
      <c r="G62" s="119"/>
      <c r="H62" s="119"/>
      <c r="I62" s="131"/>
      <c r="J62" s="132"/>
      <c r="K62" s="119"/>
      <c r="L62" s="119"/>
      <c r="M62" s="119"/>
      <c r="N62" s="119"/>
      <c r="O62" s="119"/>
      <c r="P62" s="119"/>
      <c r="Q62" s="119"/>
    </row>
    <row r="63" spans="1:17">
      <c r="A63" s="133" t="s">
        <v>2582</v>
      </c>
      <c r="B63" s="119"/>
      <c r="C63" s="125">
        <f>'C-8'!O50</f>
        <v>3794500000</v>
      </c>
      <c r="D63" s="134">
        <v>4.6940000000000003E-2</v>
      </c>
      <c r="E63" s="135" t="s">
        <v>2560</v>
      </c>
      <c r="F63" s="119"/>
      <c r="G63" s="128">
        <f>C63*D63</f>
        <v>178113830</v>
      </c>
      <c r="H63" s="119"/>
      <c r="I63" s="125">
        <v>3559649918.1500192</v>
      </c>
      <c r="J63" s="134">
        <v>6.7500000000000004E-2</v>
      </c>
      <c r="K63" s="135" t="s">
        <v>2560</v>
      </c>
      <c r="L63" s="119"/>
      <c r="M63" s="128">
        <v>240276369</v>
      </c>
      <c r="N63" s="119"/>
      <c r="O63" s="128">
        <v>73186402</v>
      </c>
      <c r="P63" s="128"/>
      <c r="Q63" s="679">
        <v>0.43800596400000003</v>
      </c>
    </row>
    <row r="64" spans="1:17">
      <c r="A64" s="133" t="s">
        <v>2583</v>
      </c>
      <c r="B64" s="119"/>
      <c r="C64" s="125">
        <f>'C-8'!O51</f>
        <v>3154636.5215213969</v>
      </c>
      <c r="D64" s="135">
        <v>3.8940000000000002E-2</v>
      </c>
      <c r="E64" s="135" t="s">
        <v>2560</v>
      </c>
      <c r="F64" s="135"/>
      <c r="G64" s="128">
        <f>C64*D64</f>
        <v>122841.5461480432</v>
      </c>
      <c r="H64" s="119"/>
      <c r="I64" s="125">
        <v>0</v>
      </c>
      <c r="J64" s="132">
        <v>5.5E-2</v>
      </c>
      <c r="K64" s="135" t="s">
        <v>2560</v>
      </c>
      <c r="L64" s="135"/>
      <c r="M64" s="128">
        <v>0</v>
      </c>
      <c r="N64" s="128"/>
      <c r="O64" s="128">
        <v>0</v>
      </c>
      <c r="P64" s="128"/>
      <c r="Q64" s="679">
        <v>0</v>
      </c>
    </row>
    <row r="65" spans="1:17" ht="13.5" thickBot="1">
      <c r="A65" s="136" t="s">
        <v>2584</v>
      </c>
      <c r="B65" s="137"/>
      <c r="C65" s="138">
        <f>SUM(C63:C64)</f>
        <v>3797654636.5215216</v>
      </c>
      <c r="D65" s="139"/>
      <c r="E65" s="139"/>
      <c r="F65" s="139"/>
      <c r="G65" s="140">
        <f>SUM(G56:G64)</f>
        <v>335025289.85601199</v>
      </c>
      <c r="H65" s="137"/>
      <c r="I65" s="138">
        <v>3559649918.1500192</v>
      </c>
      <c r="J65" s="141"/>
      <c r="K65" s="139"/>
      <c r="L65" s="139"/>
      <c r="M65" s="140">
        <v>445966317</v>
      </c>
      <c r="N65" s="140"/>
      <c r="O65" s="140">
        <v>114472197</v>
      </c>
      <c r="P65" s="140"/>
      <c r="Q65" s="142">
        <v>0.34532195300000001</v>
      </c>
    </row>
    <row r="66" spans="1:17" ht="13.5" thickTop="1">
      <c r="A66" s="119"/>
      <c r="B66" s="119"/>
      <c r="C66" s="119"/>
      <c r="D66" s="119"/>
      <c r="E66" s="119"/>
      <c r="F66" s="119"/>
      <c r="G66" s="119"/>
      <c r="H66" s="119"/>
      <c r="I66" s="119"/>
      <c r="J66" s="119"/>
      <c r="K66" s="119"/>
      <c r="L66" s="119"/>
      <c r="M66" s="119"/>
      <c r="N66" s="119"/>
      <c r="O66" s="119"/>
      <c r="P66" s="119"/>
      <c r="Q66" s="119"/>
    </row>
    <row r="67" spans="1:17" s="321" customFormat="1">
      <c r="A67" s="680" t="s">
        <v>2585</v>
      </c>
      <c r="B67" s="680"/>
      <c r="C67" s="681"/>
      <c r="D67" s="681"/>
      <c r="E67" s="681"/>
      <c r="F67" s="681"/>
      <c r="G67" s="681"/>
      <c r="H67" s="681"/>
      <c r="I67" s="682"/>
      <c r="J67" s="681"/>
      <c r="K67" s="681"/>
      <c r="L67" s="681"/>
      <c r="M67" s="681"/>
      <c r="N67" s="681"/>
      <c r="O67" s="681"/>
      <c r="P67" s="681"/>
      <c r="Q67" s="681"/>
    </row>
    <row r="68" spans="1:17" s="321" customFormat="1">
      <c r="A68" s="681"/>
      <c r="B68" s="681"/>
      <c r="C68" s="681"/>
      <c r="D68" s="681"/>
      <c r="E68" s="681"/>
      <c r="F68" s="681"/>
      <c r="G68" s="681"/>
      <c r="H68" s="681"/>
      <c r="I68" s="682"/>
      <c r="J68" s="681"/>
      <c r="K68" s="681"/>
      <c r="L68" s="681"/>
      <c r="M68" s="681"/>
      <c r="N68" s="681"/>
      <c r="O68" s="681"/>
      <c r="P68" s="681"/>
      <c r="Q68" s="681"/>
    </row>
    <row r="69" spans="1:17" s="321" customFormat="1">
      <c r="A69" s="681" t="s">
        <v>2556</v>
      </c>
      <c r="B69" s="681"/>
      <c r="C69" s="683">
        <f>'C-8'!O55</f>
        <v>617</v>
      </c>
      <c r="D69" s="684">
        <v>450</v>
      </c>
      <c r="E69" s="681" t="s">
        <v>2557</v>
      </c>
      <c r="F69" s="685"/>
      <c r="G69" s="128">
        <f>C69*D69*12</f>
        <v>3331800</v>
      </c>
      <c r="H69" s="681"/>
      <c r="I69" s="686">
        <v>601</v>
      </c>
      <c r="J69" s="684">
        <v>1000</v>
      </c>
      <c r="K69" s="681" t="s">
        <v>2557</v>
      </c>
      <c r="L69" s="685"/>
      <c r="M69" s="687">
        <v>7212000</v>
      </c>
      <c r="N69" s="687"/>
      <c r="O69" s="687">
        <v>3966600</v>
      </c>
      <c r="P69" s="687"/>
      <c r="Q69" s="688">
        <v>1.2222222220000001</v>
      </c>
    </row>
    <row r="70" spans="1:17" s="321" customFormat="1">
      <c r="A70" s="681"/>
      <c r="B70" s="681"/>
      <c r="C70" s="689"/>
      <c r="D70" s="690"/>
      <c r="E70" s="681"/>
      <c r="F70" s="681"/>
      <c r="G70" s="681"/>
      <c r="H70" s="681"/>
      <c r="I70" s="686"/>
      <c r="J70" s="690"/>
      <c r="K70" s="681"/>
      <c r="L70" s="681"/>
      <c r="M70" s="681"/>
      <c r="N70" s="681"/>
      <c r="O70" s="681"/>
      <c r="P70" s="681"/>
      <c r="Q70" s="681"/>
    </row>
    <row r="71" spans="1:17" s="321" customFormat="1">
      <c r="A71" s="681" t="s">
        <v>2578</v>
      </c>
      <c r="B71" s="681"/>
      <c r="C71" s="689"/>
      <c r="D71" s="690"/>
      <c r="E71" s="681"/>
      <c r="F71" s="681"/>
      <c r="G71" s="681"/>
      <c r="H71" s="681"/>
      <c r="I71" s="686"/>
      <c r="J71" s="690"/>
      <c r="K71" s="681"/>
      <c r="L71" s="681"/>
      <c r="M71" s="681"/>
      <c r="N71" s="681"/>
      <c r="O71" s="681"/>
      <c r="P71" s="681"/>
      <c r="Q71" s="681"/>
    </row>
    <row r="72" spans="1:17" s="321" customFormat="1">
      <c r="A72" s="691" t="s">
        <v>2579</v>
      </c>
      <c r="B72" s="681"/>
      <c r="C72" s="683">
        <f>'C-8'!O57</f>
        <v>7054980</v>
      </c>
      <c r="D72" s="685">
        <v>7.7</v>
      </c>
      <c r="E72" s="681" t="s">
        <v>2580</v>
      </c>
      <c r="F72" s="685"/>
      <c r="G72" s="128">
        <f>C72*D72</f>
        <v>54323346</v>
      </c>
      <c r="H72" s="681"/>
      <c r="I72" s="689">
        <v>6970845</v>
      </c>
      <c r="J72" s="685">
        <v>15</v>
      </c>
      <c r="K72" s="681" t="s">
        <v>2580</v>
      </c>
      <c r="L72" s="685"/>
      <c r="M72" s="687">
        <v>104562675</v>
      </c>
      <c r="N72" s="687"/>
      <c r="O72" s="687">
        <v>50887168</v>
      </c>
      <c r="P72" s="687"/>
      <c r="Q72" s="688">
        <v>0.94805192999999999</v>
      </c>
    </row>
    <row r="73" spans="1:17" s="321" customFormat="1">
      <c r="A73" s="691" t="s">
        <v>2581</v>
      </c>
      <c r="B73" s="681"/>
      <c r="C73" s="683">
        <f>'C-8'!O58</f>
        <v>347822.86118847976</v>
      </c>
      <c r="D73" s="685">
        <v>9.6</v>
      </c>
      <c r="E73" s="681" t="s">
        <v>2580</v>
      </c>
      <c r="F73" s="685"/>
      <c r="G73" s="687">
        <v>0</v>
      </c>
      <c r="H73" s="681"/>
      <c r="I73" s="689">
        <v>0</v>
      </c>
      <c r="J73" s="685">
        <v>16</v>
      </c>
      <c r="K73" s="681" t="s">
        <v>2580</v>
      </c>
      <c r="L73" s="685"/>
      <c r="M73" s="687">
        <v>0</v>
      </c>
      <c r="N73" s="687"/>
      <c r="O73" s="687">
        <v>0</v>
      </c>
      <c r="P73" s="687"/>
      <c r="Q73" s="688">
        <v>0</v>
      </c>
    </row>
    <row r="74" spans="1:17" s="321" customFormat="1">
      <c r="A74" s="691"/>
      <c r="B74" s="681"/>
      <c r="C74" s="683"/>
      <c r="D74" s="685"/>
      <c r="E74" s="681"/>
      <c r="F74" s="685"/>
      <c r="G74" s="687"/>
      <c r="H74" s="681"/>
      <c r="I74" s="683"/>
      <c r="J74" s="685"/>
      <c r="K74" s="681"/>
      <c r="L74" s="685"/>
      <c r="M74" s="687"/>
      <c r="N74" s="687"/>
      <c r="O74" s="681"/>
      <c r="P74" s="681"/>
      <c r="Q74" s="681"/>
    </row>
    <row r="75" spans="1:17" s="321" customFormat="1">
      <c r="A75" s="681" t="s">
        <v>2558</v>
      </c>
      <c r="B75" s="681"/>
      <c r="C75" s="683"/>
      <c r="D75" s="690"/>
      <c r="E75" s="681"/>
      <c r="F75" s="681"/>
      <c r="G75" s="681"/>
      <c r="H75" s="681"/>
      <c r="I75" s="689"/>
      <c r="J75" s="690"/>
      <c r="K75" s="681"/>
      <c r="L75" s="681"/>
      <c r="M75" s="681"/>
      <c r="N75" s="681"/>
      <c r="O75" s="681"/>
      <c r="P75" s="681"/>
      <c r="Q75" s="681"/>
    </row>
    <row r="76" spans="1:17" s="321" customFormat="1">
      <c r="A76" s="691" t="s">
        <v>2582</v>
      </c>
      <c r="B76" s="681"/>
      <c r="C76" s="683">
        <f>'C-8'!O60</f>
        <v>2115984799.9999998</v>
      </c>
      <c r="D76" s="692">
        <v>3.6499999999999998E-2</v>
      </c>
      <c r="E76" s="693" t="s">
        <v>2560</v>
      </c>
      <c r="F76" s="681"/>
      <c r="G76" s="128">
        <f>C76*D76</f>
        <v>77233445.199999988</v>
      </c>
      <c r="H76" s="681"/>
      <c r="I76" s="683">
        <v>1834520112.0000002</v>
      </c>
      <c r="J76" s="692">
        <v>0.06</v>
      </c>
      <c r="K76" s="693" t="s">
        <v>2560</v>
      </c>
      <c r="L76" s="681"/>
      <c r="M76" s="687">
        <v>110071207</v>
      </c>
      <c r="N76" s="681"/>
      <c r="O76" s="687">
        <v>43111223</v>
      </c>
      <c r="P76" s="687"/>
      <c r="Q76" s="688">
        <v>0.64383562299999997</v>
      </c>
    </row>
    <row r="77" spans="1:17" s="321" customFormat="1">
      <c r="A77" s="691" t="s">
        <v>2583</v>
      </c>
      <c r="B77" s="681"/>
      <c r="C77" s="683">
        <f>'C-8'!O61</f>
        <v>508508798.19999993</v>
      </c>
      <c r="D77" s="693">
        <v>3.2500000000000001E-2</v>
      </c>
      <c r="E77" s="693" t="s">
        <v>2560</v>
      </c>
      <c r="F77" s="693"/>
      <c r="G77" s="128">
        <f>C77*D77</f>
        <v>16526535.941499999</v>
      </c>
      <c r="H77" s="681"/>
      <c r="I77" s="683">
        <v>893974101.56693757</v>
      </c>
      <c r="J77" s="690">
        <v>4.7500000000000001E-2</v>
      </c>
      <c r="K77" s="693" t="s">
        <v>2560</v>
      </c>
      <c r="L77" s="693"/>
      <c r="M77" s="687">
        <v>42463770</v>
      </c>
      <c r="N77" s="687"/>
      <c r="O77" s="687">
        <v>13409612</v>
      </c>
      <c r="P77" s="687"/>
      <c r="Q77" s="688">
        <v>0.461538483</v>
      </c>
    </row>
    <row r="78" spans="1:17" s="321" customFormat="1" ht="13.5" thickBot="1">
      <c r="A78" s="694" t="s">
        <v>2586</v>
      </c>
      <c r="B78" s="695"/>
      <c r="C78" s="696">
        <f>SUM(C76:C77)</f>
        <v>2624493598.1999998</v>
      </c>
      <c r="D78" s="697"/>
      <c r="E78" s="697"/>
      <c r="F78" s="697"/>
      <c r="G78" s="699">
        <f>SUM(G69:G77)</f>
        <v>151415127.1415</v>
      </c>
      <c r="H78" s="695"/>
      <c r="I78" s="696">
        <v>2728494213.5669379</v>
      </c>
      <c r="J78" s="698"/>
      <c r="K78" s="697"/>
      <c r="L78" s="697"/>
      <c r="M78" s="699">
        <v>264309652</v>
      </c>
      <c r="N78" s="699"/>
      <c r="O78" s="699">
        <v>111374603</v>
      </c>
      <c r="P78" s="699"/>
      <c r="Q78" s="700">
        <v>0.72824773499999995</v>
      </c>
    </row>
    <row r="79" spans="1:17" ht="13.5" thickTop="1">
      <c r="A79" s="119"/>
      <c r="B79" s="119"/>
      <c r="C79" s="119"/>
      <c r="D79" s="119"/>
      <c r="E79" s="119"/>
      <c r="F79" s="119"/>
      <c r="G79" s="119"/>
      <c r="H79" s="119"/>
      <c r="I79" s="119"/>
      <c r="J79" s="119"/>
      <c r="K79" s="119"/>
      <c r="L79" s="119"/>
      <c r="M79" s="119"/>
      <c r="N79" s="119"/>
      <c r="O79" s="119"/>
      <c r="P79" s="119"/>
      <c r="Q79" s="119"/>
    </row>
    <row r="80" spans="1:17">
      <c r="A80" s="123" t="s">
        <v>2587</v>
      </c>
      <c r="B80" s="123"/>
      <c r="C80" s="119"/>
      <c r="D80" s="119"/>
      <c r="E80" s="119"/>
      <c r="F80" s="119"/>
      <c r="G80" s="119"/>
      <c r="H80" s="119"/>
      <c r="I80" s="124"/>
      <c r="J80" s="119"/>
      <c r="K80" s="119"/>
      <c r="L80" s="119"/>
      <c r="M80" s="119"/>
      <c r="N80" s="119"/>
      <c r="O80" s="119"/>
      <c r="P80" s="119"/>
      <c r="Q80" s="119"/>
    </row>
    <row r="81" spans="1:17">
      <c r="A81" s="119"/>
      <c r="B81" s="119"/>
      <c r="C81" s="119"/>
      <c r="D81" s="119"/>
      <c r="E81" s="119"/>
      <c r="F81" s="119"/>
      <c r="G81" s="119"/>
      <c r="H81" s="119"/>
      <c r="I81" s="124"/>
      <c r="J81" s="119"/>
      <c r="K81" s="119"/>
      <c r="L81" s="119"/>
      <c r="M81" s="119"/>
      <c r="N81" s="119"/>
      <c r="O81" s="119"/>
      <c r="P81" s="119"/>
      <c r="Q81" s="119"/>
    </row>
    <row r="82" spans="1:17">
      <c r="A82" s="119" t="s">
        <v>2556</v>
      </c>
      <c r="B82" s="119"/>
      <c r="C82" s="125">
        <f>'C-8'!O65</f>
        <v>1</v>
      </c>
      <c r="D82" s="126">
        <v>200</v>
      </c>
      <c r="E82" s="119" t="s">
        <v>2557</v>
      </c>
      <c r="F82" s="127"/>
      <c r="G82" s="128">
        <f>C82*D82*12</f>
        <v>2400</v>
      </c>
      <c r="H82" s="119"/>
      <c r="I82" s="678">
        <v>1</v>
      </c>
      <c r="J82" s="126">
        <v>400</v>
      </c>
      <c r="K82" s="119" t="s">
        <v>2557</v>
      </c>
      <c r="L82" s="127"/>
      <c r="M82" s="128">
        <v>4800</v>
      </c>
      <c r="N82" s="128"/>
      <c r="O82" s="128">
        <v>2400</v>
      </c>
      <c r="P82" s="128"/>
      <c r="Q82" s="679">
        <v>1</v>
      </c>
    </row>
    <row r="83" spans="1:17">
      <c r="A83" s="119"/>
      <c r="B83" s="119"/>
      <c r="C83" s="131"/>
      <c r="D83" s="132"/>
      <c r="E83" s="119"/>
      <c r="F83" s="119"/>
      <c r="G83" s="119"/>
      <c r="H83" s="119"/>
      <c r="I83" s="678"/>
      <c r="J83" s="132"/>
      <c r="K83" s="119"/>
      <c r="L83" s="119"/>
      <c r="M83" s="119"/>
      <c r="N83" s="119"/>
      <c r="O83" s="119"/>
      <c r="P83" s="119"/>
      <c r="Q83" s="119"/>
    </row>
    <row r="84" spans="1:17">
      <c r="A84" s="119" t="s">
        <v>2578</v>
      </c>
      <c r="B84" s="119"/>
      <c r="C84" s="131"/>
      <c r="D84" s="132"/>
      <c r="E84" s="119"/>
      <c r="F84" s="119"/>
      <c r="G84" s="119"/>
      <c r="H84" s="119"/>
      <c r="I84" s="678"/>
      <c r="J84" s="132"/>
      <c r="K84" s="119"/>
      <c r="L84" s="119"/>
      <c r="M84" s="119"/>
      <c r="N84" s="119"/>
      <c r="O84" s="119"/>
      <c r="P84" s="119"/>
      <c r="Q84" s="119"/>
    </row>
    <row r="85" spans="1:17">
      <c r="A85" s="133" t="s">
        <v>2588</v>
      </c>
      <c r="B85" s="119"/>
      <c r="C85" s="125">
        <f>'C-8'!O67</f>
        <v>19824</v>
      </c>
      <c r="D85" s="127">
        <v>8.1</v>
      </c>
      <c r="E85" s="119" t="s">
        <v>2580</v>
      </c>
      <c r="F85" s="127"/>
      <c r="G85" s="128">
        <f>C85*D85</f>
        <v>160574.39999999999</v>
      </c>
      <c r="H85" s="119"/>
      <c r="I85" s="131">
        <v>1512.67</v>
      </c>
      <c r="J85" s="127">
        <v>9</v>
      </c>
      <c r="K85" s="119" t="s">
        <v>2580</v>
      </c>
      <c r="L85" s="127"/>
      <c r="M85" s="128">
        <v>13614</v>
      </c>
      <c r="N85" s="128"/>
      <c r="O85" s="128">
        <v>1361</v>
      </c>
      <c r="P85" s="128"/>
      <c r="Q85" s="679">
        <v>0.11107483899999999</v>
      </c>
    </row>
    <row r="86" spans="1:17">
      <c r="A86" s="133" t="s">
        <v>2589</v>
      </c>
      <c r="B86" s="119"/>
      <c r="C86" s="125">
        <f>'C-8'!O68</f>
        <v>18996</v>
      </c>
      <c r="D86" s="127">
        <v>1.1000000000000001</v>
      </c>
      <c r="E86" s="119" t="s">
        <v>2580</v>
      </c>
      <c r="F86" s="127"/>
      <c r="G86" s="128">
        <f>C86*D86</f>
        <v>20895.600000000002</v>
      </c>
      <c r="H86" s="119"/>
      <c r="I86" s="131">
        <v>1560</v>
      </c>
      <c r="J86" s="127">
        <v>1.1000000000000001</v>
      </c>
      <c r="K86" s="119" t="s">
        <v>2580</v>
      </c>
      <c r="L86" s="127"/>
      <c r="M86" s="128">
        <v>1716</v>
      </c>
      <c r="N86" s="128"/>
      <c r="O86" s="128">
        <v>0</v>
      </c>
      <c r="P86" s="128"/>
      <c r="Q86" s="679">
        <v>0</v>
      </c>
    </row>
    <row r="87" spans="1:17">
      <c r="A87" s="133"/>
      <c r="B87" s="119"/>
      <c r="C87" s="125"/>
      <c r="D87" s="127"/>
      <c r="E87" s="119"/>
      <c r="F87" s="127"/>
      <c r="G87" s="128"/>
      <c r="H87" s="119"/>
      <c r="I87" s="125"/>
      <c r="J87" s="127"/>
      <c r="K87" s="119"/>
      <c r="L87" s="127"/>
      <c r="M87" s="128"/>
      <c r="N87" s="128"/>
      <c r="O87" s="119"/>
      <c r="P87" s="119"/>
      <c r="Q87" s="119"/>
    </row>
    <row r="88" spans="1:17">
      <c r="A88" s="119" t="s">
        <v>2558</v>
      </c>
      <c r="B88" s="119"/>
      <c r="C88" s="125"/>
      <c r="D88" s="132"/>
      <c r="E88" s="119"/>
      <c r="F88" s="119"/>
      <c r="G88" s="119"/>
      <c r="H88" s="119"/>
      <c r="I88" s="131"/>
      <c r="J88" s="132"/>
      <c r="K88" s="119"/>
      <c r="L88" s="119"/>
      <c r="M88" s="119"/>
      <c r="N88" s="119"/>
      <c r="O88" s="119"/>
      <c r="P88" s="119"/>
      <c r="Q88" s="119"/>
    </row>
    <row r="89" spans="1:17">
      <c r="A89" s="133" t="s">
        <v>2590</v>
      </c>
      <c r="B89" s="119"/>
      <c r="C89" s="125">
        <f>'C-8'!O70</f>
        <v>2800000</v>
      </c>
      <c r="D89" s="134">
        <v>5.7790000000000001E-2</v>
      </c>
      <c r="E89" s="135" t="s">
        <v>2560</v>
      </c>
      <c r="F89" s="119"/>
      <c r="G89" s="128">
        <f>C89*D89</f>
        <v>161812</v>
      </c>
      <c r="H89" s="119"/>
      <c r="I89" s="125">
        <v>2454965.4562663632</v>
      </c>
      <c r="J89" s="134">
        <v>9.7500000000000003E-2</v>
      </c>
      <c r="K89" s="135" t="s">
        <v>2560</v>
      </c>
      <c r="L89" s="119"/>
      <c r="M89" s="128">
        <v>239359</v>
      </c>
      <c r="N89" s="119"/>
      <c r="O89" s="128">
        <v>97487</v>
      </c>
      <c r="P89" s="128"/>
      <c r="Q89" s="679">
        <v>0.68714757000000004</v>
      </c>
    </row>
    <row r="90" spans="1:17">
      <c r="A90" s="133" t="s">
        <v>2591</v>
      </c>
      <c r="B90" s="119"/>
      <c r="C90" s="125">
        <f>'C-8'!O71</f>
        <v>3300000</v>
      </c>
      <c r="D90" s="135">
        <v>1.8790000000000001E-2</v>
      </c>
      <c r="E90" s="135" t="s">
        <v>2560</v>
      </c>
      <c r="F90" s="135"/>
      <c r="G90" s="128">
        <f>C90*D90</f>
        <v>62007.000000000007</v>
      </c>
      <c r="H90" s="119"/>
      <c r="I90" s="125">
        <v>3212466.7747025588</v>
      </c>
      <c r="J90" s="132">
        <v>4.3499999999999997E-2</v>
      </c>
      <c r="K90" s="135" t="s">
        <v>2560</v>
      </c>
      <c r="L90" s="135"/>
      <c r="M90" s="128">
        <v>139742</v>
      </c>
      <c r="N90" s="128"/>
      <c r="O90" s="128">
        <v>79380</v>
      </c>
      <c r="P90" s="128"/>
      <c r="Q90" s="679">
        <v>1.3150657699999999</v>
      </c>
    </row>
    <row r="91" spans="1:17" ht="13.5" thickBot="1">
      <c r="A91" s="136" t="s">
        <v>2592</v>
      </c>
      <c r="B91" s="137"/>
      <c r="C91" s="696">
        <f>SUM(C89:C90)</f>
        <v>6100000</v>
      </c>
      <c r="D91" s="697"/>
      <c r="E91" s="697"/>
      <c r="F91" s="697"/>
      <c r="G91" s="699">
        <f>SUM(G82:G90)</f>
        <v>407689</v>
      </c>
      <c r="H91" s="137"/>
      <c r="I91" s="138">
        <v>5667432.2309689224</v>
      </c>
      <c r="J91" s="141"/>
      <c r="K91" s="139"/>
      <c r="L91" s="139"/>
      <c r="M91" s="140">
        <v>399231</v>
      </c>
      <c r="N91" s="140"/>
      <c r="O91" s="140">
        <v>180628</v>
      </c>
      <c r="P91" s="140"/>
      <c r="Q91" s="142">
        <v>0.82628326200000002</v>
      </c>
    </row>
    <row r="92" spans="1:17" ht="13.5" thickTop="1">
      <c r="A92" s="119"/>
      <c r="B92" s="119"/>
      <c r="C92" s="119"/>
      <c r="D92" s="119"/>
      <c r="E92" s="119"/>
      <c r="F92" s="119"/>
      <c r="G92" s="119"/>
      <c r="H92" s="119"/>
      <c r="I92" s="119"/>
      <c r="J92" s="119"/>
      <c r="K92" s="119"/>
      <c r="L92" s="119"/>
      <c r="M92" s="119"/>
      <c r="N92" s="119"/>
      <c r="O92" s="119"/>
      <c r="P92" s="119"/>
      <c r="Q92" s="119"/>
    </row>
    <row r="93" spans="1:17">
      <c r="A93" s="123" t="s">
        <v>2593</v>
      </c>
      <c r="B93" s="123"/>
      <c r="C93" s="119"/>
      <c r="D93" s="119"/>
      <c r="E93" s="119"/>
      <c r="F93" s="119"/>
      <c r="G93" s="119"/>
      <c r="H93" s="119"/>
      <c r="I93" s="124"/>
      <c r="J93" s="119"/>
      <c r="K93" s="119"/>
      <c r="L93" s="119"/>
      <c r="M93" s="119"/>
      <c r="N93" s="119"/>
      <c r="O93" s="119"/>
      <c r="P93" s="119"/>
      <c r="Q93" s="119"/>
    </row>
    <row r="94" spans="1:17">
      <c r="A94" s="119"/>
      <c r="B94" s="119"/>
      <c r="C94" s="119"/>
      <c r="D94" s="119"/>
      <c r="E94" s="119"/>
      <c r="F94" s="119"/>
      <c r="G94" s="119"/>
      <c r="H94" s="119"/>
      <c r="I94" s="124"/>
      <c r="J94" s="119"/>
      <c r="K94" s="119"/>
      <c r="L94" s="119"/>
      <c r="M94" s="119"/>
      <c r="N94" s="119"/>
      <c r="O94" s="119"/>
      <c r="P94" s="119"/>
      <c r="Q94" s="119"/>
    </row>
    <row r="95" spans="1:17">
      <c r="A95" s="119" t="s">
        <v>2556</v>
      </c>
      <c r="B95" s="119"/>
      <c r="C95" s="125">
        <f>'C-8'!O75</f>
        <v>16</v>
      </c>
      <c r="D95" s="126">
        <v>450</v>
      </c>
      <c r="E95" s="119" t="s">
        <v>2557</v>
      </c>
      <c r="F95" s="127"/>
      <c r="G95" s="128">
        <f>C95*D95*12</f>
        <v>86400</v>
      </c>
      <c r="H95" s="119"/>
      <c r="I95" s="678">
        <v>17</v>
      </c>
      <c r="J95" s="126">
        <v>1000</v>
      </c>
      <c r="K95" s="119" t="s">
        <v>2557</v>
      </c>
      <c r="L95" s="127"/>
      <c r="M95" s="128">
        <v>204000</v>
      </c>
      <c r="N95" s="128"/>
      <c r="O95" s="128">
        <v>112200</v>
      </c>
      <c r="P95" s="128"/>
      <c r="Q95" s="679">
        <v>1.2222222220000001</v>
      </c>
    </row>
    <row r="96" spans="1:17">
      <c r="A96" s="119"/>
      <c r="B96" s="119"/>
      <c r="C96" s="131"/>
      <c r="D96" s="132"/>
      <c r="E96" s="119"/>
      <c r="F96" s="119"/>
      <c r="G96" s="119"/>
      <c r="H96" s="119"/>
      <c r="I96" s="678"/>
      <c r="J96" s="132"/>
      <c r="K96" s="119"/>
      <c r="L96" s="119"/>
      <c r="M96" s="119"/>
      <c r="N96" s="119"/>
      <c r="O96" s="119"/>
      <c r="P96" s="119"/>
      <c r="Q96" s="119"/>
    </row>
    <row r="97" spans="1:17">
      <c r="A97" s="119" t="s">
        <v>2578</v>
      </c>
      <c r="B97" s="119"/>
      <c r="C97" s="131"/>
      <c r="D97" s="132"/>
      <c r="E97" s="119"/>
      <c r="F97" s="119"/>
      <c r="G97" s="119"/>
      <c r="H97" s="119"/>
      <c r="I97" s="678"/>
      <c r="J97" s="132"/>
      <c r="K97" s="119"/>
      <c r="L97" s="119"/>
      <c r="M97" s="119"/>
      <c r="N97" s="119"/>
      <c r="O97" s="119"/>
      <c r="P97" s="119"/>
      <c r="Q97" s="119"/>
    </row>
    <row r="98" spans="1:17">
      <c r="A98" s="133" t="s">
        <v>2588</v>
      </c>
      <c r="B98" s="119"/>
      <c r="C98" s="125">
        <f>'C-8'!O77</f>
        <v>956520</v>
      </c>
      <c r="D98" s="127">
        <v>7.7</v>
      </c>
      <c r="E98" s="119" t="s">
        <v>2580</v>
      </c>
      <c r="F98" s="127"/>
      <c r="G98" s="128">
        <f>C98*D98</f>
        <v>7365204</v>
      </c>
      <c r="H98" s="119"/>
      <c r="I98" s="131">
        <v>87298</v>
      </c>
      <c r="J98" s="127">
        <v>16</v>
      </c>
      <c r="K98" s="119" t="s">
        <v>2580</v>
      </c>
      <c r="L98" s="127"/>
      <c r="M98" s="128">
        <v>1396768</v>
      </c>
      <c r="N98" s="128"/>
      <c r="O98" s="128">
        <v>724573</v>
      </c>
      <c r="P98" s="128"/>
      <c r="Q98" s="679">
        <v>1.0779208410000001</v>
      </c>
    </row>
    <row r="99" spans="1:17">
      <c r="A99" s="133" t="s">
        <v>2589</v>
      </c>
      <c r="B99" s="119"/>
      <c r="C99" s="125">
        <f>'C-8'!O78</f>
        <v>954684</v>
      </c>
      <c r="D99" s="127">
        <v>1</v>
      </c>
      <c r="E99" s="119" t="s">
        <v>2580</v>
      </c>
      <c r="F99" s="127"/>
      <c r="G99" s="128">
        <f>C99*D99</f>
        <v>954684</v>
      </c>
      <c r="H99" s="119"/>
      <c r="I99" s="131">
        <v>86878.75</v>
      </c>
      <c r="J99" s="127">
        <v>2</v>
      </c>
      <c r="K99" s="119" t="s">
        <v>2580</v>
      </c>
      <c r="L99" s="127"/>
      <c r="M99" s="128">
        <v>173758</v>
      </c>
      <c r="N99" s="128"/>
      <c r="O99" s="128">
        <v>86879</v>
      </c>
      <c r="P99" s="128"/>
      <c r="Q99" s="679">
        <v>1</v>
      </c>
    </row>
    <row r="100" spans="1:17">
      <c r="A100" s="133"/>
      <c r="B100" s="119"/>
      <c r="C100" s="125"/>
      <c r="D100" s="127"/>
      <c r="E100" s="119"/>
      <c r="F100" s="127"/>
      <c r="G100" s="128"/>
      <c r="H100" s="119"/>
      <c r="I100" s="125"/>
      <c r="J100" s="127"/>
      <c r="K100" s="119"/>
      <c r="L100" s="127"/>
      <c r="M100" s="128"/>
      <c r="N100" s="128"/>
      <c r="O100" s="119"/>
      <c r="P100" s="119"/>
      <c r="Q100" s="119"/>
    </row>
    <row r="101" spans="1:17">
      <c r="A101" s="119" t="s">
        <v>2558</v>
      </c>
      <c r="B101" s="119"/>
      <c r="C101" s="125"/>
      <c r="D101" s="132"/>
      <c r="E101" s="119"/>
      <c r="F101" s="119"/>
      <c r="G101" s="119"/>
      <c r="H101" s="119"/>
      <c r="I101" s="131"/>
      <c r="J101" s="132"/>
      <c r="K101" s="119"/>
      <c r="L101" s="119"/>
      <c r="M101" s="119"/>
      <c r="N101" s="119"/>
      <c r="O101" s="119"/>
      <c r="P101" s="119"/>
      <c r="Q101" s="119"/>
    </row>
    <row r="102" spans="1:17">
      <c r="A102" s="133" t="s">
        <v>2590</v>
      </c>
      <c r="B102" s="119"/>
      <c r="C102" s="125">
        <f>'C-8'!O80</f>
        <v>109600000</v>
      </c>
      <c r="D102" s="134">
        <v>4.6789999999999998E-2</v>
      </c>
      <c r="E102" s="135" t="s">
        <v>2560</v>
      </c>
      <c r="F102" s="119"/>
      <c r="G102" s="128">
        <f>C102*D102</f>
        <v>5128184</v>
      </c>
      <c r="H102" s="119"/>
      <c r="I102" s="125">
        <v>174527299.71333742</v>
      </c>
      <c r="J102" s="134">
        <v>8.1000000000000003E-2</v>
      </c>
      <c r="K102" s="135" t="s">
        <v>2560</v>
      </c>
      <c r="L102" s="119"/>
      <c r="M102" s="128">
        <v>14136711</v>
      </c>
      <c r="N102" s="119"/>
      <c r="O102" s="128">
        <v>5970579</v>
      </c>
      <c r="P102" s="128"/>
      <c r="Q102" s="679">
        <v>0.73113917299999998</v>
      </c>
    </row>
    <row r="103" spans="1:17">
      <c r="A103" s="133" t="s">
        <v>2591</v>
      </c>
      <c r="B103" s="119"/>
      <c r="C103" s="125">
        <f>'C-8'!O81</f>
        <v>179600000</v>
      </c>
      <c r="D103" s="135">
        <v>1.779E-2</v>
      </c>
      <c r="E103" s="135" t="s">
        <v>2560</v>
      </c>
      <c r="F103" s="135"/>
      <c r="G103" s="128">
        <f>C103*D103</f>
        <v>3195084</v>
      </c>
      <c r="H103" s="119"/>
      <c r="I103" s="125">
        <v>281412745.91853565</v>
      </c>
      <c r="J103" s="132">
        <v>0.04</v>
      </c>
      <c r="K103" s="135" t="s">
        <v>2560</v>
      </c>
      <c r="L103" s="135"/>
      <c r="M103" s="128">
        <v>11256510</v>
      </c>
      <c r="N103" s="128"/>
      <c r="O103" s="128">
        <v>6250177</v>
      </c>
      <c r="P103" s="128"/>
      <c r="Q103" s="679">
        <v>1.248454108</v>
      </c>
    </row>
    <row r="104" spans="1:17" ht="13.5" thickBot="1">
      <c r="A104" s="136" t="s">
        <v>2594</v>
      </c>
      <c r="B104" s="137"/>
      <c r="C104" s="696">
        <f>SUM(C102:C103)</f>
        <v>289200000</v>
      </c>
      <c r="D104" s="697"/>
      <c r="E104" s="697"/>
      <c r="F104" s="697"/>
      <c r="G104" s="699">
        <f>SUM(G95:G103)</f>
        <v>16729556</v>
      </c>
      <c r="H104" s="137"/>
      <c r="I104" s="138">
        <v>455940045.63187307</v>
      </c>
      <c r="J104" s="141"/>
      <c r="K104" s="139"/>
      <c r="L104" s="139"/>
      <c r="M104" s="140">
        <v>27167747</v>
      </c>
      <c r="N104" s="140"/>
      <c r="O104" s="140">
        <v>13144408</v>
      </c>
      <c r="P104" s="140"/>
      <c r="Q104" s="142">
        <v>0.93732369999999998</v>
      </c>
    </row>
    <row r="105" spans="1:17" ht="13.5" thickTop="1">
      <c r="A105" s="119"/>
      <c r="B105" s="119"/>
      <c r="C105" s="119"/>
      <c r="D105" s="119"/>
      <c r="E105" s="119"/>
      <c r="F105" s="119"/>
      <c r="G105" s="119"/>
      <c r="H105" s="119"/>
      <c r="I105" s="119"/>
      <c r="J105" s="119"/>
      <c r="K105" s="119"/>
      <c r="L105" s="119"/>
      <c r="M105" s="119"/>
      <c r="N105" s="119"/>
      <c r="O105" s="119"/>
      <c r="P105" s="119"/>
      <c r="Q105" s="119"/>
    </row>
    <row r="106" spans="1:17">
      <c r="A106" s="123" t="s">
        <v>2595</v>
      </c>
      <c r="B106" s="123"/>
      <c r="C106" s="119"/>
      <c r="D106" s="119"/>
      <c r="E106" s="119"/>
      <c r="F106" s="119"/>
      <c r="G106" s="119"/>
      <c r="H106" s="119"/>
      <c r="I106" s="124"/>
      <c r="J106" s="119"/>
      <c r="K106" s="119"/>
      <c r="L106" s="119"/>
      <c r="M106" s="119"/>
      <c r="N106" s="119"/>
      <c r="O106" s="119"/>
      <c r="P106" s="119"/>
      <c r="Q106" s="119"/>
    </row>
    <row r="107" spans="1:17">
      <c r="A107" s="119"/>
      <c r="B107" s="119"/>
      <c r="C107" s="119"/>
      <c r="D107" s="119"/>
      <c r="E107" s="119"/>
      <c r="F107" s="119"/>
      <c r="G107" s="119"/>
      <c r="H107" s="119"/>
      <c r="I107" s="124"/>
      <c r="J107" s="119"/>
      <c r="K107" s="119"/>
      <c r="L107" s="119"/>
      <c r="M107" s="119"/>
      <c r="N107" s="119"/>
      <c r="O107" s="119"/>
      <c r="P107" s="119"/>
      <c r="Q107" s="119"/>
    </row>
    <row r="108" spans="1:17">
      <c r="A108" s="119" t="s">
        <v>2556</v>
      </c>
      <c r="B108" s="119"/>
      <c r="C108" s="125">
        <f>'C-8'!O85</f>
        <v>1</v>
      </c>
      <c r="D108" s="126">
        <v>450</v>
      </c>
      <c r="E108" s="119" t="s">
        <v>2557</v>
      </c>
      <c r="F108" s="127"/>
      <c r="G108" s="128">
        <f>C108*D108*12</f>
        <v>5400</v>
      </c>
      <c r="H108" s="119"/>
      <c r="I108" s="678">
        <v>1</v>
      </c>
      <c r="J108" s="126">
        <v>1000</v>
      </c>
      <c r="K108" s="119" t="s">
        <v>2557</v>
      </c>
      <c r="L108" s="127"/>
      <c r="M108" s="128">
        <v>12000</v>
      </c>
      <c r="N108" s="128"/>
      <c r="O108" s="128">
        <v>6600</v>
      </c>
      <c r="P108" s="128"/>
      <c r="Q108" s="679">
        <v>1.2222222220000001</v>
      </c>
    </row>
    <row r="109" spans="1:17">
      <c r="A109" s="119"/>
      <c r="B109" s="119"/>
      <c r="C109" s="131"/>
      <c r="D109" s="132"/>
      <c r="E109" s="119"/>
      <c r="F109" s="119"/>
      <c r="G109" s="119"/>
      <c r="H109" s="119"/>
      <c r="I109" s="678"/>
      <c r="J109" s="132"/>
      <c r="K109" s="119"/>
      <c r="L109" s="119"/>
      <c r="M109" s="119"/>
      <c r="N109" s="119"/>
      <c r="O109" s="119"/>
      <c r="P109" s="119"/>
      <c r="Q109" s="119"/>
    </row>
    <row r="110" spans="1:17">
      <c r="A110" s="119" t="s">
        <v>2578</v>
      </c>
      <c r="B110" s="119"/>
      <c r="C110" s="131"/>
      <c r="D110" s="132"/>
      <c r="E110" s="119"/>
      <c r="F110" s="119"/>
      <c r="G110" s="119"/>
      <c r="H110" s="119"/>
      <c r="I110" s="678"/>
      <c r="J110" s="132"/>
      <c r="K110" s="119"/>
      <c r="L110" s="119"/>
      <c r="M110" s="119"/>
      <c r="N110" s="119"/>
      <c r="O110" s="119"/>
      <c r="P110" s="119"/>
      <c r="Q110" s="119"/>
    </row>
    <row r="111" spans="1:17">
      <c r="A111" s="133" t="s">
        <v>2596</v>
      </c>
      <c r="B111" s="119"/>
      <c r="C111" s="125">
        <f>'C-8'!O87</f>
        <v>182244</v>
      </c>
      <c r="D111" s="127">
        <v>6</v>
      </c>
      <c r="E111" s="119" t="s">
        <v>2580</v>
      </c>
      <c r="F111" s="127"/>
      <c r="G111" s="128">
        <f>C111*D111</f>
        <v>1093464</v>
      </c>
      <c r="H111" s="119"/>
      <c r="I111" s="131">
        <v>191931</v>
      </c>
      <c r="J111" s="127">
        <v>8.75</v>
      </c>
      <c r="K111" s="119" t="s">
        <v>2580</v>
      </c>
      <c r="L111" s="127"/>
      <c r="M111" s="128">
        <v>1679396</v>
      </c>
      <c r="N111" s="128"/>
      <c r="O111" s="128">
        <v>527810</v>
      </c>
      <c r="P111" s="128"/>
      <c r="Q111" s="679">
        <v>0.45833311599999998</v>
      </c>
    </row>
    <row r="112" spans="1:17">
      <c r="A112" s="133" t="s">
        <v>2581</v>
      </c>
      <c r="B112" s="119"/>
      <c r="C112" s="125">
        <f>'C-8'!O88</f>
        <v>0</v>
      </c>
      <c r="D112" s="127">
        <v>9.6</v>
      </c>
      <c r="E112" s="119" t="s">
        <v>2580</v>
      </c>
      <c r="F112" s="127"/>
      <c r="G112" s="128">
        <f>C112*D112</f>
        <v>0</v>
      </c>
      <c r="H112" s="119"/>
      <c r="I112" s="131">
        <v>0</v>
      </c>
      <c r="J112" s="127">
        <v>10</v>
      </c>
      <c r="K112" s="119" t="s">
        <v>2580</v>
      </c>
      <c r="L112" s="127"/>
      <c r="M112" s="128">
        <v>0</v>
      </c>
      <c r="N112" s="128"/>
      <c r="O112" s="128">
        <v>0</v>
      </c>
      <c r="P112" s="128"/>
      <c r="Q112" s="679">
        <v>0</v>
      </c>
    </row>
    <row r="113" spans="1:17">
      <c r="A113" s="133"/>
      <c r="B113" s="119"/>
      <c r="C113" s="125"/>
      <c r="D113" s="127"/>
      <c r="E113" s="119"/>
      <c r="F113" s="127"/>
      <c r="G113" s="128"/>
      <c r="H113" s="119"/>
      <c r="I113" s="125"/>
      <c r="J113" s="127"/>
      <c r="K113" s="119"/>
      <c r="L113" s="127"/>
      <c r="M113" s="128"/>
      <c r="N113" s="128"/>
      <c r="O113" s="119"/>
      <c r="P113" s="119"/>
      <c r="Q113" s="119"/>
    </row>
    <row r="114" spans="1:17">
      <c r="A114" s="119" t="s">
        <v>2558</v>
      </c>
      <c r="B114" s="119"/>
      <c r="C114" s="125"/>
      <c r="D114" s="132"/>
      <c r="E114" s="119"/>
      <c r="F114" s="119"/>
      <c r="G114" s="119"/>
      <c r="H114" s="119"/>
      <c r="I114" s="131"/>
      <c r="J114" s="132"/>
      <c r="K114" s="119"/>
      <c r="L114" s="119"/>
      <c r="M114" s="119"/>
      <c r="N114" s="119"/>
      <c r="O114" s="119"/>
      <c r="P114" s="119"/>
      <c r="Q114" s="119"/>
    </row>
    <row r="115" spans="1:17">
      <c r="A115" s="133" t="s">
        <v>2597</v>
      </c>
      <c r="B115" s="119"/>
      <c r="C115" s="125">
        <f>'C-8'!O90</f>
        <v>60700000</v>
      </c>
      <c r="D115" s="134">
        <v>2.496E-2</v>
      </c>
      <c r="E115" s="135" t="s">
        <v>2560</v>
      </c>
      <c r="F115" s="119"/>
      <c r="G115" s="128">
        <f>C115*D115</f>
        <v>1515072</v>
      </c>
      <c r="H115" s="119"/>
      <c r="I115" s="125">
        <v>81329554.870816812</v>
      </c>
      <c r="J115" s="134">
        <v>6.7500000000000004E-2</v>
      </c>
      <c r="K115" s="135" t="s">
        <v>2560</v>
      </c>
      <c r="L115" s="119"/>
      <c r="M115" s="128">
        <v>5489745</v>
      </c>
      <c r="N115" s="119"/>
      <c r="O115" s="128">
        <v>3459759</v>
      </c>
      <c r="P115" s="128"/>
      <c r="Q115" s="679">
        <v>1.7043265320000001</v>
      </c>
    </row>
    <row r="116" spans="1:17">
      <c r="A116" s="133" t="s">
        <v>2598</v>
      </c>
      <c r="B116" s="119"/>
      <c r="C116" s="125">
        <f>'C-8'!O91</f>
        <v>0</v>
      </c>
      <c r="D116" s="135">
        <v>1.8960000000000001E-2</v>
      </c>
      <c r="E116" s="135" t="s">
        <v>2560</v>
      </c>
      <c r="F116" s="135"/>
      <c r="G116" s="128">
        <f>C116*D116</f>
        <v>0</v>
      </c>
      <c r="H116" s="119"/>
      <c r="I116" s="125">
        <v>0</v>
      </c>
      <c r="J116" s="132">
        <v>3.5000000000000003E-2</v>
      </c>
      <c r="K116" s="135" t="s">
        <v>2560</v>
      </c>
      <c r="L116" s="135"/>
      <c r="M116" s="128">
        <v>0</v>
      </c>
      <c r="N116" s="128"/>
      <c r="O116" s="128">
        <v>0</v>
      </c>
      <c r="P116" s="128"/>
      <c r="Q116" s="679">
        <v>0</v>
      </c>
    </row>
    <row r="117" spans="1:17" ht="13.5" thickBot="1">
      <c r="A117" s="136" t="s">
        <v>2599</v>
      </c>
      <c r="B117" s="137"/>
      <c r="C117" s="696">
        <f>SUM(C115:C116)</f>
        <v>60700000</v>
      </c>
      <c r="D117" s="697"/>
      <c r="E117" s="697"/>
      <c r="F117" s="697"/>
      <c r="G117" s="699">
        <f>SUM(G108:G116)</f>
        <v>2613936</v>
      </c>
      <c r="H117" s="137"/>
      <c r="I117" s="138">
        <v>81329554.870816812</v>
      </c>
      <c r="J117" s="141"/>
      <c r="K117" s="139"/>
      <c r="L117" s="139"/>
      <c r="M117" s="140">
        <v>7181141</v>
      </c>
      <c r="N117" s="140"/>
      <c r="O117" s="140">
        <v>3994169</v>
      </c>
      <c r="P117" s="140"/>
      <c r="Q117" s="142">
        <v>1.2532802300000001</v>
      </c>
    </row>
    <row r="118" spans="1:17" ht="13.5" thickTop="1">
      <c r="A118" s="119"/>
      <c r="B118" s="119"/>
      <c r="C118" s="119"/>
      <c r="D118" s="119"/>
      <c r="E118" s="119"/>
      <c r="F118" s="119"/>
      <c r="G118" s="119"/>
      <c r="H118" s="119"/>
      <c r="I118" s="119"/>
      <c r="J118" s="119"/>
      <c r="K118" s="119"/>
      <c r="L118" s="119"/>
      <c r="M118" s="119"/>
      <c r="N118" s="119"/>
      <c r="O118" s="119"/>
      <c r="P118" s="119"/>
      <c r="Q118" s="119"/>
    </row>
    <row r="119" spans="1:17" s="321" customFormat="1">
      <c r="A119" s="680" t="s">
        <v>2600</v>
      </c>
      <c r="B119" s="680"/>
      <c r="C119" s="681"/>
      <c r="D119" s="681"/>
      <c r="E119" s="681"/>
      <c r="F119" s="681"/>
      <c r="G119" s="681"/>
      <c r="H119" s="681"/>
      <c r="I119" s="682"/>
      <c r="J119" s="681"/>
      <c r="K119" s="681"/>
      <c r="L119" s="681"/>
      <c r="M119" s="681"/>
      <c r="N119" s="681"/>
      <c r="O119" s="681"/>
      <c r="P119" s="681"/>
      <c r="Q119" s="681"/>
    </row>
    <row r="120" spans="1:17" s="321" customFormat="1">
      <c r="A120" s="681"/>
      <c r="B120" s="681"/>
      <c r="C120" s="681"/>
      <c r="D120" s="681"/>
      <c r="E120" s="681"/>
      <c r="F120" s="681"/>
      <c r="G120" s="681"/>
      <c r="H120" s="681"/>
      <c r="I120" s="682"/>
      <c r="J120" s="681"/>
      <c r="K120" s="681"/>
      <c r="L120" s="681"/>
      <c r="M120" s="681"/>
      <c r="N120" s="681"/>
      <c r="O120" s="681"/>
      <c r="P120" s="681"/>
      <c r="Q120" s="681"/>
    </row>
    <row r="121" spans="1:17" s="321" customFormat="1">
      <c r="A121" s="681" t="s">
        <v>2556</v>
      </c>
      <c r="B121" s="681"/>
      <c r="C121" s="683">
        <f>'C-8'!O95</f>
        <v>1082</v>
      </c>
      <c r="D121" s="684">
        <v>10</v>
      </c>
      <c r="E121" s="681" t="s">
        <v>2557</v>
      </c>
      <c r="F121" s="685"/>
      <c r="G121" s="128">
        <f>C121*D121*12</f>
        <v>129840</v>
      </c>
      <c r="H121" s="681"/>
      <c r="I121" s="686">
        <v>1103</v>
      </c>
      <c r="J121" s="684">
        <v>21</v>
      </c>
      <c r="K121" s="681" t="s">
        <v>2557</v>
      </c>
      <c r="L121" s="685"/>
      <c r="M121" s="687">
        <v>277956</v>
      </c>
      <c r="N121" s="687"/>
      <c r="O121" s="687">
        <v>145596</v>
      </c>
      <c r="P121" s="687"/>
      <c r="Q121" s="688">
        <v>1.1000000000000001</v>
      </c>
    </row>
    <row r="122" spans="1:17" s="321" customFormat="1">
      <c r="A122" s="681"/>
      <c r="B122" s="681"/>
      <c r="C122" s="689"/>
      <c r="D122" s="690"/>
      <c r="E122" s="681"/>
      <c r="F122" s="681"/>
      <c r="G122" s="681"/>
      <c r="H122" s="681"/>
      <c r="I122" s="689"/>
      <c r="J122" s="690"/>
      <c r="K122" s="681"/>
      <c r="L122" s="681"/>
      <c r="M122" s="681"/>
      <c r="N122" s="681"/>
      <c r="O122" s="681"/>
      <c r="P122" s="681"/>
      <c r="Q122" s="681"/>
    </row>
    <row r="123" spans="1:17" s="321" customFormat="1">
      <c r="A123" s="681" t="s">
        <v>2558</v>
      </c>
      <c r="B123" s="681"/>
      <c r="C123" s="683"/>
      <c r="D123" s="690"/>
      <c r="E123" s="681"/>
      <c r="F123" s="681"/>
      <c r="G123" s="681"/>
      <c r="H123" s="681"/>
      <c r="I123" s="689"/>
      <c r="J123" s="690"/>
      <c r="K123" s="681"/>
      <c r="L123" s="681"/>
      <c r="M123" s="681"/>
      <c r="N123" s="681"/>
      <c r="O123" s="681"/>
      <c r="P123" s="681"/>
      <c r="Q123" s="681"/>
    </row>
    <row r="124" spans="1:17" s="321" customFormat="1">
      <c r="A124" s="691" t="s">
        <v>912</v>
      </c>
      <c r="B124" s="681"/>
      <c r="C124" s="683">
        <f>'C-8'!O97</f>
        <v>23109615</v>
      </c>
      <c r="D124" s="692">
        <v>6.1789999999999998E-2</v>
      </c>
      <c r="E124" s="693" t="s">
        <v>2560</v>
      </c>
      <c r="F124" s="681"/>
      <c r="G124" s="128">
        <f>C124*D124</f>
        <v>1427943.1108500001</v>
      </c>
      <c r="H124" s="681"/>
      <c r="I124" s="683">
        <v>19515369.388357587</v>
      </c>
      <c r="J124" s="692">
        <v>8.5000000000000006E-2</v>
      </c>
      <c r="K124" s="693" t="s">
        <v>2560</v>
      </c>
      <c r="L124" s="681"/>
      <c r="M124" s="687">
        <v>1658806</v>
      </c>
      <c r="N124" s="681"/>
      <c r="O124" s="687">
        <v>452951</v>
      </c>
      <c r="P124" s="687"/>
      <c r="Q124" s="688">
        <v>0.37562642299999999</v>
      </c>
    </row>
    <row r="125" spans="1:17" s="321" customFormat="1" ht="13.5" thickBot="1">
      <c r="A125" s="694" t="s">
        <v>2601</v>
      </c>
      <c r="B125" s="695"/>
      <c r="C125" s="696">
        <f>C124</f>
        <v>23109615</v>
      </c>
      <c r="D125" s="697"/>
      <c r="E125" s="697"/>
      <c r="F125" s="697"/>
      <c r="G125" s="699">
        <f>SUM(G121:G124)</f>
        <v>1557783.1108500001</v>
      </c>
      <c r="H125" s="695"/>
      <c r="I125" s="696">
        <v>19515369.388357587</v>
      </c>
      <c r="J125" s="698"/>
      <c r="K125" s="697"/>
      <c r="L125" s="697"/>
      <c r="M125" s="699">
        <v>1936762</v>
      </c>
      <c r="N125" s="699"/>
      <c r="O125" s="699">
        <v>598547</v>
      </c>
      <c r="P125" s="699"/>
      <c r="Q125" s="700">
        <v>0.44727267300000001</v>
      </c>
    </row>
    <row r="126" spans="1:17" ht="13.5" thickTop="1">
      <c r="A126" s="166"/>
      <c r="B126" s="119"/>
      <c r="C126" s="125"/>
      <c r="D126" s="135"/>
      <c r="E126" s="135"/>
      <c r="F126" s="135"/>
      <c r="G126" s="128"/>
      <c r="H126" s="119"/>
      <c r="I126" s="125"/>
      <c r="J126" s="132"/>
      <c r="K126" s="135"/>
      <c r="L126" s="135"/>
      <c r="M126" s="128"/>
      <c r="N126" s="128"/>
      <c r="O126" s="128"/>
      <c r="P126" s="128"/>
      <c r="Q126" s="679"/>
    </row>
    <row r="127" spans="1:17">
      <c r="A127" s="123" t="s">
        <v>2602</v>
      </c>
      <c r="B127" s="123"/>
      <c r="C127" s="119"/>
      <c r="D127" s="119"/>
      <c r="E127" s="119"/>
      <c r="F127" s="119"/>
      <c r="G127" s="119"/>
      <c r="H127" s="119"/>
      <c r="I127" s="124"/>
      <c r="J127" s="119"/>
      <c r="K127" s="119"/>
      <c r="L127" s="119"/>
      <c r="M127" s="119"/>
      <c r="N127" s="119"/>
      <c r="O127" s="119"/>
      <c r="P127" s="119"/>
      <c r="Q127" s="119"/>
    </row>
    <row r="128" spans="1:17">
      <c r="A128" s="119"/>
      <c r="B128" s="119"/>
      <c r="C128" s="119"/>
      <c r="D128" s="119"/>
      <c r="E128" s="119"/>
      <c r="F128" s="119"/>
      <c r="G128" s="119"/>
      <c r="H128" s="119"/>
      <c r="I128" s="124"/>
      <c r="J128" s="119"/>
      <c r="K128" s="119"/>
      <c r="L128" s="119"/>
      <c r="M128" s="119"/>
      <c r="N128" s="119"/>
      <c r="O128" s="119"/>
      <c r="P128" s="119"/>
      <c r="Q128" s="119"/>
    </row>
    <row r="129" spans="1:17">
      <c r="A129" s="119" t="s">
        <v>2556</v>
      </c>
      <c r="B129" s="119"/>
      <c r="C129" s="125">
        <f>'C-8'!O101</f>
        <v>2465</v>
      </c>
      <c r="D129" s="126">
        <v>5</v>
      </c>
      <c r="E129" s="119" t="s">
        <v>2557</v>
      </c>
      <c r="F129" s="127"/>
      <c r="G129" s="128">
        <f>C129*D129*12</f>
        <v>147900</v>
      </c>
      <c r="H129" s="119"/>
      <c r="I129" s="678">
        <v>48</v>
      </c>
      <c r="J129" s="126">
        <v>15</v>
      </c>
      <c r="K129" s="119" t="s">
        <v>2557</v>
      </c>
      <c r="L129" s="127"/>
      <c r="M129" s="128">
        <v>8640</v>
      </c>
      <c r="N129" s="128"/>
      <c r="O129" s="128">
        <v>5760</v>
      </c>
      <c r="P129" s="128"/>
      <c r="Q129" s="679">
        <v>2</v>
      </c>
    </row>
    <row r="130" spans="1:17">
      <c r="A130" s="119"/>
      <c r="B130" s="119"/>
      <c r="C130" s="131"/>
      <c r="D130" s="132"/>
      <c r="E130" s="119"/>
      <c r="F130" s="119"/>
      <c r="G130" s="119"/>
      <c r="H130" s="119"/>
      <c r="I130" s="131"/>
      <c r="J130" s="132"/>
      <c r="K130" s="119"/>
      <c r="L130" s="119"/>
      <c r="M130" s="119"/>
      <c r="N130" s="119"/>
      <c r="O130" s="119"/>
      <c r="P130" s="119"/>
      <c r="Q130" s="119"/>
    </row>
    <row r="131" spans="1:17">
      <c r="A131" s="119" t="s">
        <v>2558</v>
      </c>
      <c r="B131" s="119"/>
      <c r="C131" s="125"/>
      <c r="D131" s="132"/>
      <c r="E131" s="119"/>
      <c r="F131" s="119"/>
      <c r="G131" s="119"/>
      <c r="H131" s="119"/>
      <c r="I131" s="131"/>
      <c r="J131" s="132"/>
      <c r="K131" s="119"/>
      <c r="L131" s="119"/>
      <c r="M131" s="119"/>
      <c r="N131" s="119"/>
      <c r="O131" s="119"/>
      <c r="P131" s="119"/>
      <c r="Q131" s="119"/>
    </row>
    <row r="132" spans="1:17">
      <c r="A132" s="133" t="s">
        <v>2603</v>
      </c>
      <c r="B132" s="119"/>
      <c r="C132" s="125">
        <f>'C-8'!O103</f>
        <v>0</v>
      </c>
      <c r="D132" s="134">
        <v>8.4489999999999996E-2</v>
      </c>
      <c r="E132" s="135" t="s">
        <v>2557</v>
      </c>
      <c r="F132" s="119"/>
      <c r="G132" s="128">
        <f>C132*D132</f>
        <v>0</v>
      </c>
      <c r="H132" s="119"/>
      <c r="I132" s="125">
        <v>0</v>
      </c>
      <c r="J132" s="134">
        <v>0.125</v>
      </c>
      <c r="K132" s="135" t="s">
        <v>2560</v>
      </c>
      <c r="L132" s="119"/>
      <c r="M132" s="128">
        <v>0</v>
      </c>
      <c r="N132" s="119"/>
      <c r="O132" s="128">
        <v>0</v>
      </c>
      <c r="P132" s="128"/>
      <c r="Q132" s="679">
        <v>0</v>
      </c>
    </row>
    <row r="133" spans="1:17">
      <c r="A133" s="133" t="s">
        <v>2604</v>
      </c>
      <c r="B133" s="119"/>
      <c r="C133" s="125">
        <f>'C-8'!O104</f>
        <v>0</v>
      </c>
      <c r="D133" s="135">
        <v>0</v>
      </c>
      <c r="E133" s="135" t="s">
        <v>2557</v>
      </c>
      <c r="F133" s="135"/>
      <c r="G133" s="128">
        <f>C133*D133</f>
        <v>0</v>
      </c>
      <c r="H133" s="119"/>
      <c r="I133" s="125">
        <v>0</v>
      </c>
      <c r="J133" s="132">
        <v>0</v>
      </c>
      <c r="K133" s="135" t="s">
        <v>2560</v>
      </c>
      <c r="L133" s="135"/>
      <c r="M133" s="128">
        <v>0</v>
      </c>
      <c r="N133" s="128"/>
      <c r="O133" s="128">
        <v>0</v>
      </c>
      <c r="P133" s="128"/>
      <c r="Q133" s="679">
        <v>0</v>
      </c>
    </row>
    <row r="134" spans="1:17">
      <c r="A134" s="133" t="s">
        <v>2605</v>
      </c>
      <c r="B134" s="119"/>
      <c r="C134" s="125">
        <f>'C-8'!O105</f>
        <v>16450000</v>
      </c>
      <c r="D134" s="135">
        <v>8.4489999999999996E-2</v>
      </c>
      <c r="E134" s="135" t="s">
        <v>2560</v>
      </c>
      <c r="F134" s="135"/>
      <c r="G134" s="128">
        <f>C134*D134</f>
        <v>1389860.5</v>
      </c>
      <c r="H134" s="119"/>
      <c r="I134" s="125">
        <v>16455131.999999998</v>
      </c>
      <c r="J134" s="132">
        <v>0.125</v>
      </c>
      <c r="K134" s="135" t="s">
        <v>2560</v>
      </c>
      <c r="L134" s="135"/>
      <c r="M134" s="128">
        <v>2056892</v>
      </c>
      <c r="N134" s="128"/>
      <c r="O134" s="128">
        <v>666598</v>
      </c>
      <c r="P134" s="128"/>
      <c r="Q134" s="679">
        <v>0.47946549399999999</v>
      </c>
    </row>
    <row r="135" spans="1:17" ht="13.5" thickBot="1">
      <c r="A135" s="136" t="s">
        <v>2606</v>
      </c>
      <c r="B135" s="137"/>
      <c r="C135" s="138">
        <f>SUM(C132:C134)</f>
        <v>16450000</v>
      </c>
      <c r="D135" s="139"/>
      <c r="E135" s="139"/>
      <c r="F135" s="139"/>
      <c r="G135" s="140">
        <f>SUM(G129:G134)</f>
        <v>1537760.5</v>
      </c>
      <c r="H135" s="137"/>
      <c r="I135" s="138">
        <v>16455131.999999998</v>
      </c>
      <c r="J135" s="141"/>
      <c r="K135" s="139"/>
      <c r="L135" s="139"/>
      <c r="M135" s="140">
        <v>2065532</v>
      </c>
      <c r="N135" s="140"/>
      <c r="O135" s="140">
        <v>672358</v>
      </c>
      <c r="P135" s="140"/>
      <c r="Q135" s="142">
        <v>0.48260877699999999</v>
      </c>
    </row>
    <row r="136" spans="1:17" ht="13.5" thickTop="1">
      <c r="A136" s="119"/>
      <c r="B136" s="119"/>
      <c r="C136" s="119"/>
      <c r="D136" s="119"/>
      <c r="E136" s="119"/>
      <c r="F136" s="119"/>
      <c r="G136" s="119"/>
      <c r="H136" s="119"/>
      <c r="I136" s="124"/>
      <c r="J136" s="119"/>
      <c r="K136" s="119"/>
      <c r="L136" s="119"/>
      <c r="M136" s="119"/>
      <c r="N136" s="119"/>
      <c r="O136" s="119"/>
      <c r="P136" s="119"/>
      <c r="Q136" s="119"/>
    </row>
    <row r="137" spans="1:17">
      <c r="A137" s="123" t="s">
        <v>2607</v>
      </c>
      <c r="B137" s="123"/>
      <c r="C137" s="119"/>
      <c r="D137" s="119"/>
      <c r="E137" s="119"/>
      <c r="F137" s="119"/>
      <c r="G137" s="119"/>
      <c r="H137" s="119"/>
      <c r="I137" s="124"/>
      <c r="J137" s="119"/>
      <c r="K137" s="119"/>
      <c r="L137" s="119"/>
      <c r="M137" s="119"/>
      <c r="N137" s="119"/>
      <c r="O137" s="119"/>
      <c r="P137" s="119"/>
      <c r="Q137" s="119"/>
    </row>
    <row r="138" spans="1:17">
      <c r="A138" s="119"/>
      <c r="B138" s="119"/>
      <c r="C138" s="119"/>
      <c r="D138" s="119"/>
      <c r="E138" s="119"/>
      <c r="F138" s="119"/>
      <c r="G138" s="119"/>
      <c r="H138" s="119"/>
      <c r="I138" s="124"/>
      <c r="J138" s="119"/>
      <c r="K138" s="119"/>
      <c r="L138" s="119"/>
      <c r="M138" s="119"/>
      <c r="N138" s="119"/>
      <c r="O138" s="119"/>
      <c r="P138" s="119"/>
      <c r="Q138" s="119"/>
    </row>
    <row r="139" spans="1:17">
      <c r="A139" s="119" t="s">
        <v>2556</v>
      </c>
      <c r="B139" s="119"/>
      <c r="C139" s="125">
        <f>'C-8'!O109</f>
        <v>923</v>
      </c>
      <c r="D139" s="126">
        <v>4.5999999999999996</v>
      </c>
      <c r="E139" s="119" t="s">
        <v>2557</v>
      </c>
      <c r="F139" s="127"/>
      <c r="G139" s="128">
        <f>C139*D139*12</f>
        <v>50949.599999999991</v>
      </c>
      <c r="H139" s="119"/>
      <c r="I139" s="678">
        <v>223</v>
      </c>
      <c r="J139" s="126">
        <v>15</v>
      </c>
      <c r="K139" s="119" t="s">
        <v>2557</v>
      </c>
      <c r="L139" s="127"/>
      <c r="M139" s="128">
        <v>40140</v>
      </c>
      <c r="N139" s="128"/>
      <c r="O139" s="128">
        <v>27830</v>
      </c>
      <c r="P139" s="128"/>
      <c r="Q139" s="679">
        <v>2.2607636069999999</v>
      </c>
    </row>
    <row r="140" spans="1:17">
      <c r="A140" s="119"/>
      <c r="B140" s="119"/>
      <c r="C140" s="131"/>
      <c r="D140" s="132"/>
      <c r="E140" s="119"/>
      <c r="F140" s="119"/>
      <c r="G140" s="119"/>
      <c r="H140" s="119"/>
      <c r="I140" s="131"/>
      <c r="J140" s="132"/>
      <c r="K140" s="119"/>
      <c r="L140" s="119"/>
      <c r="M140" s="119"/>
      <c r="N140" s="119"/>
      <c r="O140" s="119"/>
      <c r="P140" s="119"/>
      <c r="Q140" s="119"/>
    </row>
    <row r="141" spans="1:17">
      <c r="A141" s="119" t="s">
        <v>2558</v>
      </c>
      <c r="B141" s="119"/>
      <c r="C141" s="125"/>
      <c r="D141" s="132"/>
      <c r="E141" s="119"/>
      <c r="F141" s="119"/>
      <c r="G141" s="119"/>
      <c r="H141" s="119"/>
      <c r="I141" s="131"/>
      <c r="J141" s="132"/>
      <c r="K141" s="119"/>
      <c r="L141" s="119"/>
      <c r="M141" s="119"/>
      <c r="N141" s="119"/>
      <c r="O141" s="119"/>
      <c r="P141" s="119"/>
      <c r="Q141" s="119"/>
    </row>
    <row r="142" spans="1:17">
      <c r="A142" s="133" t="s">
        <v>912</v>
      </c>
      <c r="B142" s="119"/>
      <c r="C142" s="125">
        <f>'C-8'!O111</f>
        <v>150000</v>
      </c>
      <c r="D142" s="134">
        <v>8.4489999999999996E-2</v>
      </c>
      <c r="E142" s="135" t="s">
        <v>2560</v>
      </c>
      <c r="F142" s="119"/>
      <c r="G142" s="128">
        <f>C142*D142</f>
        <v>12673.5</v>
      </c>
      <c r="H142" s="119"/>
      <c r="I142" s="125">
        <v>153660</v>
      </c>
      <c r="J142" s="134">
        <v>0.125</v>
      </c>
      <c r="K142" s="135" t="s">
        <v>2560</v>
      </c>
      <c r="L142" s="119"/>
      <c r="M142" s="128">
        <v>19208</v>
      </c>
      <c r="N142" s="119"/>
      <c r="O142" s="128">
        <v>6225</v>
      </c>
      <c r="P142" s="128"/>
      <c r="Q142" s="679">
        <v>0.47947315699999998</v>
      </c>
    </row>
    <row r="143" spans="1:17" ht="13.5" thickBot="1">
      <c r="A143" s="136" t="s">
        <v>2608</v>
      </c>
      <c r="B143" s="137"/>
      <c r="C143" s="138">
        <f>C142</f>
        <v>150000</v>
      </c>
      <c r="D143" s="139"/>
      <c r="E143" s="139"/>
      <c r="F143" s="139"/>
      <c r="G143" s="167">
        <f>SUM(G139:G142)</f>
        <v>63623.099999999991</v>
      </c>
      <c r="H143" s="137"/>
      <c r="I143" s="138">
        <v>153660</v>
      </c>
      <c r="J143" s="141"/>
      <c r="K143" s="139"/>
      <c r="L143" s="139"/>
      <c r="M143" s="140">
        <v>59348</v>
      </c>
      <c r="N143" s="140"/>
      <c r="O143" s="140">
        <v>34055</v>
      </c>
      <c r="P143" s="140"/>
      <c r="Q143" s="142">
        <v>1.346419958</v>
      </c>
    </row>
    <row r="144" spans="1:17" ht="13.5" thickTop="1">
      <c r="A144" s="166"/>
      <c r="B144" s="119"/>
      <c r="C144" s="125"/>
      <c r="D144" s="135"/>
      <c r="E144" s="135"/>
      <c r="F144" s="135"/>
      <c r="G144" s="128"/>
      <c r="H144" s="119"/>
      <c r="I144" s="125"/>
      <c r="J144" s="132"/>
      <c r="K144" s="135"/>
      <c r="L144" s="135"/>
      <c r="M144" s="128"/>
      <c r="N144" s="128"/>
      <c r="O144" s="128"/>
      <c r="P144" s="128"/>
      <c r="Q144" s="679"/>
    </row>
    <row r="145" spans="1:17">
      <c r="A145" s="123" t="s">
        <v>2609</v>
      </c>
      <c r="B145" s="123"/>
      <c r="C145" s="119"/>
      <c r="D145" s="119"/>
      <c r="E145" s="119"/>
      <c r="F145" s="119"/>
      <c r="G145" s="119"/>
      <c r="H145" s="119"/>
      <c r="I145" s="124"/>
      <c r="J145" s="119"/>
      <c r="K145" s="119"/>
      <c r="L145" s="119"/>
      <c r="M145" s="119"/>
      <c r="N145" s="119"/>
      <c r="O145" s="119"/>
      <c r="P145" s="119"/>
      <c r="Q145" s="119"/>
    </row>
    <row r="146" spans="1:17">
      <c r="A146" s="119"/>
      <c r="B146" s="119"/>
      <c r="C146" s="119"/>
      <c r="D146" s="119"/>
      <c r="E146" s="119"/>
      <c r="F146" s="119"/>
      <c r="G146" s="119"/>
      <c r="H146" s="119"/>
      <c r="I146" s="124"/>
      <c r="J146" s="119"/>
      <c r="K146" s="119"/>
      <c r="L146" s="119"/>
      <c r="M146" s="119"/>
      <c r="N146" s="119"/>
      <c r="O146" s="119"/>
      <c r="P146" s="119"/>
      <c r="Q146" s="119"/>
    </row>
    <row r="147" spans="1:17">
      <c r="A147" s="119" t="s">
        <v>2556</v>
      </c>
      <c r="B147" s="119"/>
      <c r="C147" s="125">
        <f>'C-8'!O115</f>
        <v>2</v>
      </c>
      <c r="D147" s="126">
        <v>521.67999999999995</v>
      </c>
      <c r="E147" s="119" t="s">
        <v>2557</v>
      </c>
      <c r="F147" s="127"/>
      <c r="G147" s="128">
        <f>C147*D147</f>
        <v>1043.3599999999999</v>
      </c>
      <c r="H147" s="119"/>
      <c r="I147" s="678">
        <v>2</v>
      </c>
      <c r="J147" s="126">
        <v>1750</v>
      </c>
      <c r="K147" s="119" t="s">
        <v>2557</v>
      </c>
      <c r="L147" s="127"/>
      <c r="M147" s="128">
        <v>42000</v>
      </c>
      <c r="N147" s="128"/>
      <c r="O147" s="128">
        <v>29480</v>
      </c>
      <c r="P147" s="128"/>
      <c r="Q147" s="679">
        <v>2.3546325879999999</v>
      </c>
    </row>
    <row r="148" spans="1:17">
      <c r="A148" s="119"/>
      <c r="B148" s="119"/>
      <c r="C148" s="131"/>
      <c r="D148" s="132"/>
      <c r="E148" s="119"/>
      <c r="F148" s="119"/>
      <c r="G148" s="119"/>
      <c r="H148" s="119"/>
      <c r="I148" s="131"/>
      <c r="J148" s="132"/>
      <c r="K148" s="119"/>
      <c r="L148" s="119"/>
      <c r="M148" s="119"/>
      <c r="N148" s="119"/>
      <c r="O148" s="119"/>
      <c r="P148" s="119"/>
      <c r="Q148" s="119"/>
    </row>
    <row r="149" spans="1:17">
      <c r="A149" s="119" t="s">
        <v>2578</v>
      </c>
      <c r="B149" s="119"/>
      <c r="C149" s="131"/>
      <c r="D149" s="132"/>
      <c r="E149" s="119"/>
      <c r="F149" s="119"/>
      <c r="G149" s="119"/>
      <c r="H149" s="119"/>
      <c r="I149" s="678"/>
      <c r="J149" s="132"/>
      <c r="K149" s="119"/>
      <c r="L149" s="119"/>
      <c r="M149" s="119"/>
      <c r="N149" s="119"/>
      <c r="O149" s="119"/>
      <c r="P149" s="119"/>
      <c r="Q149" s="119"/>
    </row>
    <row r="150" spans="1:17">
      <c r="A150" s="133" t="s">
        <v>2579</v>
      </c>
      <c r="B150" s="119"/>
      <c r="C150" s="125">
        <f>'C-8'!O117</f>
        <v>123624.96996279982</v>
      </c>
      <c r="D150" s="127">
        <v>8.58</v>
      </c>
      <c r="E150" s="119" t="s">
        <v>2580</v>
      </c>
      <c r="F150" s="127"/>
      <c r="G150" s="128">
        <f>C150*D150</f>
        <v>1060702.2422808225</v>
      </c>
      <c r="H150" s="119"/>
      <c r="I150" s="131">
        <v>0</v>
      </c>
      <c r="J150" s="127">
        <v>8.58</v>
      </c>
      <c r="K150" s="119" t="s">
        <v>2580</v>
      </c>
      <c r="L150" s="127"/>
      <c r="M150" s="128">
        <v>0</v>
      </c>
      <c r="N150" s="128"/>
      <c r="O150" s="128">
        <v>0</v>
      </c>
      <c r="P150" s="128"/>
      <c r="Q150" s="679">
        <v>0</v>
      </c>
    </row>
    <row r="151" spans="1:17">
      <c r="A151" s="133" t="s">
        <v>2581</v>
      </c>
      <c r="B151" s="119"/>
      <c r="C151" s="125">
        <f>'C-8'!O118</f>
        <v>0</v>
      </c>
      <c r="D151" s="127">
        <v>11.59</v>
      </c>
      <c r="E151" s="119" t="s">
        <v>2580</v>
      </c>
      <c r="F151" s="127"/>
      <c r="G151" s="128">
        <f>C151*D151</f>
        <v>0</v>
      </c>
      <c r="H151" s="119"/>
      <c r="I151" s="131">
        <v>0</v>
      </c>
      <c r="J151" s="127">
        <v>11.59</v>
      </c>
      <c r="K151" s="119" t="s">
        <v>2580</v>
      </c>
      <c r="L151" s="127"/>
      <c r="M151" s="128">
        <v>0</v>
      </c>
      <c r="N151" s="128"/>
      <c r="O151" s="128">
        <v>0</v>
      </c>
      <c r="P151" s="128"/>
      <c r="Q151" s="679">
        <v>0</v>
      </c>
    </row>
    <row r="152" spans="1:17">
      <c r="A152" s="133"/>
      <c r="B152" s="119"/>
      <c r="C152" s="125"/>
      <c r="D152" s="127"/>
      <c r="E152" s="119"/>
      <c r="F152" s="127"/>
      <c r="G152" s="128"/>
      <c r="H152" s="119"/>
      <c r="I152" s="125"/>
      <c r="J152" s="127"/>
      <c r="K152" s="119"/>
      <c r="L152" s="127"/>
      <c r="M152" s="128"/>
      <c r="N152" s="128"/>
      <c r="O152" s="119"/>
      <c r="P152" s="119"/>
      <c r="Q152" s="119"/>
    </row>
    <row r="153" spans="1:17">
      <c r="A153" s="119" t="s">
        <v>2558</v>
      </c>
      <c r="B153" s="119"/>
      <c r="C153" s="125"/>
      <c r="D153" s="132"/>
      <c r="E153" s="119"/>
      <c r="F153" s="119"/>
      <c r="G153" s="119"/>
      <c r="H153" s="119"/>
      <c r="I153" s="131"/>
      <c r="J153" s="132"/>
      <c r="K153" s="119"/>
      <c r="L153" s="119"/>
      <c r="M153" s="119"/>
      <c r="N153" s="119"/>
      <c r="O153" s="119"/>
      <c r="P153" s="119"/>
      <c r="Q153" s="119"/>
    </row>
    <row r="154" spans="1:17">
      <c r="A154" s="133" t="s">
        <v>912</v>
      </c>
      <c r="B154" s="119"/>
      <c r="C154" s="125">
        <f>'C-8'!O120</f>
        <v>4200000</v>
      </c>
      <c r="D154" s="134">
        <v>2.811E-2</v>
      </c>
      <c r="E154" s="135" t="s">
        <v>2560</v>
      </c>
      <c r="F154" s="119"/>
      <c r="G154" s="128">
        <f>C154*D154</f>
        <v>118062</v>
      </c>
      <c r="H154" s="119"/>
      <c r="I154" s="125">
        <v>698242.00885200687</v>
      </c>
      <c r="J154" s="134">
        <v>4.5999999999999999E-2</v>
      </c>
      <c r="K154" s="135" t="s">
        <v>2560</v>
      </c>
      <c r="L154" s="119"/>
      <c r="M154" s="128">
        <v>32119</v>
      </c>
      <c r="N154" s="119"/>
      <c r="O154" s="128">
        <v>12491</v>
      </c>
      <c r="P154" s="128"/>
      <c r="Q154" s="679">
        <v>0.63638679399999998</v>
      </c>
    </row>
    <row r="155" spans="1:17" ht="13.5" thickBot="1">
      <c r="A155" s="136" t="s">
        <v>2610</v>
      </c>
      <c r="B155" s="137"/>
      <c r="C155" s="138">
        <f>C154</f>
        <v>4200000</v>
      </c>
      <c r="D155" s="139"/>
      <c r="E155" s="139"/>
      <c r="F155" s="139"/>
      <c r="G155" s="140">
        <f>SUM(G147:G154)</f>
        <v>1179807.6022808226</v>
      </c>
      <c r="H155" s="137"/>
      <c r="I155" s="138">
        <v>698242.00885200687</v>
      </c>
      <c r="J155" s="141"/>
      <c r="K155" s="139"/>
      <c r="L155" s="139"/>
      <c r="M155" s="140">
        <v>74119</v>
      </c>
      <c r="N155" s="140"/>
      <c r="O155" s="140">
        <v>41971</v>
      </c>
      <c r="P155" s="140"/>
      <c r="Q155" s="142">
        <v>1.3055555560000001</v>
      </c>
    </row>
    <row r="156" spans="1:17" ht="13.5" thickTop="1"/>
    <row r="157" spans="1:17">
      <c r="C157" s="678"/>
      <c r="G157" s="320"/>
      <c r="M157" s="320"/>
      <c r="O157" s="320"/>
    </row>
    <row r="159" spans="1:17">
      <c r="G159" s="320"/>
    </row>
  </sheetData>
  <conditionalFormatting sqref="I6:I7">
    <cfRule type="cellIs" dxfId="320" priority="70" operator="equal">
      <formula>C6</formula>
    </cfRule>
  </conditionalFormatting>
  <conditionalFormatting sqref="I15:I16">
    <cfRule type="cellIs" dxfId="319" priority="68" operator="equal">
      <formula>C15</formula>
    </cfRule>
  </conditionalFormatting>
  <conditionalFormatting sqref="I24:I25">
    <cfRule type="cellIs" dxfId="318" priority="66" operator="equal">
      <formula>C24</formula>
    </cfRule>
  </conditionalFormatting>
  <conditionalFormatting sqref="I33:I34">
    <cfRule type="cellIs" dxfId="317" priority="64" operator="equal">
      <formula>C33</formula>
    </cfRule>
  </conditionalFormatting>
  <conditionalFormatting sqref="I46:I47">
    <cfRule type="cellIs" dxfId="316" priority="60" operator="equal">
      <formula>C46</formula>
    </cfRule>
  </conditionalFormatting>
  <conditionalFormatting sqref="I54:I55">
    <cfRule type="cellIs" dxfId="315" priority="58" operator="equal">
      <formula>C54</formula>
    </cfRule>
  </conditionalFormatting>
  <conditionalFormatting sqref="I61">
    <cfRule type="cellIs" dxfId="314" priority="72" operator="equal">
      <formula>C61</formula>
    </cfRule>
  </conditionalFormatting>
  <conditionalFormatting sqref="I67:I68">
    <cfRule type="cellIs" dxfId="313" priority="55" operator="equal">
      <formula>C67</formula>
    </cfRule>
  </conditionalFormatting>
  <conditionalFormatting sqref="I74">
    <cfRule type="cellIs" dxfId="312" priority="57" operator="equal">
      <formula>C74</formula>
    </cfRule>
  </conditionalFormatting>
  <conditionalFormatting sqref="I80:I81">
    <cfRule type="cellIs" dxfId="311" priority="52" operator="equal">
      <formula>C80</formula>
    </cfRule>
  </conditionalFormatting>
  <conditionalFormatting sqref="I87">
    <cfRule type="cellIs" dxfId="310" priority="54" operator="equal">
      <formula>C87</formula>
    </cfRule>
  </conditionalFormatting>
  <conditionalFormatting sqref="I93:I94">
    <cfRule type="cellIs" dxfId="309" priority="49" operator="equal">
      <formula>C93</formula>
    </cfRule>
  </conditionalFormatting>
  <conditionalFormatting sqref="I100">
    <cfRule type="cellIs" dxfId="308" priority="51" operator="equal">
      <formula>C100</formula>
    </cfRule>
  </conditionalFormatting>
  <conditionalFormatting sqref="I106:I107">
    <cfRule type="cellIs" dxfId="307" priority="46" operator="equal">
      <formula>C106</formula>
    </cfRule>
  </conditionalFormatting>
  <conditionalFormatting sqref="I113">
    <cfRule type="cellIs" dxfId="306" priority="48" operator="equal">
      <formula>C113</formula>
    </cfRule>
  </conditionalFormatting>
  <conditionalFormatting sqref="I119:I120">
    <cfRule type="cellIs" dxfId="305" priority="43" operator="equal">
      <formula>C119</formula>
    </cfRule>
  </conditionalFormatting>
  <conditionalFormatting sqref="I127:I128">
    <cfRule type="cellIs" dxfId="304" priority="40" operator="equal">
      <formula>C127</formula>
    </cfRule>
  </conditionalFormatting>
  <conditionalFormatting sqref="I136:I138">
    <cfRule type="cellIs" dxfId="303" priority="35" operator="equal">
      <formula>C136</formula>
    </cfRule>
  </conditionalFormatting>
  <conditionalFormatting sqref="I145:I146">
    <cfRule type="cellIs" dxfId="302" priority="32" operator="equal">
      <formula>C145</formula>
    </cfRule>
  </conditionalFormatting>
  <conditionalFormatting sqref="I152">
    <cfRule type="cellIs" dxfId="301" priority="30" operator="equal">
      <formula>C152</formula>
    </cfRule>
  </conditionalFormatting>
  <conditionalFormatting sqref="I36:L38">
    <cfRule type="expression" dxfId="300" priority="63">
      <formula>HideProposed</formula>
    </cfRule>
  </conditionalFormatting>
  <conditionalFormatting sqref="I41:L43">
    <cfRule type="expression" dxfId="299" priority="62">
      <formula>HideProposed</formula>
    </cfRule>
  </conditionalFormatting>
  <conditionalFormatting sqref="I48:L48">
    <cfRule type="expression" dxfId="298" priority="59">
      <formula>HideProposed</formula>
    </cfRule>
  </conditionalFormatting>
  <conditionalFormatting sqref="I121:L121">
    <cfRule type="expression" dxfId="297" priority="42">
      <formula>HideProposed</formula>
    </cfRule>
  </conditionalFormatting>
  <conditionalFormatting sqref="I132:L134">
    <cfRule type="expression" dxfId="296" priority="39">
      <formula>HideProposed</formula>
    </cfRule>
  </conditionalFormatting>
  <conditionalFormatting sqref="I139:L139">
    <cfRule type="expression" dxfId="295" priority="37">
      <formula>HideProposed</formula>
    </cfRule>
  </conditionalFormatting>
  <conditionalFormatting sqref="I147:L147">
    <cfRule type="expression" dxfId="294" priority="31">
      <formula>HideProposed</formula>
    </cfRule>
  </conditionalFormatting>
  <conditionalFormatting sqref="I154:L154 J155:L155">
    <cfRule type="expression" dxfId="293" priority="34">
      <formula>HideProposed</formula>
    </cfRule>
  </conditionalFormatting>
  <conditionalFormatting sqref="I5:Q7 I8:L8 N8:Q8 I9:Q10 I11:L12 N11:Q12 J13:Q13 I49:Q50 I51:L51 N51:Q52 J52:L52 I53:Q55 I56:L56 N56:Q56 I57:Q58 I59:L60 N59:Q60 I61:Q62 I63:L64 N63:Q64 J65:Q65">
    <cfRule type="expression" dxfId="292" priority="71">
      <formula>HideProposed</formula>
    </cfRule>
  </conditionalFormatting>
  <conditionalFormatting sqref="I14:Q16 I17:L17 I18:Q19 I20:L21 J22:Q22">
    <cfRule type="expression" dxfId="291" priority="69">
      <formula>HideProposed</formula>
    </cfRule>
  </conditionalFormatting>
  <conditionalFormatting sqref="I23:Q25 I26:L26 I27:Q28 I29:L30 J31:Q31">
    <cfRule type="expression" dxfId="290" priority="67">
      <formula>HideProposed</formula>
    </cfRule>
  </conditionalFormatting>
  <conditionalFormatting sqref="I32:Q35 I39:Q40 J44:L44">
    <cfRule type="expression" dxfId="289" priority="65">
      <formula>HideProposed</formula>
    </cfRule>
  </conditionalFormatting>
  <conditionalFormatting sqref="I45:Q47">
    <cfRule type="expression" dxfId="288" priority="61">
      <formula>HideProposed</formula>
    </cfRule>
  </conditionalFormatting>
  <conditionalFormatting sqref="I66:Q68 I69:L69 I70:Q71 I72:L73 I74:Q75 I76:L77 J78:Q78">
    <cfRule type="expression" dxfId="287" priority="56">
      <formula>HideProposed</formula>
    </cfRule>
  </conditionalFormatting>
  <conditionalFormatting sqref="I79:Q81 I82:L82 I83:Q84 I85:L86 I87:Q88 I89:L90 J91:Q91">
    <cfRule type="expression" dxfId="286" priority="53">
      <formula>HideProposed</formula>
    </cfRule>
  </conditionalFormatting>
  <conditionalFormatting sqref="I92:Q94 I95:L95 I96:Q97 I98:L99 I100:Q101 I102:L103 J104:Q104">
    <cfRule type="expression" dxfId="285" priority="50">
      <formula>HideProposed</formula>
    </cfRule>
  </conditionalFormatting>
  <conditionalFormatting sqref="I105:Q107 I108:L108 I109:Q110 I111:L112 I113:Q114 I115:L116 J117:Q117">
    <cfRule type="expression" dxfId="284" priority="47">
      <formula>HideProposed</formula>
    </cfRule>
  </conditionalFormatting>
  <conditionalFormatting sqref="I118:Q120">
    <cfRule type="expression" dxfId="283" priority="44">
      <formula>HideProposed</formula>
    </cfRule>
  </conditionalFormatting>
  <conditionalFormatting sqref="I122:Q123 I124:L124 J125:L125">
    <cfRule type="expression" dxfId="282" priority="45">
      <formula>HideProposed</formula>
    </cfRule>
  </conditionalFormatting>
  <conditionalFormatting sqref="I126:Q128 I129:L129 I130:Q131 J135:L135">
    <cfRule type="expression" dxfId="281" priority="41">
      <formula>HideProposed</formula>
    </cfRule>
  </conditionalFormatting>
  <conditionalFormatting sqref="I136:Q138">
    <cfRule type="expression" dxfId="280" priority="36">
      <formula>HideProposed</formula>
    </cfRule>
  </conditionalFormatting>
  <conditionalFormatting sqref="I140:Q141 I142:L142 J143:L143">
    <cfRule type="expression" dxfId="279" priority="38">
      <formula>HideProposed</formula>
    </cfRule>
  </conditionalFormatting>
  <conditionalFormatting sqref="I144:Q146">
    <cfRule type="expression" dxfId="278" priority="33">
      <formula>HideProposed</formula>
    </cfRule>
  </conditionalFormatting>
  <conditionalFormatting sqref="I148:Q149 I150:L151 I152:Q153">
    <cfRule type="expression" dxfId="277" priority="29">
      <formula>HideProposed</formula>
    </cfRule>
  </conditionalFormatting>
  <conditionalFormatting sqref="N17:Q17">
    <cfRule type="expression" dxfId="276" priority="28">
      <formula>HideProposed</formula>
    </cfRule>
  </conditionalFormatting>
  <conditionalFormatting sqref="N20:Q21">
    <cfRule type="expression" dxfId="275" priority="27">
      <formula>HideProposed</formula>
    </cfRule>
  </conditionalFormatting>
  <conditionalFormatting sqref="N26:Q26">
    <cfRule type="expression" dxfId="274" priority="26">
      <formula>HideProposed</formula>
    </cfRule>
  </conditionalFormatting>
  <conditionalFormatting sqref="N29:Q30">
    <cfRule type="expression" dxfId="273" priority="25">
      <formula>HideProposed</formula>
    </cfRule>
  </conditionalFormatting>
  <conditionalFormatting sqref="N36:Q38">
    <cfRule type="expression" dxfId="272" priority="24">
      <formula>HideProposed</formula>
    </cfRule>
  </conditionalFormatting>
  <conditionalFormatting sqref="N41:Q44">
    <cfRule type="expression" dxfId="271" priority="23">
      <formula>HideProposed</formula>
    </cfRule>
  </conditionalFormatting>
  <conditionalFormatting sqref="N48:Q48">
    <cfRule type="expression" dxfId="270" priority="22">
      <formula>HideProposed</formula>
    </cfRule>
  </conditionalFormatting>
  <conditionalFormatting sqref="N69:Q69">
    <cfRule type="expression" dxfId="269" priority="21">
      <formula>HideProposed</formula>
    </cfRule>
  </conditionalFormatting>
  <conditionalFormatting sqref="N72:Q73">
    <cfRule type="expression" dxfId="268" priority="20">
      <formula>HideProposed</formula>
    </cfRule>
  </conditionalFormatting>
  <conditionalFormatting sqref="N76:Q77">
    <cfRule type="expression" dxfId="267" priority="19">
      <formula>HideProposed</formula>
    </cfRule>
  </conditionalFormatting>
  <conditionalFormatting sqref="N82:Q82">
    <cfRule type="expression" dxfId="266" priority="18">
      <formula>HideProposed</formula>
    </cfRule>
  </conditionalFormatting>
  <conditionalFormatting sqref="N85:Q86">
    <cfRule type="expression" dxfId="265" priority="17">
      <formula>HideProposed</formula>
    </cfRule>
  </conditionalFormatting>
  <conditionalFormatting sqref="N89:Q90">
    <cfRule type="expression" dxfId="264" priority="16">
      <formula>HideProposed</formula>
    </cfRule>
  </conditionalFormatting>
  <conditionalFormatting sqref="N95:Q95">
    <cfRule type="expression" dxfId="263" priority="15">
      <formula>HideProposed</formula>
    </cfRule>
  </conditionalFormatting>
  <conditionalFormatting sqref="N98:Q99">
    <cfRule type="expression" dxfId="262" priority="14">
      <formula>HideProposed</formula>
    </cfRule>
  </conditionalFormatting>
  <conditionalFormatting sqref="N102:Q103">
    <cfRule type="expression" dxfId="261" priority="13">
      <formula>HideProposed</formula>
    </cfRule>
  </conditionalFormatting>
  <conditionalFormatting sqref="N108:Q108">
    <cfRule type="expression" dxfId="260" priority="12">
      <formula>HideProposed</formula>
    </cfRule>
  </conditionalFormatting>
  <conditionalFormatting sqref="N111:Q112">
    <cfRule type="expression" dxfId="259" priority="11">
      <formula>HideProposed</formula>
    </cfRule>
  </conditionalFormatting>
  <conditionalFormatting sqref="N115:Q116">
    <cfRule type="expression" dxfId="258" priority="10">
      <formula>HideProposed</formula>
    </cfRule>
  </conditionalFormatting>
  <conditionalFormatting sqref="N121:Q121">
    <cfRule type="expression" dxfId="257" priority="9">
      <formula>HideProposed</formula>
    </cfRule>
  </conditionalFormatting>
  <conditionalFormatting sqref="N124:Q125">
    <cfRule type="expression" dxfId="256" priority="8">
      <formula>HideProposed</formula>
    </cfRule>
  </conditionalFormatting>
  <conditionalFormatting sqref="N129:Q129">
    <cfRule type="expression" dxfId="255" priority="7">
      <formula>HideProposed</formula>
    </cfRule>
  </conditionalFormatting>
  <conditionalFormatting sqref="N132:Q135">
    <cfRule type="expression" dxfId="254" priority="6">
      <formula>HideProposed</formula>
    </cfRule>
  </conditionalFormatting>
  <conditionalFormatting sqref="N139:Q139">
    <cfRule type="expression" dxfId="253" priority="5">
      <formula>HideProposed</formula>
    </cfRule>
  </conditionalFormatting>
  <conditionalFormatting sqref="N142:Q143">
    <cfRule type="expression" dxfId="252" priority="4">
      <formula>HideProposed</formula>
    </cfRule>
  </conditionalFormatting>
  <conditionalFormatting sqref="N147:Q147">
    <cfRule type="expression" dxfId="251" priority="3">
      <formula>HideProposed</formula>
    </cfRule>
  </conditionalFormatting>
  <conditionalFormatting sqref="N150:Q151">
    <cfRule type="expression" dxfId="250" priority="2">
      <formula>HideProposed</formula>
    </cfRule>
  </conditionalFormatting>
  <conditionalFormatting sqref="N154:Q155">
    <cfRule type="expression" dxfId="249" priority="1">
      <formula>HideProposed</formula>
    </cfRule>
  </conditionalFormatting>
  <pageMargins left="0.7" right="0.7" top="0.75" bottom="0.75" header="0.3" footer="0.3"/>
  <pageSetup orientation="portrait" horizontalDpi="1200" verticalDpi="1200" r:id="rId1"/>
  <headerFooter>
    <oddHeader>&amp;LPuerto Rico Electric Power Authority 
Docket NEPR-AP-2023-0003
Consumer Analysis at Present Rates&amp;RSchedule E-2.2 FY 2027
Page &amp;P of &amp;N</oddHeader>
  </headerFooter>
  <rowBreaks count="2" manualBreakCount="2">
    <brk id="91" max="16383" man="1"/>
    <brk id="135"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EA07-E67A-4F7D-8D17-EFBA45BC3E55}">
  <sheetPr>
    <tabColor theme="8" tint="0.79998168889431442"/>
    <pageSetUpPr fitToPage="1"/>
  </sheetPr>
  <dimension ref="A1:Q159"/>
  <sheetViews>
    <sheetView workbookViewId="0"/>
    <sheetView workbookViewId="1"/>
    <sheetView workbookViewId="2"/>
  </sheetViews>
  <sheetFormatPr defaultColWidth="8.42578125" defaultRowHeight="12.75"/>
  <cols>
    <col min="1" max="1" width="32.140625" style="318" customWidth="1"/>
    <col min="2" max="2" width="1.5703125" style="318" customWidth="1"/>
    <col min="3" max="3" width="15.85546875" style="318" customWidth="1"/>
    <col min="4" max="4" width="8.85546875" style="318" customWidth="1"/>
    <col min="5" max="5" width="8" style="318" customWidth="1"/>
    <col min="6" max="6" width="1.5703125" style="318" customWidth="1"/>
    <col min="7" max="7" width="14.140625" style="318" customWidth="1"/>
    <col min="8" max="8" width="1.5703125" style="318" hidden="1" customWidth="1"/>
    <col min="9" max="9" width="15.5703125" style="318" hidden="1" customWidth="1"/>
    <col min="10" max="10" width="10.5703125" style="318" hidden="1" customWidth="1"/>
    <col min="11" max="11" width="8" style="318" hidden="1" customWidth="1"/>
    <col min="12" max="12" width="1.5703125" style="318" hidden="1" customWidth="1"/>
    <col min="13" max="13" width="13.140625" style="318" hidden="1" customWidth="1"/>
    <col min="14" max="14" width="1.5703125" style="318" hidden="1" customWidth="1"/>
    <col min="15" max="15" width="13" style="318" hidden="1" customWidth="1"/>
    <col min="16" max="16" width="0" style="318" hidden="1" customWidth="1"/>
    <col min="17" max="17" width="12.140625" style="318" hidden="1" customWidth="1"/>
    <col min="18" max="16384" width="8.42578125" style="318"/>
  </cols>
  <sheetData>
    <row r="1" spans="1:17">
      <c r="A1" s="119"/>
      <c r="B1" s="119"/>
      <c r="C1" s="119"/>
      <c r="D1" s="119"/>
      <c r="E1" s="119"/>
      <c r="F1" s="119"/>
      <c r="G1" s="119"/>
      <c r="H1" s="119"/>
      <c r="I1" s="119"/>
      <c r="J1" s="119"/>
      <c r="K1" s="119"/>
      <c r="L1" s="119"/>
      <c r="M1" s="119"/>
      <c r="N1" s="119"/>
      <c r="O1" s="119"/>
      <c r="P1" s="119"/>
      <c r="Q1" s="119"/>
    </row>
    <row r="2" spans="1:17">
      <c r="A2" s="119"/>
      <c r="B2" s="119"/>
      <c r="C2" s="120" t="s">
        <v>2503</v>
      </c>
      <c r="D2" s="119"/>
      <c r="E2" s="119"/>
      <c r="F2" s="119"/>
      <c r="G2" s="119"/>
      <c r="H2" s="119"/>
      <c r="I2" s="120" t="s">
        <v>2546</v>
      </c>
      <c r="J2" s="119"/>
      <c r="K2" s="119"/>
      <c r="L2" s="119"/>
      <c r="M2" s="119"/>
      <c r="N2" s="119"/>
      <c r="O2" s="118" t="s">
        <v>2547</v>
      </c>
      <c r="P2" s="118"/>
      <c r="Q2" s="118"/>
    </row>
    <row r="3" spans="1:17">
      <c r="A3" s="119"/>
      <c r="B3" s="119"/>
      <c r="C3" s="120" t="s">
        <v>2548</v>
      </c>
      <c r="D3" s="120" t="s">
        <v>2503</v>
      </c>
      <c r="E3" s="120"/>
      <c r="F3" s="120"/>
      <c r="G3" s="120" t="s">
        <v>2503</v>
      </c>
      <c r="H3" s="120"/>
      <c r="I3" s="120" t="s">
        <v>2548</v>
      </c>
      <c r="J3" s="120" t="s">
        <v>2546</v>
      </c>
      <c r="K3" s="120"/>
      <c r="L3" s="120"/>
      <c r="M3" s="120" t="s">
        <v>2546</v>
      </c>
      <c r="N3" s="120"/>
      <c r="O3" s="118" t="s">
        <v>2549</v>
      </c>
      <c r="P3" s="118"/>
      <c r="Q3" s="118"/>
    </row>
    <row r="4" spans="1:17">
      <c r="A4" s="121" t="s">
        <v>2550</v>
      </c>
      <c r="B4" s="121"/>
      <c r="C4" s="122" t="s">
        <v>2551</v>
      </c>
      <c r="D4" s="122" t="s">
        <v>2552</v>
      </c>
      <c r="E4" s="122"/>
      <c r="F4" s="122"/>
      <c r="G4" s="122" t="s">
        <v>2506</v>
      </c>
      <c r="H4" s="122"/>
      <c r="I4" s="122" t="s">
        <v>2551</v>
      </c>
      <c r="J4" s="122" t="s">
        <v>2552</v>
      </c>
      <c r="K4" s="122"/>
      <c r="L4" s="122"/>
      <c r="M4" s="122" t="s">
        <v>2506</v>
      </c>
      <c r="N4" s="122"/>
      <c r="O4" s="122" t="s">
        <v>2553</v>
      </c>
      <c r="P4" s="122"/>
      <c r="Q4" s="122" t="s">
        <v>2554</v>
      </c>
    </row>
    <row r="5" spans="1:17">
      <c r="A5" s="119"/>
      <c r="B5" s="119"/>
      <c r="C5" s="119"/>
      <c r="D5" s="119"/>
      <c r="E5" s="119"/>
      <c r="F5" s="119"/>
      <c r="G5" s="119"/>
      <c r="H5" s="119"/>
      <c r="I5" s="119"/>
      <c r="J5" s="119"/>
      <c r="K5" s="119"/>
      <c r="L5" s="119"/>
      <c r="M5" s="119"/>
      <c r="N5" s="119"/>
      <c r="O5" s="119"/>
      <c r="P5" s="119"/>
      <c r="Q5" s="119"/>
    </row>
    <row r="6" spans="1:17">
      <c r="A6" s="123" t="s">
        <v>2555</v>
      </c>
      <c r="B6" s="123"/>
      <c r="C6" s="119"/>
      <c r="D6" s="119"/>
      <c r="E6" s="119"/>
      <c r="F6" s="119"/>
      <c r="G6" s="119"/>
      <c r="H6" s="119"/>
      <c r="I6" s="124"/>
      <c r="J6" s="119"/>
      <c r="K6" s="119"/>
      <c r="L6" s="119"/>
      <c r="M6" s="119"/>
      <c r="N6" s="119"/>
      <c r="O6" s="119"/>
      <c r="P6" s="119"/>
      <c r="Q6" s="119"/>
    </row>
    <row r="7" spans="1:17">
      <c r="A7" s="119"/>
      <c r="B7" s="119"/>
      <c r="C7" s="119"/>
      <c r="D7" s="119"/>
      <c r="E7" s="119"/>
      <c r="F7" s="119"/>
      <c r="G7" s="119"/>
      <c r="H7" s="119"/>
      <c r="I7" s="124"/>
      <c r="J7" s="119"/>
      <c r="K7" s="119"/>
      <c r="L7" s="119"/>
      <c r="M7" s="119"/>
      <c r="N7" s="119"/>
      <c r="O7" s="119"/>
      <c r="P7" s="119"/>
      <c r="Q7" s="119"/>
    </row>
    <row r="8" spans="1:17">
      <c r="A8" s="119" t="s">
        <v>2556</v>
      </c>
      <c r="B8" s="119"/>
      <c r="C8" s="125">
        <f>'C-8'!Q7</f>
        <v>1202107</v>
      </c>
      <c r="D8" s="126">
        <v>4</v>
      </c>
      <c r="E8" s="119" t="s">
        <v>2557</v>
      </c>
      <c r="F8" s="127"/>
      <c r="G8" s="128">
        <f>C8*D8*12</f>
        <v>57701136</v>
      </c>
      <c r="H8" s="119"/>
      <c r="I8" s="678">
        <v>1171166</v>
      </c>
      <c r="J8" s="126">
        <v>15</v>
      </c>
      <c r="K8" s="119" t="s">
        <v>2557</v>
      </c>
      <c r="L8" s="127"/>
      <c r="M8" s="128">
        <v>210809880</v>
      </c>
      <c r="N8" s="128"/>
      <c r="O8" s="128">
        <v>154593912</v>
      </c>
      <c r="P8" s="128"/>
      <c r="Q8" s="679">
        <v>2.75</v>
      </c>
    </row>
    <row r="9" spans="1:17">
      <c r="A9" s="119"/>
      <c r="B9" s="119"/>
      <c r="C9" s="131"/>
      <c r="D9" s="132"/>
      <c r="E9" s="119"/>
      <c r="F9" s="119"/>
      <c r="G9" s="119"/>
      <c r="H9" s="119"/>
      <c r="I9" s="131"/>
      <c r="J9" s="132"/>
      <c r="K9" s="119"/>
      <c r="L9" s="119"/>
      <c r="M9" s="119"/>
      <c r="N9" s="119"/>
      <c r="O9" s="119"/>
      <c r="P9" s="119"/>
      <c r="Q9" s="119"/>
    </row>
    <row r="10" spans="1:17">
      <c r="A10" s="119" t="s">
        <v>2558</v>
      </c>
      <c r="B10" s="119"/>
      <c r="C10" s="125"/>
      <c r="D10" s="132"/>
      <c r="E10" s="119"/>
      <c r="F10" s="119"/>
      <c r="G10" s="119"/>
      <c r="H10" s="119"/>
      <c r="I10" s="131"/>
      <c r="J10" s="132"/>
      <c r="K10" s="119"/>
      <c r="L10" s="119"/>
      <c r="M10" s="119"/>
      <c r="N10" s="119"/>
      <c r="O10" s="119"/>
      <c r="P10" s="119"/>
      <c r="Q10" s="119"/>
    </row>
    <row r="11" spans="1:17">
      <c r="A11" s="133" t="s">
        <v>2559</v>
      </c>
      <c r="B11" s="119"/>
      <c r="C11" s="125">
        <f>'C-8'!Q9</f>
        <v>3281153801.8141451</v>
      </c>
      <c r="D11" s="134">
        <v>4.9439999999999998E-2</v>
      </c>
      <c r="E11" s="135" t="s">
        <v>2560</v>
      </c>
      <c r="F11" s="119"/>
      <c r="G11" s="128">
        <f>C11*D11</f>
        <v>162220243.96169132</v>
      </c>
      <c r="H11" s="119"/>
      <c r="I11" s="125">
        <v>4930597659.9069214</v>
      </c>
      <c r="J11" s="134">
        <v>7.0000000000000007E-2</v>
      </c>
      <c r="K11" s="135" t="s">
        <v>2560</v>
      </c>
      <c r="L11" s="119"/>
      <c r="M11" s="128">
        <v>345141836</v>
      </c>
      <c r="N11" s="119"/>
      <c r="O11" s="128">
        <v>101373088</v>
      </c>
      <c r="P11" s="128"/>
      <c r="Q11" s="679">
        <v>0.41585760599999999</v>
      </c>
    </row>
    <row r="12" spans="1:17">
      <c r="A12" s="133" t="s">
        <v>2561</v>
      </c>
      <c r="B12" s="119"/>
      <c r="C12" s="125">
        <f>'C-8'!Q10</f>
        <v>1893892728.7180095</v>
      </c>
      <c r="D12" s="135">
        <v>5.5640000000000002E-2</v>
      </c>
      <c r="E12" s="135" t="s">
        <v>2560</v>
      </c>
      <c r="F12" s="135"/>
      <c r="G12" s="128">
        <f>C12*D12</f>
        <v>105376191.42587005</v>
      </c>
      <c r="H12" s="119"/>
      <c r="I12" s="125">
        <v>0</v>
      </c>
      <c r="J12" s="132">
        <v>8.5000000000000006E-2</v>
      </c>
      <c r="K12" s="135" t="s">
        <v>2560</v>
      </c>
      <c r="L12" s="135"/>
      <c r="M12" s="128">
        <v>0</v>
      </c>
      <c r="N12" s="128"/>
      <c r="O12" s="128">
        <v>0</v>
      </c>
      <c r="P12" s="128"/>
      <c r="Q12" s="679">
        <v>0</v>
      </c>
    </row>
    <row r="13" spans="1:17" ht="13.5" thickBot="1">
      <c r="A13" s="136" t="s">
        <v>2562</v>
      </c>
      <c r="B13" s="137"/>
      <c r="C13" s="138">
        <f>SUM(C11:C12)</f>
        <v>5175046530.5321541</v>
      </c>
      <c r="D13" s="139"/>
      <c r="E13" s="139"/>
      <c r="F13" s="139"/>
      <c r="G13" s="138">
        <f>SUM(G8:G12)</f>
        <v>325297571.38756138</v>
      </c>
      <c r="H13" s="137"/>
      <c r="I13" s="138">
        <v>4930597659.9069214</v>
      </c>
      <c r="J13" s="141"/>
      <c r="K13" s="139"/>
      <c r="L13" s="139"/>
      <c r="M13" s="140">
        <v>555951716</v>
      </c>
      <c r="N13" s="140"/>
      <c r="O13" s="140">
        <v>255967000</v>
      </c>
      <c r="P13" s="140"/>
      <c r="Q13" s="142">
        <v>0.85326680399999999</v>
      </c>
    </row>
    <row r="14" spans="1:17" ht="13.5" thickTop="1">
      <c r="A14" s="119"/>
      <c r="B14" s="119"/>
      <c r="C14" s="119"/>
      <c r="D14" s="119"/>
      <c r="E14" s="119"/>
      <c r="F14" s="119"/>
      <c r="G14" s="119"/>
      <c r="H14" s="119"/>
      <c r="I14" s="119"/>
      <c r="J14" s="119"/>
      <c r="K14" s="119"/>
      <c r="L14" s="119"/>
      <c r="M14" s="119"/>
      <c r="N14" s="119"/>
      <c r="O14" s="119"/>
      <c r="P14" s="119"/>
      <c r="Q14" s="119"/>
    </row>
    <row r="15" spans="1:17" s="321" customFormat="1">
      <c r="A15" s="680" t="s">
        <v>2563</v>
      </c>
      <c r="B15" s="680"/>
      <c r="C15" s="681"/>
      <c r="D15" s="681"/>
      <c r="E15" s="681"/>
      <c r="F15" s="681"/>
      <c r="G15" s="681"/>
      <c r="H15" s="681"/>
      <c r="I15" s="682"/>
      <c r="J15" s="681"/>
      <c r="K15" s="681"/>
      <c r="L15" s="681"/>
      <c r="M15" s="681"/>
      <c r="N15" s="681"/>
      <c r="O15" s="681"/>
      <c r="P15" s="681"/>
      <c r="Q15" s="681"/>
    </row>
    <row r="16" spans="1:17" s="321" customFormat="1">
      <c r="A16" s="681"/>
      <c r="B16" s="681"/>
      <c r="C16" s="681"/>
      <c r="D16" s="681"/>
      <c r="E16" s="681"/>
      <c r="F16" s="681"/>
      <c r="G16" s="681"/>
      <c r="H16" s="681"/>
      <c r="I16" s="682"/>
      <c r="J16" s="681"/>
      <c r="K16" s="681"/>
      <c r="L16" s="681"/>
      <c r="M16" s="681"/>
      <c r="N16" s="681"/>
      <c r="O16" s="681"/>
      <c r="P16" s="681"/>
      <c r="Q16" s="681"/>
    </row>
    <row r="17" spans="1:17" s="321" customFormat="1">
      <c r="A17" s="681" t="s">
        <v>2556</v>
      </c>
      <c r="B17" s="681"/>
      <c r="C17" s="683">
        <f>'C-8'!Q14</f>
        <v>137908</v>
      </c>
      <c r="D17" s="684">
        <v>3</v>
      </c>
      <c r="E17" s="681" t="s">
        <v>2557</v>
      </c>
      <c r="F17" s="685"/>
      <c r="G17" s="128">
        <f>C17*D17*12</f>
        <v>4964688</v>
      </c>
      <c r="H17" s="681"/>
      <c r="I17" s="686">
        <v>156463</v>
      </c>
      <c r="J17" s="684">
        <v>3</v>
      </c>
      <c r="K17" s="681" t="s">
        <v>2557</v>
      </c>
      <c r="L17" s="685"/>
      <c r="M17" s="687">
        <v>5632668</v>
      </c>
      <c r="N17" s="687"/>
      <c r="O17" s="687">
        <v>0</v>
      </c>
      <c r="P17" s="687"/>
      <c r="Q17" s="688">
        <v>0</v>
      </c>
    </row>
    <row r="18" spans="1:17" s="321" customFormat="1">
      <c r="A18" s="681"/>
      <c r="B18" s="681"/>
      <c r="C18" s="689"/>
      <c r="D18" s="690"/>
      <c r="E18" s="681"/>
      <c r="F18" s="681"/>
      <c r="G18" s="681"/>
      <c r="H18" s="681"/>
      <c r="I18" s="689"/>
      <c r="J18" s="690"/>
      <c r="K18" s="681"/>
      <c r="L18" s="681"/>
      <c r="M18" s="681"/>
      <c r="N18" s="681"/>
      <c r="O18" s="681"/>
      <c r="P18" s="681"/>
      <c r="Q18" s="681"/>
    </row>
    <row r="19" spans="1:17" s="321" customFormat="1">
      <c r="A19" s="681" t="s">
        <v>2558</v>
      </c>
      <c r="B19" s="681"/>
      <c r="C19" s="683"/>
      <c r="D19" s="690"/>
      <c r="E19" s="681"/>
      <c r="F19" s="681"/>
      <c r="G19" s="687"/>
      <c r="H19" s="681"/>
      <c r="I19" s="689"/>
      <c r="J19" s="690"/>
      <c r="K19" s="681"/>
      <c r="L19" s="681"/>
      <c r="M19" s="681"/>
      <c r="N19" s="681"/>
      <c r="O19" s="681"/>
      <c r="P19" s="681"/>
      <c r="Q19" s="681"/>
    </row>
    <row r="20" spans="1:17" s="321" customFormat="1">
      <c r="A20" s="691" t="s">
        <v>2559</v>
      </c>
      <c r="B20" s="681"/>
      <c r="C20" s="683">
        <f>'C-8'!Q16</f>
        <v>338852592.32589519</v>
      </c>
      <c r="D20" s="692">
        <v>2.0539999999999999E-2</v>
      </c>
      <c r="E20" s="693" t="s">
        <v>2560</v>
      </c>
      <c r="F20" s="681"/>
      <c r="G20" s="128">
        <f>C20*D20</f>
        <v>6960032.2463738872</v>
      </c>
      <c r="H20" s="681"/>
      <c r="I20" s="683">
        <v>433527426.08210695</v>
      </c>
      <c r="J20" s="692">
        <v>2.7189999999999999E-2</v>
      </c>
      <c r="K20" s="693" t="s">
        <v>2560</v>
      </c>
      <c r="L20" s="681"/>
      <c r="M20" s="687">
        <v>11787611</v>
      </c>
      <c r="N20" s="681"/>
      <c r="O20" s="687">
        <v>2882958</v>
      </c>
      <c r="P20" s="687"/>
      <c r="Q20" s="688">
        <v>0.32375860099999998</v>
      </c>
    </row>
    <row r="21" spans="1:17" s="321" customFormat="1">
      <c r="A21" s="691" t="s">
        <v>2561</v>
      </c>
      <c r="B21" s="681"/>
      <c r="C21" s="683">
        <f>'C-8'!Q17</f>
        <v>92033643.09720856</v>
      </c>
      <c r="D21" s="693">
        <v>5.5640000000000002E-2</v>
      </c>
      <c r="E21" s="693" t="s">
        <v>2560</v>
      </c>
      <c r="F21" s="693"/>
      <c r="G21" s="128">
        <f>C21*D21</f>
        <v>5120751.9019286847</v>
      </c>
      <c r="H21" s="681"/>
      <c r="I21" s="683">
        <v>55436313.900534429</v>
      </c>
      <c r="J21" s="690">
        <v>7.3669999999999999E-2</v>
      </c>
      <c r="K21" s="693" t="s">
        <v>2560</v>
      </c>
      <c r="L21" s="693"/>
      <c r="M21" s="687">
        <v>4083993</v>
      </c>
      <c r="N21" s="687"/>
      <c r="O21" s="687">
        <v>999516</v>
      </c>
      <c r="P21" s="687"/>
      <c r="Q21" s="688">
        <v>0.324047156</v>
      </c>
    </row>
    <row r="22" spans="1:17" s="321" customFormat="1" ht="13.5" thickBot="1">
      <c r="A22" s="694" t="s">
        <v>2564</v>
      </c>
      <c r="B22" s="695"/>
      <c r="C22" s="696">
        <f>SUM(C20:C21)</f>
        <v>430886235.42310375</v>
      </c>
      <c r="D22" s="697"/>
      <c r="E22" s="697"/>
      <c r="F22" s="697"/>
      <c r="G22" s="696">
        <f>SUM(G17:G21)</f>
        <v>17045472.148302574</v>
      </c>
      <c r="H22" s="695"/>
      <c r="I22" s="696">
        <v>488963739.9826414</v>
      </c>
      <c r="J22" s="698"/>
      <c r="K22" s="697"/>
      <c r="L22" s="697"/>
      <c r="M22" s="699">
        <v>21504272</v>
      </c>
      <c r="N22" s="699"/>
      <c r="O22" s="699">
        <v>3882474</v>
      </c>
      <c r="P22" s="699"/>
      <c r="Q22" s="700">
        <v>0.22032224</v>
      </c>
    </row>
    <row r="23" spans="1:17" s="321" customFormat="1" ht="13.5" thickTop="1">
      <c r="A23" s="681"/>
      <c r="B23" s="681"/>
      <c r="C23" s="681"/>
      <c r="D23" s="681"/>
      <c r="E23" s="681"/>
      <c r="F23" s="681"/>
      <c r="G23" s="681"/>
      <c r="H23" s="681"/>
      <c r="I23" s="681"/>
      <c r="J23" s="681"/>
      <c r="K23" s="681"/>
      <c r="L23" s="681"/>
      <c r="M23" s="681"/>
      <c r="N23" s="681"/>
      <c r="O23" s="681"/>
      <c r="P23" s="681"/>
      <c r="Q23" s="681"/>
    </row>
    <row r="24" spans="1:17" s="321" customFormat="1">
      <c r="A24" s="680" t="s">
        <v>2565</v>
      </c>
      <c r="B24" s="680"/>
      <c r="C24" s="681"/>
      <c r="D24" s="681"/>
      <c r="E24" s="681"/>
      <c r="F24" s="681"/>
      <c r="G24" s="681"/>
      <c r="H24" s="681"/>
      <c r="I24" s="682"/>
      <c r="J24" s="681"/>
      <c r="K24" s="681"/>
      <c r="L24" s="681"/>
      <c r="M24" s="681"/>
      <c r="N24" s="681"/>
      <c r="O24" s="681"/>
      <c r="P24" s="681"/>
      <c r="Q24" s="681"/>
    </row>
    <row r="25" spans="1:17" s="321" customFormat="1">
      <c r="A25" s="681"/>
      <c r="B25" s="681"/>
      <c r="C25" s="681"/>
      <c r="D25" s="681"/>
      <c r="E25" s="681"/>
      <c r="F25" s="681"/>
      <c r="G25" s="681"/>
      <c r="H25" s="681"/>
      <c r="I25" s="682"/>
      <c r="J25" s="681"/>
      <c r="K25" s="681"/>
      <c r="L25" s="681"/>
      <c r="M25" s="681"/>
      <c r="N25" s="681"/>
      <c r="O25" s="681"/>
      <c r="P25" s="681"/>
      <c r="Q25" s="681"/>
    </row>
    <row r="26" spans="1:17" s="321" customFormat="1">
      <c r="A26" s="681" t="s">
        <v>2556</v>
      </c>
      <c r="B26" s="681"/>
      <c r="C26" s="683">
        <f>'C-8'!Q21</f>
        <v>4391</v>
      </c>
      <c r="D26" s="684">
        <v>2</v>
      </c>
      <c r="E26" s="681" t="s">
        <v>2557</v>
      </c>
      <c r="F26" s="685"/>
      <c r="G26" s="128">
        <f>C26*D26*12</f>
        <v>105384</v>
      </c>
      <c r="H26" s="681"/>
      <c r="I26" s="686">
        <v>5169</v>
      </c>
      <c r="J26" s="684">
        <v>2</v>
      </c>
      <c r="K26" s="681" t="s">
        <v>2557</v>
      </c>
      <c r="L26" s="685"/>
      <c r="M26" s="687">
        <v>124056</v>
      </c>
      <c r="N26" s="687"/>
      <c r="O26" s="687">
        <v>0</v>
      </c>
      <c r="P26" s="687"/>
      <c r="Q26" s="688">
        <v>0</v>
      </c>
    </row>
    <row r="27" spans="1:17" s="321" customFormat="1">
      <c r="A27" s="681"/>
      <c r="B27" s="681"/>
      <c r="C27" s="689"/>
      <c r="D27" s="690"/>
      <c r="E27" s="681"/>
      <c r="F27" s="681"/>
      <c r="G27" s="681"/>
      <c r="H27" s="681"/>
      <c r="I27" s="689"/>
      <c r="J27" s="690"/>
      <c r="K27" s="681"/>
      <c r="L27" s="681"/>
      <c r="M27" s="681"/>
      <c r="N27" s="681"/>
      <c r="O27" s="681"/>
      <c r="P27" s="681"/>
      <c r="Q27" s="681"/>
    </row>
    <row r="28" spans="1:17" s="321" customFormat="1">
      <c r="A28" s="681" t="s">
        <v>2558</v>
      </c>
      <c r="B28" s="681"/>
      <c r="C28" s="683"/>
      <c r="D28" s="690"/>
      <c r="E28" s="681"/>
      <c r="F28" s="681"/>
      <c r="G28" s="681"/>
      <c r="H28" s="681"/>
      <c r="I28" s="689"/>
      <c r="J28" s="690"/>
      <c r="K28" s="681"/>
      <c r="L28" s="681"/>
      <c r="M28" s="681"/>
      <c r="N28" s="681"/>
      <c r="O28" s="681"/>
      <c r="P28" s="681"/>
      <c r="Q28" s="681"/>
    </row>
    <row r="29" spans="1:17" s="321" customFormat="1">
      <c r="A29" s="691" t="s">
        <v>2559</v>
      </c>
      <c r="B29" s="681"/>
      <c r="C29" s="683">
        <f>'C-8'!Q23</f>
        <v>11092029.610991798</v>
      </c>
      <c r="D29" s="692">
        <v>6.94E-3</v>
      </c>
      <c r="E29" s="693" t="s">
        <v>2560</v>
      </c>
      <c r="F29" s="681"/>
      <c r="G29" s="128">
        <f>C29*D29</f>
        <v>76978.685500283085</v>
      </c>
      <c r="H29" s="681"/>
      <c r="I29" s="683">
        <v>14568400.214777408</v>
      </c>
      <c r="J29" s="692">
        <v>9.1900000000000003E-3</v>
      </c>
      <c r="K29" s="693" t="s">
        <v>2560</v>
      </c>
      <c r="L29" s="681"/>
      <c r="M29" s="687">
        <v>133884</v>
      </c>
      <c r="N29" s="681"/>
      <c r="O29" s="687">
        <v>32779</v>
      </c>
      <c r="P29" s="687"/>
      <c r="Q29" s="688">
        <v>0.32420750700000001</v>
      </c>
    </row>
    <row r="30" spans="1:17" s="321" customFormat="1">
      <c r="A30" s="691" t="s">
        <v>2561</v>
      </c>
      <c r="B30" s="681"/>
      <c r="C30" s="683">
        <f>'C-8'!Q24</f>
        <v>4408285.7540140152</v>
      </c>
      <c r="D30" s="693">
        <v>5.5640000000000002E-2</v>
      </c>
      <c r="E30" s="693" t="s">
        <v>2560</v>
      </c>
      <c r="F30" s="693"/>
      <c r="G30" s="128">
        <f>C30*D30</f>
        <v>245277.01935333983</v>
      </c>
      <c r="H30" s="681"/>
      <c r="I30" s="683">
        <v>2259979.2152436795</v>
      </c>
      <c r="J30" s="690">
        <v>7.3669999999999999E-2</v>
      </c>
      <c r="K30" s="693" t="s">
        <v>2560</v>
      </c>
      <c r="L30" s="693"/>
      <c r="M30" s="687">
        <v>166493</v>
      </c>
      <c r="N30" s="687"/>
      <c r="O30" s="687">
        <v>40748</v>
      </c>
      <c r="P30" s="687"/>
      <c r="Q30" s="688">
        <v>0.324052646</v>
      </c>
    </row>
    <row r="31" spans="1:17" s="321" customFormat="1" ht="13.5" thickBot="1">
      <c r="A31" s="694" t="s">
        <v>2566</v>
      </c>
      <c r="B31" s="695"/>
      <c r="C31" s="696">
        <f>SUM(C29:C30)</f>
        <v>15500315.365005814</v>
      </c>
      <c r="D31" s="697"/>
      <c r="E31" s="697"/>
      <c r="F31" s="697"/>
      <c r="G31" s="696">
        <f>SUM(G26:G30)</f>
        <v>427639.70485362294</v>
      </c>
      <c r="H31" s="695"/>
      <c r="I31" s="696">
        <v>16828379.430021089</v>
      </c>
      <c r="J31" s="698"/>
      <c r="K31" s="697"/>
      <c r="L31" s="697"/>
      <c r="M31" s="699">
        <v>424433</v>
      </c>
      <c r="N31" s="699"/>
      <c r="O31" s="699">
        <v>73527</v>
      </c>
      <c r="P31" s="699"/>
      <c r="Q31" s="700">
        <v>0.20953474699999999</v>
      </c>
    </row>
    <row r="32" spans="1:17" s="321" customFormat="1" ht="13.5" thickTop="1">
      <c r="A32" s="681"/>
      <c r="B32" s="681"/>
      <c r="C32" s="681"/>
      <c r="D32" s="681"/>
      <c r="E32" s="681"/>
      <c r="F32" s="681"/>
      <c r="G32" s="681"/>
      <c r="H32" s="681"/>
      <c r="I32" s="681"/>
      <c r="J32" s="681"/>
      <c r="K32" s="681"/>
      <c r="L32" s="681"/>
      <c r="M32" s="681"/>
      <c r="N32" s="681"/>
      <c r="O32" s="681"/>
      <c r="P32" s="681"/>
      <c r="Q32" s="681"/>
    </row>
    <row r="33" spans="1:17" s="321" customFormat="1">
      <c r="A33" s="680" t="s">
        <v>2567</v>
      </c>
      <c r="B33" s="680"/>
      <c r="C33" s="681"/>
      <c r="D33" s="681"/>
      <c r="E33" s="681"/>
      <c r="F33" s="681"/>
      <c r="G33" s="681"/>
      <c r="H33" s="681"/>
      <c r="I33" s="682"/>
      <c r="J33" s="681"/>
      <c r="K33" s="681"/>
      <c r="L33" s="681"/>
      <c r="M33" s="681"/>
      <c r="N33" s="681"/>
      <c r="O33" s="681"/>
      <c r="P33" s="681"/>
      <c r="Q33" s="681"/>
    </row>
    <row r="34" spans="1:17" s="321" customFormat="1">
      <c r="A34" s="681"/>
      <c r="B34" s="681"/>
      <c r="C34" s="681"/>
      <c r="D34" s="681"/>
      <c r="E34" s="681"/>
      <c r="F34" s="681"/>
      <c r="G34" s="681"/>
      <c r="H34" s="681"/>
      <c r="I34" s="682"/>
      <c r="J34" s="681"/>
      <c r="K34" s="681"/>
      <c r="L34" s="681"/>
      <c r="M34" s="681"/>
      <c r="N34" s="681"/>
      <c r="O34" s="681"/>
      <c r="P34" s="681"/>
      <c r="Q34" s="681"/>
    </row>
    <row r="35" spans="1:17" s="321" customFormat="1">
      <c r="A35" s="681" t="s">
        <v>2556</v>
      </c>
      <c r="B35" s="681"/>
      <c r="C35" s="683"/>
      <c r="D35" s="684"/>
      <c r="E35" s="681"/>
      <c r="F35" s="685"/>
      <c r="G35" s="687"/>
      <c r="H35" s="681"/>
      <c r="I35" s="686"/>
      <c r="J35" s="684"/>
      <c r="K35" s="681"/>
      <c r="L35" s="685"/>
      <c r="M35" s="687"/>
      <c r="N35" s="687"/>
      <c r="O35" s="681"/>
      <c r="P35" s="681"/>
      <c r="Q35" s="681"/>
    </row>
    <row r="36" spans="1:17" s="321" customFormat="1">
      <c r="A36" s="691" t="s">
        <v>2568</v>
      </c>
      <c r="B36" s="681"/>
      <c r="C36" s="683">
        <f>'C-8'!Q29</f>
        <v>7727</v>
      </c>
      <c r="D36" s="684">
        <v>30</v>
      </c>
      <c r="E36" s="681" t="s">
        <v>2557</v>
      </c>
      <c r="F36" s="685"/>
      <c r="G36" s="128">
        <f>C36*D36*12</f>
        <v>2781720</v>
      </c>
      <c r="H36" s="681"/>
      <c r="I36" s="686">
        <v>7447</v>
      </c>
      <c r="J36" s="684">
        <v>30</v>
      </c>
      <c r="K36" s="681" t="s">
        <v>2557</v>
      </c>
      <c r="L36" s="685"/>
      <c r="M36" s="687">
        <v>2680920</v>
      </c>
      <c r="N36" s="687"/>
      <c r="O36" s="687">
        <v>0</v>
      </c>
      <c r="P36" s="687"/>
      <c r="Q36" s="688">
        <v>0</v>
      </c>
    </row>
    <row r="37" spans="1:17" s="321" customFormat="1">
      <c r="A37" s="691" t="s">
        <v>2569</v>
      </c>
      <c r="B37" s="681"/>
      <c r="C37" s="683">
        <f>'C-8'!Q30</f>
        <v>35186</v>
      </c>
      <c r="D37" s="684">
        <v>40</v>
      </c>
      <c r="E37" s="681" t="s">
        <v>2557</v>
      </c>
      <c r="F37" s="685"/>
      <c r="G37" s="128">
        <f>C37*D37*12</f>
        <v>16889280</v>
      </c>
      <c r="H37" s="681"/>
      <c r="I37" s="686">
        <v>34874</v>
      </c>
      <c r="J37" s="684">
        <v>40</v>
      </c>
      <c r="K37" s="681" t="s">
        <v>2557</v>
      </c>
      <c r="L37" s="685"/>
      <c r="M37" s="687">
        <v>16739520</v>
      </c>
      <c r="N37" s="687"/>
      <c r="O37" s="687">
        <v>0</v>
      </c>
      <c r="P37" s="687"/>
      <c r="Q37" s="688">
        <v>0</v>
      </c>
    </row>
    <row r="38" spans="1:17" s="321" customFormat="1">
      <c r="A38" s="691" t="s">
        <v>2570</v>
      </c>
      <c r="B38" s="681"/>
      <c r="C38" s="683">
        <f>'C-8'!Q31</f>
        <v>3779</v>
      </c>
      <c r="D38" s="684">
        <v>50</v>
      </c>
      <c r="E38" s="681" t="s">
        <v>2557</v>
      </c>
      <c r="F38" s="685"/>
      <c r="G38" s="128">
        <f>C38*D38*12</f>
        <v>2267400</v>
      </c>
      <c r="H38" s="681"/>
      <c r="I38" s="686">
        <v>3756</v>
      </c>
      <c r="J38" s="684">
        <v>50</v>
      </c>
      <c r="K38" s="681" t="s">
        <v>2557</v>
      </c>
      <c r="L38" s="685"/>
      <c r="M38" s="687">
        <v>2253600</v>
      </c>
      <c r="N38" s="687"/>
      <c r="O38" s="687">
        <v>0</v>
      </c>
      <c r="P38" s="687"/>
      <c r="Q38" s="688">
        <v>0</v>
      </c>
    </row>
    <row r="39" spans="1:17" s="321" customFormat="1">
      <c r="A39" s="681"/>
      <c r="B39" s="681"/>
      <c r="C39" s="689"/>
      <c r="D39" s="690"/>
      <c r="E39" s="681"/>
      <c r="F39" s="681"/>
      <c r="G39" s="681"/>
      <c r="H39" s="681"/>
      <c r="I39" s="689"/>
      <c r="J39" s="690"/>
      <c r="K39" s="681"/>
      <c r="L39" s="681"/>
      <c r="M39" s="681"/>
      <c r="N39" s="681"/>
      <c r="O39" s="681"/>
      <c r="P39" s="681"/>
      <c r="Q39" s="681"/>
    </row>
    <row r="40" spans="1:17" s="321" customFormat="1">
      <c r="A40" s="681" t="s">
        <v>2558</v>
      </c>
      <c r="B40" s="681"/>
      <c r="C40" s="683"/>
      <c r="D40" s="690"/>
      <c r="E40" s="681"/>
      <c r="F40" s="681"/>
      <c r="G40" s="687"/>
      <c r="H40" s="681"/>
      <c r="I40" s="689"/>
      <c r="J40" s="690"/>
      <c r="K40" s="681"/>
      <c r="L40" s="681"/>
      <c r="M40" s="681"/>
      <c r="N40" s="681"/>
      <c r="O40" s="681"/>
      <c r="P40" s="681"/>
      <c r="Q40" s="681"/>
    </row>
    <row r="41" spans="1:17" s="321" customFormat="1">
      <c r="A41" s="691" t="s">
        <v>2571</v>
      </c>
      <c r="B41" s="681"/>
      <c r="C41" s="683">
        <f>'C-8'!Q33</f>
        <v>4652687.9273605486</v>
      </c>
      <c r="D41" s="701">
        <v>5.5640000000000002E-2</v>
      </c>
      <c r="E41" s="693" t="s">
        <v>2560</v>
      </c>
      <c r="F41" s="681"/>
      <c r="G41" s="687">
        <f>D41*C41</f>
        <v>258875.55627834093</v>
      </c>
      <c r="H41" s="681"/>
      <c r="I41" s="683">
        <v>0</v>
      </c>
      <c r="J41" s="701">
        <v>8.5000000000000006E-2</v>
      </c>
      <c r="K41" s="693" t="s">
        <v>2560</v>
      </c>
      <c r="L41" s="681"/>
      <c r="M41" s="687">
        <v>0</v>
      </c>
      <c r="N41" s="681"/>
      <c r="O41" s="687">
        <v>0</v>
      </c>
      <c r="P41" s="687"/>
      <c r="Q41" s="688">
        <v>0</v>
      </c>
    </row>
    <row r="42" spans="1:17" s="321" customFormat="1">
      <c r="A42" s="691" t="s">
        <v>2572</v>
      </c>
      <c r="B42" s="681"/>
      <c r="C42" s="683">
        <f>'C-8'!Q34</f>
        <v>80066723.15272288</v>
      </c>
      <c r="D42" s="701">
        <v>5.5640000000000002E-2</v>
      </c>
      <c r="E42" s="693" t="s">
        <v>2560</v>
      </c>
      <c r="F42" s="693"/>
      <c r="G42" s="687">
        <f>D42*C42</f>
        <v>4454912.4762175009</v>
      </c>
      <c r="H42" s="681"/>
      <c r="I42" s="683">
        <v>0</v>
      </c>
      <c r="J42" s="701">
        <v>8.5000000000000006E-2</v>
      </c>
      <c r="K42" s="693" t="s">
        <v>2560</v>
      </c>
      <c r="L42" s="693"/>
      <c r="M42" s="687">
        <v>0</v>
      </c>
      <c r="N42" s="687"/>
      <c r="O42" s="687">
        <v>0</v>
      </c>
      <c r="P42" s="687"/>
      <c r="Q42" s="688">
        <v>0</v>
      </c>
    </row>
    <row r="43" spans="1:17" s="321" customFormat="1">
      <c r="A43" s="691" t="s">
        <v>2573</v>
      </c>
      <c r="B43" s="681"/>
      <c r="C43" s="683">
        <f>'C-8'!Q35</f>
        <v>17363583.263939325</v>
      </c>
      <c r="D43" s="701">
        <v>5.5640000000000002E-2</v>
      </c>
      <c r="E43" s="693" t="s">
        <v>2560</v>
      </c>
      <c r="F43" s="693"/>
      <c r="G43" s="687">
        <f>D43*C43</f>
        <v>966109.77280558401</v>
      </c>
      <c r="H43" s="681"/>
      <c r="I43" s="683">
        <v>0</v>
      </c>
      <c r="J43" s="701">
        <v>8.5000000000000006E-2</v>
      </c>
      <c r="K43" s="693" t="s">
        <v>2560</v>
      </c>
      <c r="L43" s="693"/>
      <c r="M43" s="687">
        <v>0</v>
      </c>
      <c r="N43" s="687"/>
      <c r="O43" s="687">
        <v>0</v>
      </c>
      <c r="P43" s="687"/>
      <c r="Q43" s="688">
        <v>0</v>
      </c>
    </row>
    <row r="44" spans="1:17" s="321" customFormat="1" ht="13.5" thickBot="1">
      <c r="A44" s="694" t="s">
        <v>2574</v>
      </c>
      <c r="B44" s="695"/>
      <c r="C44" s="696">
        <f>SUM(C41:C43)</f>
        <v>102082994.34402275</v>
      </c>
      <c r="D44" s="697"/>
      <c r="E44" s="697"/>
      <c r="F44" s="697"/>
      <c r="G44" s="699">
        <f>SUM(G36:G43)</f>
        <v>27618297.805301424</v>
      </c>
      <c r="H44" s="695"/>
      <c r="I44" s="696">
        <v>0</v>
      </c>
      <c r="J44" s="698"/>
      <c r="K44" s="697"/>
      <c r="L44" s="697"/>
      <c r="M44" s="699">
        <v>21674040</v>
      </c>
      <c r="N44" s="699"/>
      <c r="O44" s="699">
        <v>0</v>
      </c>
      <c r="P44" s="699"/>
      <c r="Q44" s="700">
        <v>0</v>
      </c>
    </row>
    <row r="45" spans="1:17" ht="13.5" thickTop="1">
      <c r="A45" s="166"/>
      <c r="B45" s="119"/>
      <c r="C45" s="125"/>
      <c r="D45" s="135"/>
      <c r="E45" s="135"/>
      <c r="F45" s="135"/>
      <c r="G45" s="128"/>
      <c r="H45" s="119"/>
      <c r="I45" s="125"/>
      <c r="J45" s="132"/>
      <c r="K45" s="135"/>
      <c r="L45" s="135"/>
      <c r="M45" s="128"/>
      <c r="N45" s="128"/>
      <c r="O45" s="128"/>
      <c r="P45" s="128"/>
      <c r="Q45" s="679"/>
    </row>
    <row r="46" spans="1:17">
      <c r="A46" s="123" t="s">
        <v>2575</v>
      </c>
      <c r="B46" s="123"/>
      <c r="C46" s="119"/>
      <c r="D46" s="119"/>
      <c r="E46" s="119"/>
      <c r="F46" s="119"/>
      <c r="G46" s="119"/>
      <c r="H46" s="119"/>
      <c r="I46" s="124"/>
      <c r="J46" s="119"/>
      <c r="K46" s="119"/>
      <c r="L46" s="119"/>
      <c r="M46" s="119"/>
      <c r="N46" s="119"/>
      <c r="O46" s="119"/>
      <c r="P46" s="119"/>
      <c r="Q46" s="119"/>
    </row>
    <row r="47" spans="1:17">
      <c r="A47" s="119"/>
      <c r="B47" s="119"/>
      <c r="C47" s="119"/>
      <c r="D47" s="119"/>
      <c r="E47" s="119"/>
      <c r="F47" s="119"/>
      <c r="G47" s="119"/>
      <c r="H47" s="119"/>
      <c r="I47" s="124"/>
      <c r="J47" s="119"/>
      <c r="K47" s="119"/>
      <c r="L47" s="119"/>
      <c r="M47" s="119"/>
      <c r="N47" s="119"/>
      <c r="O47" s="119"/>
      <c r="P47" s="119"/>
      <c r="Q47" s="119"/>
    </row>
    <row r="48" spans="1:17">
      <c r="A48" s="119" t="s">
        <v>2556</v>
      </c>
      <c r="B48" s="119"/>
      <c r="C48" s="125">
        <f>'C-8'!Q39</f>
        <v>113502</v>
      </c>
      <c r="D48" s="126">
        <v>5</v>
      </c>
      <c r="E48" s="119" t="s">
        <v>2557</v>
      </c>
      <c r="F48" s="127"/>
      <c r="G48" s="128">
        <f>C48*D48*12</f>
        <v>6810120</v>
      </c>
      <c r="H48" s="119"/>
      <c r="I48" s="678">
        <v>113937</v>
      </c>
      <c r="J48" s="126">
        <v>21</v>
      </c>
      <c r="K48" s="119" t="s">
        <v>2557</v>
      </c>
      <c r="L48" s="127"/>
      <c r="M48" s="128">
        <v>28712124</v>
      </c>
      <c r="N48" s="128"/>
      <c r="O48" s="128">
        <v>21875904</v>
      </c>
      <c r="P48" s="128"/>
      <c r="Q48" s="679">
        <v>3.2</v>
      </c>
    </row>
    <row r="49" spans="1:17">
      <c r="A49" s="119"/>
      <c r="B49" s="119"/>
      <c r="C49" s="131"/>
      <c r="D49" s="132"/>
      <c r="E49" s="119"/>
      <c r="F49" s="119"/>
      <c r="G49" s="119"/>
      <c r="H49" s="119"/>
      <c r="I49" s="131"/>
      <c r="J49" s="132"/>
      <c r="K49" s="119"/>
      <c r="L49" s="119"/>
      <c r="M49" s="119"/>
      <c r="N49" s="119"/>
      <c r="O49" s="119"/>
      <c r="P49" s="119"/>
      <c r="Q49" s="119"/>
    </row>
    <row r="50" spans="1:17">
      <c r="A50" s="119" t="s">
        <v>2558</v>
      </c>
      <c r="B50" s="119"/>
      <c r="C50" s="125"/>
      <c r="D50" s="132"/>
      <c r="E50" s="119"/>
      <c r="F50" s="119"/>
      <c r="G50" s="119"/>
      <c r="H50" s="119"/>
      <c r="I50" s="131"/>
      <c r="J50" s="132"/>
      <c r="K50" s="119"/>
      <c r="L50" s="119"/>
      <c r="M50" s="119"/>
      <c r="N50" s="119"/>
      <c r="O50" s="119"/>
      <c r="P50" s="119"/>
      <c r="Q50" s="119"/>
    </row>
    <row r="51" spans="1:17">
      <c r="A51" s="133" t="s">
        <v>912</v>
      </c>
      <c r="B51" s="119"/>
      <c r="C51" s="125">
        <f>'C-8'!Q41</f>
        <v>2248113796.1301975</v>
      </c>
      <c r="D51" s="134">
        <v>8.4489999999999996E-2</v>
      </c>
      <c r="E51" s="135" t="s">
        <v>2560</v>
      </c>
      <c r="F51" s="119"/>
      <c r="G51" s="128">
        <f>C51*D51</f>
        <v>189943134.63504037</v>
      </c>
      <c r="H51" s="119"/>
      <c r="I51" s="125">
        <v>1818171251.5977724</v>
      </c>
      <c r="J51" s="134">
        <v>0.125</v>
      </c>
      <c r="K51" s="135" t="s">
        <v>2560</v>
      </c>
      <c r="L51" s="119"/>
      <c r="M51" s="128">
        <v>227271406</v>
      </c>
      <c r="N51" s="119"/>
      <c r="O51" s="128">
        <v>73654117</v>
      </c>
      <c r="P51" s="128"/>
      <c r="Q51" s="679">
        <v>0.47946502299999999</v>
      </c>
    </row>
    <row r="52" spans="1:17" ht="13.5" thickBot="1">
      <c r="A52" s="136" t="s">
        <v>2576</v>
      </c>
      <c r="B52" s="137"/>
      <c r="C52" s="138">
        <f>C51</f>
        <v>2248113796.1301975</v>
      </c>
      <c r="D52" s="139"/>
      <c r="E52" s="139"/>
      <c r="F52" s="139"/>
      <c r="G52" s="140">
        <f>SUM(G48:G51)</f>
        <v>196753254.63504037</v>
      </c>
      <c r="H52" s="137"/>
      <c r="I52" s="138">
        <v>1818171251.5977724</v>
      </c>
      <c r="J52" s="141"/>
      <c r="K52" s="139"/>
      <c r="L52" s="139"/>
      <c r="M52" s="140">
        <v>255983530</v>
      </c>
      <c r="N52" s="140"/>
      <c r="O52" s="140">
        <v>95530021</v>
      </c>
      <c r="P52" s="140"/>
      <c r="Q52" s="142">
        <v>0.595375082</v>
      </c>
    </row>
    <row r="53" spans="1:17" ht="13.5" thickTop="1">
      <c r="A53" s="166"/>
      <c r="B53" s="119"/>
      <c r="C53" s="125"/>
      <c r="D53" s="135"/>
      <c r="E53" s="135"/>
      <c r="F53" s="135"/>
      <c r="G53" s="128"/>
      <c r="H53" s="119"/>
      <c r="I53" s="125"/>
      <c r="J53" s="132"/>
      <c r="K53" s="135"/>
      <c r="L53" s="135"/>
      <c r="M53" s="128"/>
      <c r="N53" s="128"/>
      <c r="O53" s="128"/>
      <c r="P53" s="128"/>
      <c r="Q53" s="679"/>
    </row>
    <row r="54" spans="1:17">
      <c r="A54" s="123" t="s">
        <v>2577</v>
      </c>
      <c r="B54" s="123"/>
      <c r="C54" s="119"/>
      <c r="D54" s="119"/>
      <c r="E54" s="119"/>
      <c r="F54" s="119"/>
      <c r="G54" s="119"/>
      <c r="H54" s="119"/>
      <c r="I54" s="124"/>
      <c r="J54" s="119"/>
      <c r="K54" s="119"/>
      <c r="L54" s="119"/>
      <c r="M54" s="119"/>
      <c r="N54" s="119"/>
      <c r="O54" s="119"/>
      <c r="P54" s="119"/>
      <c r="Q54" s="119"/>
    </row>
    <row r="55" spans="1:17">
      <c r="A55" s="119"/>
      <c r="B55" s="119"/>
      <c r="C55" s="119"/>
      <c r="D55" s="119"/>
      <c r="E55" s="119"/>
      <c r="F55" s="119"/>
      <c r="G55" s="119"/>
      <c r="H55" s="119"/>
      <c r="I55" s="124"/>
      <c r="J55" s="119"/>
      <c r="K55" s="119"/>
      <c r="L55" s="119"/>
      <c r="M55" s="119"/>
      <c r="N55" s="119"/>
      <c r="O55" s="119"/>
      <c r="P55" s="119"/>
      <c r="Q55" s="119"/>
    </row>
    <row r="56" spans="1:17">
      <c r="A56" s="119" t="s">
        <v>2556</v>
      </c>
      <c r="B56" s="119"/>
      <c r="C56" s="125">
        <f>'C-8'!Q45</f>
        <v>10821</v>
      </c>
      <c r="D56" s="126">
        <v>200</v>
      </c>
      <c r="E56" s="119" t="s">
        <v>2557</v>
      </c>
      <c r="F56" s="127"/>
      <c r="G56" s="128">
        <f>C56*D56*12</f>
        <v>25970400</v>
      </c>
      <c r="H56" s="119"/>
      <c r="I56" s="678">
        <v>10790</v>
      </c>
      <c r="J56" s="126">
        <v>400</v>
      </c>
      <c r="K56" s="119" t="s">
        <v>2557</v>
      </c>
      <c r="L56" s="127"/>
      <c r="M56" s="128">
        <v>51792000</v>
      </c>
      <c r="N56" s="128"/>
      <c r="O56" s="128">
        <v>25896000</v>
      </c>
      <c r="P56" s="128"/>
      <c r="Q56" s="679">
        <v>1</v>
      </c>
    </row>
    <row r="57" spans="1:17">
      <c r="A57" s="119"/>
      <c r="B57" s="119"/>
      <c r="C57" s="131"/>
      <c r="D57" s="132"/>
      <c r="E57" s="119"/>
      <c r="F57" s="119"/>
      <c r="G57" s="119"/>
      <c r="H57" s="119"/>
      <c r="I57" s="678"/>
      <c r="J57" s="132"/>
      <c r="K57" s="119"/>
      <c r="L57" s="119"/>
      <c r="M57" s="119"/>
      <c r="N57" s="119"/>
      <c r="O57" s="119"/>
      <c r="P57" s="119"/>
      <c r="Q57" s="119"/>
    </row>
    <row r="58" spans="1:17">
      <c r="A58" s="119" t="s">
        <v>2578</v>
      </c>
      <c r="B58" s="119"/>
      <c r="C58" s="131"/>
      <c r="D58" s="132"/>
      <c r="E58" s="119"/>
      <c r="F58" s="119"/>
      <c r="G58" s="119"/>
      <c r="H58" s="119"/>
      <c r="I58" s="678"/>
      <c r="J58" s="132"/>
      <c r="K58" s="119"/>
      <c r="L58" s="119"/>
      <c r="M58" s="119"/>
      <c r="N58" s="119"/>
      <c r="O58" s="119"/>
      <c r="P58" s="119"/>
      <c r="Q58" s="119"/>
    </row>
    <row r="59" spans="1:17">
      <c r="A59" s="133" t="s">
        <v>2579</v>
      </c>
      <c r="B59" s="119"/>
      <c r="C59" s="125">
        <f>'C-8'!Q47</f>
        <v>14371776</v>
      </c>
      <c r="D59" s="127">
        <v>8.1</v>
      </c>
      <c r="E59" s="119" t="s">
        <v>2580</v>
      </c>
      <c r="F59" s="127"/>
      <c r="G59" s="128">
        <f>C59*D59</f>
        <v>116411385.59999999</v>
      </c>
      <c r="H59" s="119"/>
      <c r="I59" s="131">
        <v>17099772</v>
      </c>
      <c r="J59" s="127">
        <v>9</v>
      </c>
      <c r="K59" s="119" t="s">
        <v>2580</v>
      </c>
      <c r="L59" s="127"/>
      <c r="M59" s="128">
        <v>153897948</v>
      </c>
      <c r="N59" s="128"/>
      <c r="O59" s="128">
        <v>15389795</v>
      </c>
      <c r="P59" s="128"/>
      <c r="Q59" s="679">
        <v>0.111111113</v>
      </c>
    </row>
    <row r="60" spans="1:17">
      <c r="A60" s="133" t="s">
        <v>2581</v>
      </c>
      <c r="B60" s="119"/>
      <c r="C60" s="125">
        <f>'C-8'!Q48</f>
        <v>1440923.2709863961</v>
      </c>
      <c r="D60" s="127">
        <v>10</v>
      </c>
      <c r="E60" s="119" t="s">
        <v>2580</v>
      </c>
      <c r="F60" s="127"/>
      <c r="G60" s="128">
        <f>C60*D60</f>
        <v>14409232.709863961</v>
      </c>
      <c r="H60" s="119"/>
      <c r="I60" s="131">
        <v>0</v>
      </c>
      <c r="J60" s="127">
        <v>10</v>
      </c>
      <c r="K60" s="119" t="s">
        <v>2580</v>
      </c>
      <c r="L60" s="127"/>
      <c r="M60" s="128">
        <v>0</v>
      </c>
      <c r="N60" s="128"/>
      <c r="O60" s="128">
        <v>0</v>
      </c>
      <c r="P60" s="128"/>
      <c r="Q60" s="679">
        <v>0</v>
      </c>
    </row>
    <row r="61" spans="1:17">
      <c r="A61" s="133"/>
      <c r="B61" s="119"/>
      <c r="C61" s="125"/>
      <c r="D61" s="127"/>
      <c r="E61" s="119"/>
      <c r="F61" s="127"/>
      <c r="G61" s="128"/>
      <c r="H61" s="119"/>
      <c r="I61" s="125"/>
      <c r="J61" s="127"/>
      <c r="K61" s="119"/>
      <c r="L61" s="127"/>
      <c r="M61" s="128"/>
      <c r="N61" s="128"/>
      <c r="O61" s="119"/>
      <c r="P61" s="119"/>
      <c r="Q61" s="119"/>
    </row>
    <row r="62" spans="1:17">
      <c r="A62" s="119" t="s">
        <v>2558</v>
      </c>
      <c r="B62" s="119"/>
      <c r="C62" s="125"/>
      <c r="D62" s="132"/>
      <c r="E62" s="119"/>
      <c r="F62" s="119"/>
      <c r="G62" s="119"/>
      <c r="H62" s="119"/>
      <c r="I62" s="131"/>
      <c r="J62" s="132"/>
      <c r="K62" s="119"/>
      <c r="L62" s="119"/>
      <c r="M62" s="119"/>
      <c r="N62" s="119"/>
      <c r="O62" s="119"/>
      <c r="P62" s="119"/>
      <c r="Q62" s="119"/>
    </row>
    <row r="63" spans="1:17">
      <c r="A63" s="133" t="s">
        <v>2582</v>
      </c>
      <c r="B63" s="119"/>
      <c r="C63" s="125">
        <f>'C-8'!Q50</f>
        <v>3806932611.5108409</v>
      </c>
      <c r="D63" s="134">
        <v>4.6940000000000003E-2</v>
      </c>
      <c r="E63" s="135" t="s">
        <v>2560</v>
      </c>
      <c r="F63" s="119"/>
      <c r="G63" s="128">
        <f>C63*D63</f>
        <v>178697416.78431889</v>
      </c>
      <c r="H63" s="119"/>
      <c r="I63" s="125">
        <v>3559649918.1500192</v>
      </c>
      <c r="J63" s="134">
        <v>6.7500000000000004E-2</v>
      </c>
      <c r="K63" s="135" t="s">
        <v>2560</v>
      </c>
      <c r="L63" s="119"/>
      <c r="M63" s="128">
        <v>240276369</v>
      </c>
      <c r="N63" s="119"/>
      <c r="O63" s="128">
        <v>73186402</v>
      </c>
      <c r="P63" s="128"/>
      <c r="Q63" s="679">
        <v>0.43800596400000003</v>
      </c>
    </row>
    <row r="64" spans="1:17">
      <c r="A64" s="133" t="s">
        <v>2583</v>
      </c>
      <c r="B64" s="119"/>
      <c r="C64" s="125">
        <f>'C-8'!Q51</f>
        <v>3164972.6317678024</v>
      </c>
      <c r="D64" s="135">
        <v>3.8940000000000002E-2</v>
      </c>
      <c r="E64" s="135" t="s">
        <v>2560</v>
      </c>
      <c r="F64" s="135"/>
      <c r="G64" s="128">
        <f>C64*D64</f>
        <v>123244.03428103823</v>
      </c>
      <c r="H64" s="119"/>
      <c r="I64" s="125">
        <v>0</v>
      </c>
      <c r="J64" s="132">
        <v>5.5E-2</v>
      </c>
      <c r="K64" s="135" t="s">
        <v>2560</v>
      </c>
      <c r="L64" s="135"/>
      <c r="M64" s="128">
        <v>0</v>
      </c>
      <c r="N64" s="128"/>
      <c r="O64" s="128">
        <v>0</v>
      </c>
      <c r="P64" s="128"/>
      <c r="Q64" s="679">
        <v>0</v>
      </c>
    </row>
    <row r="65" spans="1:17" ht="13.5" thickBot="1">
      <c r="A65" s="136" t="s">
        <v>2584</v>
      </c>
      <c r="B65" s="137"/>
      <c r="C65" s="138">
        <f>SUM(C63:C64)</f>
        <v>3810097584.1426086</v>
      </c>
      <c r="D65" s="139"/>
      <c r="E65" s="139"/>
      <c r="F65" s="139"/>
      <c r="G65" s="140">
        <f>SUM(G56:G64)</f>
        <v>335611679.12846386</v>
      </c>
      <c r="H65" s="137"/>
      <c r="I65" s="138">
        <v>3559649918.1500192</v>
      </c>
      <c r="J65" s="141"/>
      <c r="K65" s="139"/>
      <c r="L65" s="139"/>
      <c r="M65" s="140">
        <v>445966317</v>
      </c>
      <c r="N65" s="140"/>
      <c r="O65" s="140">
        <v>114472197</v>
      </c>
      <c r="P65" s="140"/>
      <c r="Q65" s="142">
        <v>0.34532195300000001</v>
      </c>
    </row>
    <row r="66" spans="1:17" ht="13.5" thickTop="1">
      <c r="A66" s="119"/>
      <c r="B66" s="119"/>
      <c r="C66" s="119"/>
      <c r="D66" s="119"/>
      <c r="E66" s="119"/>
      <c r="F66" s="119"/>
      <c r="G66" s="119"/>
      <c r="H66" s="119"/>
      <c r="I66" s="119"/>
      <c r="J66" s="119"/>
      <c r="K66" s="119"/>
      <c r="L66" s="119"/>
      <c r="M66" s="119"/>
      <c r="N66" s="119"/>
      <c r="O66" s="119"/>
      <c r="P66" s="119"/>
      <c r="Q66" s="119"/>
    </row>
    <row r="67" spans="1:17" s="321" customFormat="1">
      <c r="A67" s="680" t="s">
        <v>2585</v>
      </c>
      <c r="B67" s="680"/>
      <c r="C67" s="681"/>
      <c r="D67" s="681"/>
      <c r="E67" s="681"/>
      <c r="F67" s="681"/>
      <c r="G67" s="681"/>
      <c r="H67" s="681"/>
      <c r="I67" s="682"/>
      <c r="J67" s="681"/>
      <c r="K67" s="681"/>
      <c r="L67" s="681"/>
      <c r="M67" s="681"/>
      <c r="N67" s="681"/>
      <c r="O67" s="681"/>
      <c r="P67" s="681"/>
      <c r="Q67" s="681"/>
    </row>
    <row r="68" spans="1:17" s="321" customFormat="1">
      <c r="A68" s="681"/>
      <c r="B68" s="681"/>
      <c r="C68" s="681"/>
      <c r="D68" s="681"/>
      <c r="E68" s="681"/>
      <c r="F68" s="681"/>
      <c r="G68" s="681"/>
      <c r="H68" s="681"/>
      <c r="I68" s="682"/>
      <c r="J68" s="681"/>
      <c r="K68" s="681"/>
      <c r="L68" s="681"/>
      <c r="M68" s="681"/>
      <c r="N68" s="681"/>
      <c r="O68" s="681"/>
      <c r="P68" s="681"/>
      <c r="Q68" s="681"/>
    </row>
    <row r="69" spans="1:17" s="321" customFormat="1">
      <c r="A69" s="681" t="s">
        <v>2556</v>
      </c>
      <c r="B69" s="681"/>
      <c r="C69" s="683">
        <f>'C-8'!Q55</f>
        <v>617</v>
      </c>
      <c r="D69" s="684">
        <v>450</v>
      </c>
      <c r="E69" s="681" t="s">
        <v>2557</v>
      </c>
      <c r="F69" s="685"/>
      <c r="G69" s="128">
        <f>C69*D69*12</f>
        <v>3331800</v>
      </c>
      <c r="H69" s="681"/>
      <c r="I69" s="686">
        <v>601</v>
      </c>
      <c r="J69" s="684">
        <v>1000</v>
      </c>
      <c r="K69" s="681" t="s">
        <v>2557</v>
      </c>
      <c r="L69" s="685"/>
      <c r="M69" s="687">
        <v>7212000</v>
      </c>
      <c r="N69" s="687"/>
      <c r="O69" s="687">
        <v>3966600</v>
      </c>
      <c r="P69" s="687"/>
      <c r="Q69" s="688">
        <v>1.2222222220000001</v>
      </c>
    </row>
    <row r="70" spans="1:17" s="321" customFormat="1">
      <c r="A70" s="681"/>
      <c r="B70" s="681"/>
      <c r="C70" s="689"/>
      <c r="D70" s="690"/>
      <c r="E70" s="681"/>
      <c r="F70" s="681"/>
      <c r="G70" s="681"/>
      <c r="H70" s="681"/>
      <c r="I70" s="686"/>
      <c r="J70" s="690"/>
      <c r="K70" s="681"/>
      <c r="L70" s="681"/>
      <c r="M70" s="681"/>
      <c r="N70" s="681"/>
      <c r="O70" s="681"/>
      <c r="P70" s="681"/>
      <c r="Q70" s="681"/>
    </row>
    <row r="71" spans="1:17" s="321" customFormat="1">
      <c r="A71" s="681" t="s">
        <v>2578</v>
      </c>
      <c r="B71" s="681"/>
      <c r="C71" s="689"/>
      <c r="D71" s="690"/>
      <c r="E71" s="681"/>
      <c r="F71" s="681"/>
      <c r="G71" s="681"/>
      <c r="H71" s="681"/>
      <c r="I71" s="686"/>
      <c r="J71" s="690"/>
      <c r="K71" s="681"/>
      <c r="L71" s="681"/>
      <c r="M71" s="681"/>
      <c r="N71" s="681"/>
      <c r="O71" s="681"/>
      <c r="P71" s="681"/>
      <c r="Q71" s="681"/>
    </row>
    <row r="72" spans="1:17" s="321" customFormat="1">
      <c r="A72" s="691" t="s">
        <v>2579</v>
      </c>
      <c r="B72" s="681"/>
      <c r="C72" s="683">
        <f>'C-8'!Q57</f>
        <v>7054980</v>
      </c>
      <c r="D72" s="685">
        <v>7.7</v>
      </c>
      <c r="E72" s="681" t="s">
        <v>2580</v>
      </c>
      <c r="F72" s="685"/>
      <c r="G72" s="128">
        <f>C72*D72</f>
        <v>54323346</v>
      </c>
      <c r="H72" s="681"/>
      <c r="I72" s="689">
        <v>6970845</v>
      </c>
      <c r="J72" s="685">
        <v>15</v>
      </c>
      <c r="K72" s="681" t="s">
        <v>2580</v>
      </c>
      <c r="L72" s="685"/>
      <c r="M72" s="687">
        <v>104562675</v>
      </c>
      <c r="N72" s="687"/>
      <c r="O72" s="687">
        <v>50887168</v>
      </c>
      <c r="P72" s="687"/>
      <c r="Q72" s="688">
        <v>0.94805192999999999</v>
      </c>
    </row>
    <row r="73" spans="1:17" s="321" customFormat="1">
      <c r="A73" s="691" t="s">
        <v>2581</v>
      </c>
      <c r="B73" s="681"/>
      <c r="C73" s="683">
        <f>'C-8'!Q58</f>
        <v>347822.86118847976</v>
      </c>
      <c r="D73" s="685">
        <v>9.6</v>
      </c>
      <c r="E73" s="681" t="s">
        <v>2580</v>
      </c>
      <c r="F73" s="685"/>
      <c r="G73" s="687">
        <v>0</v>
      </c>
      <c r="H73" s="681"/>
      <c r="I73" s="689">
        <v>0</v>
      </c>
      <c r="J73" s="685">
        <v>16</v>
      </c>
      <c r="K73" s="681" t="s">
        <v>2580</v>
      </c>
      <c r="L73" s="685"/>
      <c r="M73" s="687">
        <v>0</v>
      </c>
      <c r="N73" s="687"/>
      <c r="O73" s="687">
        <v>0</v>
      </c>
      <c r="P73" s="687"/>
      <c r="Q73" s="688">
        <v>0</v>
      </c>
    </row>
    <row r="74" spans="1:17" s="321" customFormat="1">
      <c r="A74" s="691"/>
      <c r="B74" s="681"/>
      <c r="C74" s="683"/>
      <c r="D74" s="685"/>
      <c r="E74" s="681"/>
      <c r="F74" s="685"/>
      <c r="G74" s="687"/>
      <c r="H74" s="681"/>
      <c r="I74" s="683"/>
      <c r="J74" s="685"/>
      <c r="K74" s="681"/>
      <c r="L74" s="685"/>
      <c r="M74" s="687"/>
      <c r="N74" s="687"/>
      <c r="O74" s="681"/>
      <c r="P74" s="681"/>
      <c r="Q74" s="681"/>
    </row>
    <row r="75" spans="1:17" s="321" customFormat="1">
      <c r="A75" s="681" t="s">
        <v>2558</v>
      </c>
      <c r="B75" s="681"/>
      <c r="C75" s="683"/>
      <c r="D75" s="690"/>
      <c r="E75" s="681"/>
      <c r="F75" s="681"/>
      <c r="G75" s="681"/>
      <c r="H75" s="681"/>
      <c r="I75" s="689"/>
      <c r="J75" s="690"/>
      <c r="K75" s="681"/>
      <c r="L75" s="681"/>
      <c r="M75" s="681"/>
      <c r="N75" s="681"/>
      <c r="O75" s="681"/>
      <c r="P75" s="681"/>
      <c r="Q75" s="681"/>
    </row>
    <row r="76" spans="1:17" s="321" customFormat="1">
      <c r="A76" s="691" t="s">
        <v>2582</v>
      </c>
      <c r="B76" s="681"/>
      <c r="C76" s="683">
        <f>'C-8'!Q60</f>
        <v>2115993599.9999998</v>
      </c>
      <c r="D76" s="692">
        <v>3.6499999999999998E-2</v>
      </c>
      <c r="E76" s="693" t="s">
        <v>2560</v>
      </c>
      <c r="F76" s="681"/>
      <c r="G76" s="128">
        <f>C76*D76</f>
        <v>77233766.399999991</v>
      </c>
      <c r="H76" s="681"/>
      <c r="I76" s="683">
        <v>1834520112.0000002</v>
      </c>
      <c r="J76" s="692">
        <v>0.06</v>
      </c>
      <c r="K76" s="693" t="s">
        <v>2560</v>
      </c>
      <c r="L76" s="681"/>
      <c r="M76" s="687">
        <v>110071207</v>
      </c>
      <c r="N76" s="681"/>
      <c r="O76" s="687">
        <v>43111223</v>
      </c>
      <c r="P76" s="687"/>
      <c r="Q76" s="688">
        <v>0.64383562299999997</v>
      </c>
    </row>
    <row r="77" spans="1:17" s="321" customFormat="1">
      <c r="A77" s="691" t="s">
        <v>2583</v>
      </c>
      <c r="B77" s="681"/>
      <c r="C77" s="683">
        <f>'C-8'!Q61</f>
        <v>491217912.79235846</v>
      </c>
      <c r="D77" s="693">
        <v>3.2500000000000001E-2</v>
      </c>
      <c r="E77" s="693" t="s">
        <v>2560</v>
      </c>
      <c r="F77" s="693"/>
      <c r="G77" s="128">
        <f>C77*D77</f>
        <v>15964582.165751651</v>
      </c>
      <c r="H77" s="681"/>
      <c r="I77" s="683">
        <v>893974101.56693757</v>
      </c>
      <c r="J77" s="690">
        <v>4.7500000000000001E-2</v>
      </c>
      <c r="K77" s="693" t="s">
        <v>2560</v>
      </c>
      <c r="L77" s="693"/>
      <c r="M77" s="687">
        <v>42463770</v>
      </c>
      <c r="N77" s="687"/>
      <c r="O77" s="687">
        <v>13409612</v>
      </c>
      <c r="P77" s="687"/>
      <c r="Q77" s="688">
        <v>0.461538483</v>
      </c>
    </row>
    <row r="78" spans="1:17" s="321" customFormat="1" ht="13.5" thickBot="1">
      <c r="A78" s="694" t="s">
        <v>2586</v>
      </c>
      <c r="B78" s="695"/>
      <c r="C78" s="696">
        <f>SUM(C76:C77)</f>
        <v>2607211512.7923584</v>
      </c>
      <c r="D78" s="697"/>
      <c r="E78" s="697"/>
      <c r="F78" s="697"/>
      <c r="G78" s="699">
        <f>SUM(G69:G77)</f>
        <v>150853494.56575161</v>
      </c>
      <c r="H78" s="695"/>
      <c r="I78" s="696">
        <v>2728494213.5669379</v>
      </c>
      <c r="J78" s="698"/>
      <c r="K78" s="697"/>
      <c r="L78" s="697"/>
      <c r="M78" s="699">
        <v>264309652</v>
      </c>
      <c r="N78" s="699"/>
      <c r="O78" s="699">
        <v>111374603</v>
      </c>
      <c r="P78" s="699"/>
      <c r="Q78" s="700">
        <v>0.72824773499999995</v>
      </c>
    </row>
    <row r="79" spans="1:17" ht="13.5" thickTop="1">
      <c r="A79" s="119"/>
      <c r="B79" s="119"/>
      <c r="C79" s="119"/>
      <c r="D79" s="119"/>
      <c r="E79" s="119"/>
      <c r="F79" s="119"/>
      <c r="G79" s="119"/>
      <c r="H79" s="119"/>
      <c r="I79" s="119"/>
      <c r="J79" s="119"/>
      <c r="K79" s="119"/>
      <c r="L79" s="119"/>
      <c r="M79" s="119"/>
      <c r="N79" s="119"/>
      <c r="O79" s="119"/>
      <c r="P79" s="119"/>
      <c r="Q79" s="119"/>
    </row>
    <row r="80" spans="1:17">
      <c r="A80" s="123" t="s">
        <v>2587</v>
      </c>
      <c r="B80" s="123"/>
      <c r="C80" s="119"/>
      <c r="D80" s="119"/>
      <c r="E80" s="119"/>
      <c r="F80" s="119"/>
      <c r="G80" s="119"/>
      <c r="H80" s="119"/>
      <c r="I80" s="124"/>
      <c r="J80" s="119"/>
      <c r="K80" s="119"/>
      <c r="L80" s="119"/>
      <c r="M80" s="119"/>
      <c r="N80" s="119"/>
      <c r="O80" s="119"/>
      <c r="P80" s="119"/>
      <c r="Q80" s="119"/>
    </row>
    <row r="81" spans="1:17">
      <c r="A81" s="119"/>
      <c r="B81" s="119"/>
      <c r="C81" s="119"/>
      <c r="D81" s="119"/>
      <c r="E81" s="119"/>
      <c r="F81" s="119"/>
      <c r="G81" s="119"/>
      <c r="H81" s="119"/>
      <c r="I81" s="124"/>
      <c r="J81" s="119"/>
      <c r="K81" s="119"/>
      <c r="L81" s="119"/>
      <c r="M81" s="119"/>
      <c r="N81" s="119"/>
      <c r="O81" s="119"/>
      <c r="P81" s="119"/>
      <c r="Q81" s="119"/>
    </row>
    <row r="82" spans="1:17">
      <c r="A82" s="119" t="s">
        <v>2556</v>
      </c>
      <c r="B82" s="119"/>
      <c r="C82" s="125">
        <f>'C-8'!Q65</f>
        <v>1</v>
      </c>
      <c r="D82" s="126">
        <v>200</v>
      </c>
      <c r="E82" s="119" t="s">
        <v>2557</v>
      </c>
      <c r="F82" s="127"/>
      <c r="G82" s="128">
        <f>C82*D82*12</f>
        <v>2400</v>
      </c>
      <c r="H82" s="119"/>
      <c r="I82" s="678">
        <v>1</v>
      </c>
      <c r="J82" s="126">
        <v>400</v>
      </c>
      <c r="K82" s="119" t="s">
        <v>2557</v>
      </c>
      <c r="L82" s="127"/>
      <c r="M82" s="128">
        <v>4800</v>
      </c>
      <c r="N82" s="128"/>
      <c r="O82" s="128">
        <v>2400</v>
      </c>
      <c r="P82" s="128"/>
      <c r="Q82" s="679">
        <v>1</v>
      </c>
    </row>
    <row r="83" spans="1:17">
      <c r="A83" s="119"/>
      <c r="B83" s="119"/>
      <c r="C83" s="131"/>
      <c r="D83" s="132"/>
      <c r="E83" s="119"/>
      <c r="F83" s="119"/>
      <c r="G83" s="119"/>
      <c r="H83" s="119"/>
      <c r="I83" s="678"/>
      <c r="J83" s="132"/>
      <c r="K83" s="119"/>
      <c r="L83" s="119"/>
      <c r="M83" s="119"/>
      <c r="N83" s="119"/>
      <c r="O83" s="119"/>
      <c r="P83" s="119"/>
      <c r="Q83" s="119"/>
    </row>
    <row r="84" spans="1:17">
      <c r="A84" s="119" t="s">
        <v>2578</v>
      </c>
      <c r="B84" s="119"/>
      <c r="C84" s="131"/>
      <c r="D84" s="132"/>
      <c r="E84" s="119"/>
      <c r="F84" s="119"/>
      <c r="G84" s="119"/>
      <c r="H84" s="119"/>
      <c r="I84" s="678"/>
      <c r="J84" s="132"/>
      <c r="K84" s="119"/>
      <c r="L84" s="119"/>
      <c r="M84" s="119"/>
      <c r="N84" s="119"/>
      <c r="O84" s="119"/>
      <c r="P84" s="119"/>
      <c r="Q84" s="119"/>
    </row>
    <row r="85" spans="1:17">
      <c r="A85" s="133" t="s">
        <v>2588</v>
      </c>
      <c r="B85" s="119"/>
      <c r="C85" s="125">
        <f>'C-8'!Q67</f>
        <v>19824</v>
      </c>
      <c r="D85" s="127">
        <v>8.1</v>
      </c>
      <c r="E85" s="119" t="s">
        <v>2580</v>
      </c>
      <c r="F85" s="127"/>
      <c r="G85" s="128">
        <f>C85*D85</f>
        <v>160574.39999999999</v>
      </c>
      <c r="H85" s="119"/>
      <c r="I85" s="131">
        <v>1512.67</v>
      </c>
      <c r="J85" s="127">
        <v>9</v>
      </c>
      <c r="K85" s="119" t="s">
        <v>2580</v>
      </c>
      <c r="L85" s="127"/>
      <c r="M85" s="128">
        <v>13614</v>
      </c>
      <c r="N85" s="128"/>
      <c r="O85" s="128">
        <v>1361</v>
      </c>
      <c r="P85" s="128"/>
      <c r="Q85" s="679">
        <v>0.11107483899999999</v>
      </c>
    </row>
    <row r="86" spans="1:17">
      <c r="A86" s="133" t="s">
        <v>2589</v>
      </c>
      <c r="B86" s="119"/>
      <c r="C86" s="125">
        <f>'C-8'!Q68</f>
        <v>18996</v>
      </c>
      <c r="D86" s="127">
        <v>1.1000000000000001</v>
      </c>
      <c r="E86" s="119" t="s">
        <v>2580</v>
      </c>
      <c r="F86" s="127"/>
      <c r="G86" s="128">
        <f>C86*D86</f>
        <v>20895.600000000002</v>
      </c>
      <c r="H86" s="119"/>
      <c r="I86" s="131">
        <v>1560</v>
      </c>
      <c r="J86" s="127">
        <v>1.1000000000000001</v>
      </c>
      <c r="K86" s="119" t="s">
        <v>2580</v>
      </c>
      <c r="L86" s="127"/>
      <c r="M86" s="128">
        <v>1716</v>
      </c>
      <c r="N86" s="128"/>
      <c r="O86" s="128">
        <v>0</v>
      </c>
      <c r="P86" s="128"/>
      <c r="Q86" s="679">
        <v>0</v>
      </c>
    </row>
    <row r="87" spans="1:17">
      <c r="A87" s="133"/>
      <c r="B87" s="119"/>
      <c r="C87" s="125"/>
      <c r="D87" s="127"/>
      <c r="E87" s="119"/>
      <c r="F87" s="127"/>
      <c r="G87" s="128"/>
      <c r="H87" s="119"/>
      <c r="I87" s="125"/>
      <c r="J87" s="127"/>
      <c r="K87" s="119"/>
      <c r="L87" s="127"/>
      <c r="M87" s="128"/>
      <c r="N87" s="128"/>
      <c r="O87" s="119"/>
      <c r="P87" s="119"/>
      <c r="Q87" s="119"/>
    </row>
    <row r="88" spans="1:17">
      <c r="A88" s="119" t="s">
        <v>2558</v>
      </c>
      <c r="B88" s="119"/>
      <c r="C88" s="125"/>
      <c r="D88" s="132"/>
      <c r="E88" s="119"/>
      <c r="F88" s="119"/>
      <c r="G88" s="119"/>
      <c r="H88" s="119"/>
      <c r="I88" s="131"/>
      <c r="J88" s="132"/>
      <c r="K88" s="119"/>
      <c r="L88" s="119"/>
      <c r="M88" s="119"/>
      <c r="N88" s="119"/>
      <c r="O88" s="119"/>
      <c r="P88" s="119"/>
      <c r="Q88" s="119"/>
    </row>
    <row r="89" spans="1:17">
      <c r="A89" s="133" t="s">
        <v>2590</v>
      </c>
      <c r="B89" s="119"/>
      <c r="C89" s="125">
        <f>'C-8'!Q70</f>
        <v>2810347.5508555607</v>
      </c>
      <c r="D89" s="134">
        <v>5.7790000000000001E-2</v>
      </c>
      <c r="E89" s="135" t="s">
        <v>2560</v>
      </c>
      <c r="F89" s="119"/>
      <c r="G89" s="128">
        <f>C89*D89</f>
        <v>162409.98496394284</v>
      </c>
      <c r="H89" s="119"/>
      <c r="I89" s="125">
        <v>2454965.4562663632</v>
      </c>
      <c r="J89" s="134">
        <v>9.7500000000000003E-2</v>
      </c>
      <c r="K89" s="135" t="s">
        <v>2560</v>
      </c>
      <c r="L89" s="119"/>
      <c r="M89" s="128">
        <v>239359</v>
      </c>
      <c r="N89" s="119"/>
      <c r="O89" s="128">
        <v>97487</v>
      </c>
      <c r="P89" s="128"/>
      <c r="Q89" s="679">
        <v>0.68714757000000004</v>
      </c>
    </row>
    <row r="90" spans="1:17">
      <c r="A90" s="133" t="s">
        <v>2591</v>
      </c>
      <c r="B90" s="119"/>
      <c r="C90" s="125">
        <f>'C-8'!Q71</f>
        <v>3269010.6757950778</v>
      </c>
      <c r="D90" s="135">
        <v>1.8790000000000001E-2</v>
      </c>
      <c r="E90" s="135" t="s">
        <v>2560</v>
      </c>
      <c r="F90" s="135"/>
      <c r="G90" s="128">
        <f>C90*D90</f>
        <v>61424.710598189515</v>
      </c>
      <c r="H90" s="119"/>
      <c r="I90" s="125">
        <v>3212466.7747025588</v>
      </c>
      <c r="J90" s="132">
        <v>4.3499999999999997E-2</v>
      </c>
      <c r="K90" s="135" t="s">
        <v>2560</v>
      </c>
      <c r="L90" s="135"/>
      <c r="M90" s="128">
        <v>139742</v>
      </c>
      <c r="N90" s="128"/>
      <c r="O90" s="128">
        <v>79380</v>
      </c>
      <c r="P90" s="128"/>
      <c r="Q90" s="679">
        <v>1.3150657699999999</v>
      </c>
    </row>
    <row r="91" spans="1:17" ht="13.5" thickBot="1">
      <c r="A91" s="136" t="s">
        <v>2592</v>
      </c>
      <c r="B91" s="137"/>
      <c r="C91" s="696">
        <f>SUM(C89:C90)</f>
        <v>6079358.2266506385</v>
      </c>
      <c r="D91" s="697"/>
      <c r="E91" s="697"/>
      <c r="F91" s="697"/>
      <c r="G91" s="699">
        <f>SUM(G82:G90)</f>
        <v>407704.69556213234</v>
      </c>
      <c r="H91" s="137"/>
      <c r="I91" s="138">
        <v>5667432.2309689224</v>
      </c>
      <c r="J91" s="141"/>
      <c r="K91" s="139"/>
      <c r="L91" s="139"/>
      <c r="M91" s="140">
        <v>399231</v>
      </c>
      <c r="N91" s="140"/>
      <c r="O91" s="140">
        <v>180628</v>
      </c>
      <c r="P91" s="140"/>
      <c r="Q91" s="142">
        <v>0.82628326200000002</v>
      </c>
    </row>
    <row r="92" spans="1:17" ht="13.5" thickTop="1">
      <c r="A92" s="119"/>
      <c r="B92" s="119"/>
      <c r="C92" s="119"/>
      <c r="D92" s="119"/>
      <c r="E92" s="119"/>
      <c r="F92" s="119"/>
      <c r="G92" s="119"/>
      <c r="H92" s="119"/>
      <c r="I92" s="119"/>
      <c r="J92" s="119"/>
      <c r="K92" s="119"/>
      <c r="L92" s="119"/>
      <c r="M92" s="119"/>
      <c r="N92" s="119"/>
      <c r="O92" s="119"/>
      <c r="P92" s="119"/>
      <c r="Q92" s="119"/>
    </row>
    <row r="93" spans="1:17">
      <c r="A93" s="123" t="s">
        <v>2593</v>
      </c>
      <c r="B93" s="123"/>
      <c r="C93" s="119"/>
      <c r="D93" s="119"/>
      <c r="E93" s="119"/>
      <c r="F93" s="119"/>
      <c r="G93" s="119"/>
      <c r="H93" s="119"/>
      <c r="I93" s="124"/>
      <c r="J93" s="119"/>
      <c r="K93" s="119"/>
      <c r="L93" s="119"/>
      <c r="M93" s="119"/>
      <c r="N93" s="119"/>
      <c r="O93" s="119"/>
      <c r="P93" s="119"/>
      <c r="Q93" s="119"/>
    </row>
    <row r="94" spans="1:17">
      <c r="A94" s="119"/>
      <c r="B94" s="119"/>
      <c r="C94" s="119"/>
      <c r="D94" s="119"/>
      <c r="E94" s="119"/>
      <c r="F94" s="119"/>
      <c r="G94" s="119"/>
      <c r="H94" s="119"/>
      <c r="I94" s="124"/>
      <c r="J94" s="119"/>
      <c r="K94" s="119"/>
      <c r="L94" s="119"/>
      <c r="M94" s="119"/>
      <c r="N94" s="119"/>
      <c r="O94" s="119"/>
      <c r="P94" s="119"/>
      <c r="Q94" s="119"/>
    </row>
    <row r="95" spans="1:17">
      <c r="A95" s="119" t="s">
        <v>2556</v>
      </c>
      <c r="B95" s="119"/>
      <c r="C95" s="125">
        <f>'C-8'!Q75</f>
        <v>16</v>
      </c>
      <c r="D95" s="126">
        <v>450</v>
      </c>
      <c r="E95" s="119" t="s">
        <v>2557</v>
      </c>
      <c r="F95" s="127"/>
      <c r="G95" s="128">
        <f>C95*D95*12</f>
        <v>86400</v>
      </c>
      <c r="H95" s="119"/>
      <c r="I95" s="678">
        <v>17</v>
      </c>
      <c r="J95" s="126">
        <v>1000</v>
      </c>
      <c r="K95" s="119" t="s">
        <v>2557</v>
      </c>
      <c r="L95" s="127"/>
      <c r="M95" s="128">
        <v>204000</v>
      </c>
      <c r="N95" s="128"/>
      <c r="O95" s="128">
        <v>112200</v>
      </c>
      <c r="P95" s="128"/>
      <c r="Q95" s="679">
        <v>1.2222222220000001</v>
      </c>
    </row>
    <row r="96" spans="1:17">
      <c r="A96" s="119"/>
      <c r="B96" s="119"/>
      <c r="C96" s="131"/>
      <c r="D96" s="132"/>
      <c r="E96" s="119"/>
      <c r="F96" s="119"/>
      <c r="G96" s="119"/>
      <c r="H96" s="119"/>
      <c r="I96" s="678"/>
      <c r="J96" s="132"/>
      <c r="K96" s="119"/>
      <c r="L96" s="119"/>
      <c r="M96" s="119"/>
      <c r="N96" s="119"/>
      <c r="O96" s="119"/>
      <c r="P96" s="119"/>
      <c r="Q96" s="119"/>
    </row>
    <row r="97" spans="1:17">
      <c r="A97" s="119" t="s">
        <v>2578</v>
      </c>
      <c r="B97" s="119"/>
      <c r="C97" s="131"/>
      <c r="D97" s="132"/>
      <c r="E97" s="119"/>
      <c r="F97" s="119"/>
      <c r="G97" s="119"/>
      <c r="H97" s="119"/>
      <c r="I97" s="678"/>
      <c r="J97" s="132"/>
      <c r="K97" s="119"/>
      <c r="L97" s="119"/>
      <c r="M97" s="119"/>
      <c r="N97" s="119"/>
      <c r="O97" s="119"/>
      <c r="P97" s="119"/>
      <c r="Q97" s="119"/>
    </row>
    <row r="98" spans="1:17">
      <c r="A98" s="133" t="s">
        <v>2588</v>
      </c>
      <c r="B98" s="119"/>
      <c r="C98" s="125">
        <f>'C-8'!Q77</f>
        <v>956520</v>
      </c>
      <c r="D98" s="127">
        <v>7.7</v>
      </c>
      <c r="E98" s="119" t="s">
        <v>2580</v>
      </c>
      <c r="F98" s="127"/>
      <c r="G98" s="128">
        <f>C98*D98</f>
        <v>7365204</v>
      </c>
      <c r="H98" s="119"/>
      <c r="I98" s="131">
        <v>87298</v>
      </c>
      <c r="J98" s="127">
        <v>16</v>
      </c>
      <c r="K98" s="119" t="s">
        <v>2580</v>
      </c>
      <c r="L98" s="127"/>
      <c r="M98" s="128">
        <v>1396768</v>
      </c>
      <c r="N98" s="128"/>
      <c r="O98" s="128">
        <v>724573</v>
      </c>
      <c r="P98" s="128"/>
      <c r="Q98" s="679">
        <v>1.0779208410000001</v>
      </c>
    </row>
    <row r="99" spans="1:17">
      <c r="A99" s="133" t="s">
        <v>2589</v>
      </c>
      <c r="B99" s="119"/>
      <c r="C99" s="125">
        <f>'C-8'!Q78</f>
        <v>954684</v>
      </c>
      <c r="D99" s="127">
        <v>1</v>
      </c>
      <c r="E99" s="119" t="s">
        <v>2580</v>
      </c>
      <c r="F99" s="127"/>
      <c r="G99" s="128">
        <f>C99*D99</f>
        <v>954684</v>
      </c>
      <c r="H99" s="119"/>
      <c r="I99" s="131">
        <v>86878.75</v>
      </c>
      <c r="J99" s="127">
        <v>2</v>
      </c>
      <c r="K99" s="119" t="s">
        <v>2580</v>
      </c>
      <c r="L99" s="127"/>
      <c r="M99" s="128">
        <v>173758</v>
      </c>
      <c r="N99" s="128"/>
      <c r="O99" s="128">
        <v>86879</v>
      </c>
      <c r="P99" s="128"/>
      <c r="Q99" s="679">
        <v>1</v>
      </c>
    </row>
    <row r="100" spans="1:17">
      <c r="A100" s="133"/>
      <c r="B100" s="119"/>
      <c r="C100" s="125"/>
      <c r="D100" s="127"/>
      <c r="E100" s="119"/>
      <c r="F100" s="127"/>
      <c r="G100" s="128"/>
      <c r="H100" s="119"/>
      <c r="I100" s="125"/>
      <c r="J100" s="127"/>
      <c r="K100" s="119"/>
      <c r="L100" s="127"/>
      <c r="M100" s="128"/>
      <c r="N100" s="128"/>
      <c r="O100" s="119"/>
      <c r="P100" s="119"/>
      <c r="Q100" s="119"/>
    </row>
    <row r="101" spans="1:17">
      <c r="A101" s="119" t="s">
        <v>2558</v>
      </c>
      <c r="B101" s="119"/>
      <c r="C101" s="125"/>
      <c r="D101" s="132"/>
      <c r="E101" s="119"/>
      <c r="F101" s="119"/>
      <c r="G101" s="119"/>
      <c r="H101" s="119"/>
      <c r="I101" s="131"/>
      <c r="J101" s="132"/>
      <c r="K101" s="119"/>
      <c r="L101" s="119"/>
      <c r="M101" s="119"/>
      <c r="N101" s="119"/>
      <c r="O101" s="119"/>
      <c r="P101" s="119"/>
      <c r="Q101" s="119"/>
    </row>
    <row r="102" spans="1:17">
      <c r="A102" s="133" t="s">
        <v>2590</v>
      </c>
      <c r="B102" s="119"/>
      <c r="C102" s="125">
        <f>'C-8'!Q80</f>
        <v>106697992.03686301</v>
      </c>
      <c r="D102" s="134">
        <v>4.6789999999999998E-2</v>
      </c>
      <c r="E102" s="135" t="s">
        <v>2560</v>
      </c>
      <c r="F102" s="119"/>
      <c r="G102" s="128">
        <f>C102*D102</f>
        <v>4992399.0474048201</v>
      </c>
      <c r="H102" s="119"/>
      <c r="I102" s="125">
        <v>174527299.71333742</v>
      </c>
      <c r="J102" s="134">
        <v>8.1000000000000003E-2</v>
      </c>
      <c r="K102" s="135" t="s">
        <v>2560</v>
      </c>
      <c r="L102" s="119"/>
      <c r="M102" s="128">
        <v>14136711</v>
      </c>
      <c r="N102" s="119"/>
      <c r="O102" s="128">
        <v>5970579</v>
      </c>
      <c r="P102" s="128"/>
      <c r="Q102" s="679">
        <v>0.73113917299999998</v>
      </c>
    </row>
    <row r="103" spans="1:17">
      <c r="A103" s="133" t="s">
        <v>2591</v>
      </c>
      <c r="B103" s="119"/>
      <c r="C103" s="125">
        <f>'C-8'!Q81</f>
        <v>174807076.60162273</v>
      </c>
      <c r="D103" s="135">
        <v>1.779E-2</v>
      </c>
      <c r="E103" s="135" t="s">
        <v>2560</v>
      </c>
      <c r="F103" s="135"/>
      <c r="G103" s="128">
        <f>C103*D103</f>
        <v>3109817.8927428685</v>
      </c>
      <c r="H103" s="119"/>
      <c r="I103" s="125">
        <v>281412745.91853565</v>
      </c>
      <c r="J103" s="132">
        <v>0.04</v>
      </c>
      <c r="K103" s="135" t="s">
        <v>2560</v>
      </c>
      <c r="L103" s="135"/>
      <c r="M103" s="128">
        <v>11256510</v>
      </c>
      <c r="N103" s="128"/>
      <c r="O103" s="128">
        <v>6250177</v>
      </c>
      <c r="P103" s="128"/>
      <c r="Q103" s="679">
        <v>1.248454108</v>
      </c>
    </row>
    <row r="104" spans="1:17" ht="13.5" thickBot="1">
      <c r="A104" s="136" t="s">
        <v>2594</v>
      </c>
      <c r="B104" s="137"/>
      <c r="C104" s="696">
        <f>SUM(C102:C103)</f>
        <v>281505068.63848573</v>
      </c>
      <c r="D104" s="697"/>
      <c r="E104" s="697"/>
      <c r="F104" s="697"/>
      <c r="G104" s="699">
        <f>SUM(G95:G103)</f>
        <v>16508504.940147689</v>
      </c>
      <c r="H104" s="137"/>
      <c r="I104" s="138">
        <v>455940045.63187307</v>
      </c>
      <c r="J104" s="141"/>
      <c r="K104" s="139"/>
      <c r="L104" s="139"/>
      <c r="M104" s="140">
        <v>27167747</v>
      </c>
      <c r="N104" s="140"/>
      <c r="O104" s="140">
        <v>13144408</v>
      </c>
      <c r="P104" s="140"/>
      <c r="Q104" s="142">
        <v>0.93732369999999998</v>
      </c>
    </row>
    <row r="105" spans="1:17" ht="13.5" thickTop="1">
      <c r="A105" s="119"/>
      <c r="B105" s="119"/>
      <c r="C105" s="119"/>
      <c r="D105" s="119"/>
      <c r="E105" s="119"/>
      <c r="F105" s="119"/>
      <c r="G105" s="119"/>
      <c r="H105" s="119"/>
      <c r="I105" s="119"/>
      <c r="J105" s="119"/>
      <c r="K105" s="119"/>
      <c r="L105" s="119"/>
      <c r="M105" s="119"/>
      <c r="N105" s="119"/>
      <c r="O105" s="119"/>
      <c r="P105" s="119"/>
      <c r="Q105" s="119"/>
    </row>
    <row r="106" spans="1:17">
      <c r="A106" s="123" t="s">
        <v>2595</v>
      </c>
      <c r="B106" s="123"/>
      <c r="C106" s="119"/>
      <c r="D106" s="119"/>
      <c r="E106" s="119"/>
      <c r="F106" s="119"/>
      <c r="G106" s="119"/>
      <c r="H106" s="119"/>
      <c r="I106" s="124"/>
      <c r="J106" s="119"/>
      <c r="K106" s="119"/>
      <c r="L106" s="119"/>
      <c r="M106" s="119"/>
      <c r="N106" s="119"/>
      <c r="O106" s="119"/>
      <c r="P106" s="119"/>
      <c r="Q106" s="119"/>
    </row>
    <row r="107" spans="1:17">
      <c r="A107" s="119"/>
      <c r="B107" s="119"/>
      <c r="C107" s="119"/>
      <c r="D107" s="119"/>
      <c r="E107" s="119"/>
      <c r="F107" s="119"/>
      <c r="G107" s="119"/>
      <c r="H107" s="119"/>
      <c r="I107" s="124"/>
      <c r="J107" s="119"/>
      <c r="K107" s="119"/>
      <c r="L107" s="119"/>
      <c r="M107" s="119"/>
      <c r="N107" s="119"/>
      <c r="O107" s="119"/>
      <c r="P107" s="119"/>
      <c r="Q107" s="119"/>
    </row>
    <row r="108" spans="1:17">
      <c r="A108" s="119" t="s">
        <v>2556</v>
      </c>
      <c r="B108" s="119"/>
      <c r="C108" s="125">
        <f>'C-8'!Q85</f>
        <v>1</v>
      </c>
      <c r="D108" s="126">
        <v>450</v>
      </c>
      <c r="E108" s="119" t="s">
        <v>2557</v>
      </c>
      <c r="F108" s="127"/>
      <c r="G108" s="128">
        <f>C108*D108*12</f>
        <v>5400</v>
      </c>
      <c r="H108" s="119"/>
      <c r="I108" s="678">
        <v>1</v>
      </c>
      <c r="J108" s="126">
        <v>1000</v>
      </c>
      <c r="K108" s="119" t="s">
        <v>2557</v>
      </c>
      <c r="L108" s="127"/>
      <c r="M108" s="128">
        <v>12000</v>
      </c>
      <c r="N108" s="128"/>
      <c r="O108" s="128">
        <v>6600</v>
      </c>
      <c r="P108" s="128"/>
      <c r="Q108" s="679">
        <v>1.2222222220000001</v>
      </c>
    </row>
    <row r="109" spans="1:17">
      <c r="A109" s="119"/>
      <c r="B109" s="119"/>
      <c r="C109" s="131"/>
      <c r="D109" s="132"/>
      <c r="E109" s="119"/>
      <c r="F109" s="119"/>
      <c r="G109" s="119"/>
      <c r="H109" s="119"/>
      <c r="I109" s="678"/>
      <c r="J109" s="132"/>
      <c r="K109" s="119"/>
      <c r="L109" s="119"/>
      <c r="M109" s="119"/>
      <c r="N109" s="119"/>
      <c r="O109" s="119"/>
      <c r="P109" s="119"/>
      <c r="Q109" s="119"/>
    </row>
    <row r="110" spans="1:17">
      <c r="A110" s="119" t="s">
        <v>2578</v>
      </c>
      <c r="B110" s="119"/>
      <c r="C110" s="131"/>
      <c r="D110" s="132"/>
      <c r="E110" s="119"/>
      <c r="F110" s="119"/>
      <c r="G110" s="119"/>
      <c r="H110" s="119"/>
      <c r="I110" s="678"/>
      <c r="J110" s="132"/>
      <c r="K110" s="119"/>
      <c r="L110" s="119"/>
      <c r="M110" s="119"/>
      <c r="N110" s="119"/>
      <c r="O110" s="119"/>
      <c r="P110" s="119"/>
      <c r="Q110" s="119"/>
    </row>
    <row r="111" spans="1:17">
      <c r="A111" s="133" t="s">
        <v>2596</v>
      </c>
      <c r="B111" s="119"/>
      <c r="C111" s="125">
        <f>'C-8'!Q87</f>
        <v>182244</v>
      </c>
      <c r="D111" s="127">
        <v>6</v>
      </c>
      <c r="E111" s="119" t="s">
        <v>2580</v>
      </c>
      <c r="F111" s="127"/>
      <c r="G111" s="128">
        <f>C111*D111</f>
        <v>1093464</v>
      </c>
      <c r="H111" s="119"/>
      <c r="I111" s="131">
        <v>191931</v>
      </c>
      <c r="J111" s="127">
        <v>8.75</v>
      </c>
      <c r="K111" s="119" t="s">
        <v>2580</v>
      </c>
      <c r="L111" s="127"/>
      <c r="M111" s="128">
        <v>1679396</v>
      </c>
      <c r="N111" s="128"/>
      <c r="O111" s="128">
        <v>527810</v>
      </c>
      <c r="P111" s="128"/>
      <c r="Q111" s="679">
        <v>0.45833311599999998</v>
      </c>
    </row>
    <row r="112" spans="1:17">
      <c r="A112" s="133" t="s">
        <v>2581</v>
      </c>
      <c r="B112" s="119"/>
      <c r="C112" s="125">
        <f>'C-8'!Q88</f>
        <v>0</v>
      </c>
      <c r="D112" s="127">
        <v>9.6</v>
      </c>
      <c r="E112" s="119" t="s">
        <v>2580</v>
      </c>
      <c r="F112" s="127"/>
      <c r="G112" s="128">
        <f>C112*D112</f>
        <v>0</v>
      </c>
      <c r="H112" s="119"/>
      <c r="I112" s="131">
        <v>0</v>
      </c>
      <c r="J112" s="127">
        <v>10</v>
      </c>
      <c r="K112" s="119" t="s">
        <v>2580</v>
      </c>
      <c r="L112" s="127"/>
      <c r="M112" s="128">
        <v>0</v>
      </c>
      <c r="N112" s="128"/>
      <c r="O112" s="128">
        <v>0</v>
      </c>
      <c r="P112" s="128"/>
      <c r="Q112" s="679">
        <v>0</v>
      </c>
    </row>
    <row r="113" spans="1:17">
      <c r="A113" s="133"/>
      <c r="B113" s="119"/>
      <c r="C113" s="125"/>
      <c r="D113" s="127"/>
      <c r="E113" s="119"/>
      <c r="F113" s="127"/>
      <c r="G113" s="128"/>
      <c r="H113" s="119"/>
      <c r="I113" s="125"/>
      <c r="J113" s="127"/>
      <c r="K113" s="119"/>
      <c r="L113" s="127"/>
      <c r="M113" s="128"/>
      <c r="N113" s="128"/>
      <c r="O113" s="119"/>
      <c r="P113" s="119"/>
      <c r="Q113" s="119"/>
    </row>
    <row r="114" spans="1:17">
      <c r="A114" s="119" t="s">
        <v>2558</v>
      </c>
      <c r="B114" s="119"/>
      <c r="C114" s="125"/>
      <c r="D114" s="132"/>
      <c r="E114" s="119"/>
      <c r="F114" s="119"/>
      <c r="G114" s="119"/>
      <c r="H114" s="119"/>
      <c r="I114" s="131"/>
      <c r="J114" s="132"/>
      <c r="K114" s="119"/>
      <c r="L114" s="119"/>
      <c r="M114" s="119"/>
      <c r="N114" s="119"/>
      <c r="O114" s="119"/>
      <c r="P114" s="119"/>
      <c r="Q114" s="119"/>
    </row>
    <row r="115" spans="1:17">
      <c r="A115" s="133" t="s">
        <v>2597</v>
      </c>
      <c r="B115" s="119"/>
      <c r="C115" s="125">
        <f>'C-8'!Q90</f>
        <v>59090240</v>
      </c>
      <c r="D115" s="134">
        <v>2.496E-2</v>
      </c>
      <c r="E115" s="135" t="s">
        <v>2560</v>
      </c>
      <c r="F115" s="119"/>
      <c r="G115" s="128">
        <f>C115*D115</f>
        <v>1474892.3903999999</v>
      </c>
      <c r="H115" s="119"/>
      <c r="I115" s="125">
        <v>81329554.870816812</v>
      </c>
      <c r="J115" s="134">
        <v>6.7500000000000004E-2</v>
      </c>
      <c r="K115" s="135" t="s">
        <v>2560</v>
      </c>
      <c r="L115" s="119"/>
      <c r="M115" s="128">
        <v>5489745</v>
      </c>
      <c r="N115" s="119"/>
      <c r="O115" s="128">
        <v>3459759</v>
      </c>
      <c r="P115" s="128"/>
      <c r="Q115" s="679">
        <v>1.7043265320000001</v>
      </c>
    </row>
    <row r="116" spans="1:17">
      <c r="A116" s="133" t="s">
        <v>2598</v>
      </c>
      <c r="B116" s="119"/>
      <c r="C116" s="125">
        <f>'C-8'!Q91</f>
        <v>0</v>
      </c>
      <c r="D116" s="135">
        <v>1.8960000000000001E-2</v>
      </c>
      <c r="E116" s="135" t="s">
        <v>2560</v>
      </c>
      <c r="F116" s="135"/>
      <c r="G116" s="128">
        <f>C116*D116</f>
        <v>0</v>
      </c>
      <c r="H116" s="119"/>
      <c r="I116" s="125">
        <v>0</v>
      </c>
      <c r="J116" s="132">
        <v>3.5000000000000003E-2</v>
      </c>
      <c r="K116" s="135" t="s">
        <v>2560</v>
      </c>
      <c r="L116" s="135"/>
      <c r="M116" s="128">
        <v>0</v>
      </c>
      <c r="N116" s="128"/>
      <c r="O116" s="128">
        <v>0</v>
      </c>
      <c r="P116" s="128"/>
      <c r="Q116" s="679">
        <v>0</v>
      </c>
    </row>
    <row r="117" spans="1:17" ht="13.5" thickBot="1">
      <c r="A117" s="136" t="s">
        <v>2599</v>
      </c>
      <c r="B117" s="137"/>
      <c r="C117" s="696">
        <f>SUM(C115:C116)</f>
        <v>59090240</v>
      </c>
      <c r="D117" s="697"/>
      <c r="E117" s="697"/>
      <c r="F117" s="697"/>
      <c r="G117" s="699">
        <f>SUM(G108:G116)</f>
        <v>2573756.3903999999</v>
      </c>
      <c r="H117" s="137"/>
      <c r="I117" s="138">
        <v>81329554.870816812</v>
      </c>
      <c r="J117" s="141"/>
      <c r="K117" s="139"/>
      <c r="L117" s="139"/>
      <c r="M117" s="140">
        <v>7181141</v>
      </c>
      <c r="N117" s="140"/>
      <c r="O117" s="140">
        <v>3994169</v>
      </c>
      <c r="P117" s="140"/>
      <c r="Q117" s="142">
        <v>1.2532802300000001</v>
      </c>
    </row>
    <row r="118" spans="1:17" ht="13.5" thickTop="1">
      <c r="A118" s="119"/>
      <c r="B118" s="119"/>
      <c r="C118" s="119"/>
      <c r="D118" s="119"/>
      <c r="E118" s="119"/>
      <c r="F118" s="119"/>
      <c r="G118" s="119"/>
      <c r="H118" s="119"/>
      <c r="I118" s="119"/>
      <c r="J118" s="119"/>
      <c r="K118" s="119"/>
      <c r="L118" s="119"/>
      <c r="M118" s="119"/>
      <c r="N118" s="119"/>
      <c r="O118" s="119"/>
      <c r="P118" s="119"/>
      <c r="Q118" s="119"/>
    </row>
    <row r="119" spans="1:17" s="321" customFormat="1">
      <c r="A119" s="680" t="s">
        <v>2600</v>
      </c>
      <c r="B119" s="680"/>
      <c r="C119" s="681"/>
      <c r="D119" s="681"/>
      <c r="E119" s="681"/>
      <c r="F119" s="681"/>
      <c r="G119" s="681"/>
      <c r="H119" s="681"/>
      <c r="I119" s="682"/>
      <c r="J119" s="681"/>
      <c r="K119" s="681"/>
      <c r="L119" s="681"/>
      <c r="M119" s="681"/>
      <c r="N119" s="681"/>
      <c r="O119" s="681"/>
      <c r="P119" s="681"/>
      <c r="Q119" s="681"/>
    </row>
    <row r="120" spans="1:17" s="321" customFormat="1">
      <c r="A120" s="681"/>
      <c r="B120" s="681"/>
      <c r="C120" s="681"/>
      <c r="D120" s="681"/>
      <c r="E120" s="681"/>
      <c r="F120" s="681"/>
      <c r="G120" s="681"/>
      <c r="H120" s="681"/>
      <c r="I120" s="682"/>
      <c r="J120" s="681"/>
      <c r="K120" s="681"/>
      <c r="L120" s="681"/>
      <c r="M120" s="681"/>
      <c r="N120" s="681"/>
      <c r="O120" s="681"/>
      <c r="P120" s="681"/>
      <c r="Q120" s="681"/>
    </row>
    <row r="121" spans="1:17" s="321" customFormat="1">
      <c r="A121" s="681" t="s">
        <v>2556</v>
      </c>
      <c r="B121" s="681"/>
      <c r="C121" s="683">
        <f>'C-8'!Q95</f>
        <v>1082</v>
      </c>
      <c r="D121" s="684">
        <v>10</v>
      </c>
      <c r="E121" s="681" t="s">
        <v>2557</v>
      </c>
      <c r="F121" s="685"/>
      <c r="G121" s="128">
        <f>C121*D121*12</f>
        <v>129840</v>
      </c>
      <c r="H121" s="681"/>
      <c r="I121" s="686">
        <v>1103</v>
      </c>
      <c r="J121" s="684">
        <v>21</v>
      </c>
      <c r="K121" s="681" t="s">
        <v>2557</v>
      </c>
      <c r="L121" s="685"/>
      <c r="M121" s="687">
        <v>277956</v>
      </c>
      <c r="N121" s="687"/>
      <c r="O121" s="687">
        <v>145596</v>
      </c>
      <c r="P121" s="687"/>
      <c r="Q121" s="688">
        <v>1.1000000000000001</v>
      </c>
    </row>
    <row r="122" spans="1:17" s="321" customFormat="1">
      <c r="A122" s="681"/>
      <c r="B122" s="681"/>
      <c r="C122" s="689"/>
      <c r="D122" s="690"/>
      <c r="E122" s="681"/>
      <c r="F122" s="681"/>
      <c r="G122" s="681"/>
      <c r="H122" s="681"/>
      <c r="I122" s="689"/>
      <c r="J122" s="690"/>
      <c r="K122" s="681"/>
      <c r="L122" s="681"/>
      <c r="M122" s="681"/>
      <c r="N122" s="681"/>
      <c r="O122" s="681"/>
      <c r="P122" s="681"/>
      <c r="Q122" s="681"/>
    </row>
    <row r="123" spans="1:17" s="321" customFormat="1">
      <c r="A123" s="681" t="s">
        <v>2558</v>
      </c>
      <c r="B123" s="681"/>
      <c r="C123" s="683"/>
      <c r="D123" s="690"/>
      <c r="E123" s="681"/>
      <c r="F123" s="681"/>
      <c r="G123" s="681"/>
      <c r="H123" s="681"/>
      <c r="I123" s="689"/>
      <c r="J123" s="690"/>
      <c r="K123" s="681"/>
      <c r="L123" s="681"/>
      <c r="M123" s="681"/>
      <c r="N123" s="681"/>
      <c r="O123" s="681"/>
      <c r="P123" s="681"/>
      <c r="Q123" s="681"/>
    </row>
    <row r="124" spans="1:17" s="321" customFormat="1">
      <c r="A124" s="691" t="s">
        <v>912</v>
      </c>
      <c r="B124" s="681"/>
      <c r="C124" s="683">
        <f>'C-8'!Q97</f>
        <v>23157847</v>
      </c>
      <c r="D124" s="692">
        <v>6.1789999999999998E-2</v>
      </c>
      <c r="E124" s="693" t="s">
        <v>2560</v>
      </c>
      <c r="F124" s="681"/>
      <c r="G124" s="128">
        <f>C124*D124</f>
        <v>1430923.36613</v>
      </c>
      <c r="H124" s="681"/>
      <c r="I124" s="683">
        <v>19515369.388357587</v>
      </c>
      <c r="J124" s="692">
        <v>8.5000000000000006E-2</v>
      </c>
      <c r="K124" s="693" t="s">
        <v>2560</v>
      </c>
      <c r="L124" s="681"/>
      <c r="M124" s="687">
        <v>1658806</v>
      </c>
      <c r="N124" s="681"/>
      <c r="O124" s="687">
        <v>452951</v>
      </c>
      <c r="P124" s="687"/>
      <c r="Q124" s="688">
        <v>0.37562642299999999</v>
      </c>
    </row>
    <row r="125" spans="1:17" s="321" customFormat="1" ht="13.5" thickBot="1">
      <c r="A125" s="694" t="s">
        <v>2601</v>
      </c>
      <c r="B125" s="695"/>
      <c r="C125" s="696">
        <f>C124</f>
        <v>23157847</v>
      </c>
      <c r="D125" s="697"/>
      <c r="E125" s="697"/>
      <c r="F125" s="697"/>
      <c r="G125" s="699">
        <f>SUM(G121:G124)</f>
        <v>1560763.36613</v>
      </c>
      <c r="H125" s="695"/>
      <c r="I125" s="696">
        <v>19515369.388357587</v>
      </c>
      <c r="J125" s="698"/>
      <c r="K125" s="697"/>
      <c r="L125" s="697"/>
      <c r="M125" s="699">
        <v>1936762</v>
      </c>
      <c r="N125" s="699"/>
      <c r="O125" s="699">
        <v>598547</v>
      </c>
      <c r="P125" s="699"/>
      <c r="Q125" s="700">
        <v>0.44727267300000001</v>
      </c>
    </row>
    <row r="126" spans="1:17" ht="13.5" thickTop="1">
      <c r="A126" s="166"/>
      <c r="B126" s="119"/>
      <c r="C126" s="125"/>
      <c r="D126" s="135"/>
      <c r="E126" s="135"/>
      <c r="F126" s="135"/>
      <c r="G126" s="128"/>
      <c r="H126" s="119"/>
      <c r="I126" s="125"/>
      <c r="J126" s="132"/>
      <c r="K126" s="135"/>
      <c r="L126" s="135"/>
      <c r="M126" s="128"/>
      <c r="N126" s="128"/>
      <c r="O126" s="128"/>
      <c r="P126" s="128"/>
      <c r="Q126" s="679"/>
    </row>
    <row r="127" spans="1:17">
      <c r="A127" s="123" t="s">
        <v>2602</v>
      </c>
      <c r="B127" s="123"/>
      <c r="C127" s="119"/>
      <c r="D127" s="119"/>
      <c r="E127" s="119"/>
      <c r="F127" s="119"/>
      <c r="G127" s="119"/>
      <c r="H127" s="119"/>
      <c r="I127" s="124"/>
      <c r="J127" s="119"/>
      <c r="K127" s="119"/>
      <c r="L127" s="119"/>
      <c r="M127" s="119"/>
      <c r="N127" s="119"/>
      <c r="O127" s="119"/>
      <c r="P127" s="119"/>
      <c r="Q127" s="119"/>
    </row>
    <row r="128" spans="1:17">
      <c r="A128" s="119"/>
      <c r="B128" s="119"/>
      <c r="C128" s="119"/>
      <c r="D128" s="119"/>
      <c r="E128" s="119"/>
      <c r="F128" s="119"/>
      <c r="G128" s="119"/>
      <c r="H128" s="119"/>
      <c r="I128" s="124"/>
      <c r="J128" s="119"/>
      <c r="K128" s="119"/>
      <c r="L128" s="119"/>
      <c r="M128" s="119"/>
      <c r="N128" s="119"/>
      <c r="O128" s="119"/>
      <c r="P128" s="119"/>
      <c r="Q128" s="119"/>
    </row>
    <row r="129" spans="1:17">
      <c r="A129" s="119" t="s">
        <v>2556</v>
      </c>
      <c r="B129" s="119"/>
      <c r="C129" s="125">
        <f>'C-8'!Q101</f>
        <v>2465</v>
      </c>
      <c r="D129" s="126">
        <v>5</v>
      </c>
      <c r="E129" s="119" t="s">
        <v>2557</v>
      </c>
      <c r="F129" s="127"/>
      <c r="G129" s="128">
        <f>C129*D129*12</f>
        <v>147900</v>
      </c>
      <c r="H129" s="119"/>
      <c r="I129" s="678">
        <v>48</v>
      </c>
      <c r="J129" s="126">
        <v>15</v>
      </c>
      <c r="K129" s="119" t="s">
        <v>2557</v>
      </c>
      <c r="L129" s="127"/>
      <c r="M129" s="128">
        <v>8640</v>
      </c>
      <c r="N129" s="128"/>
      <c r="O129" s="128">
        <v>5760</v>
      </c>
      <c r="P129" s="128"/>
      <c r="Q129" s="679">
        <v>2</v>
      </c>
    </row>
    <row r="130" spans="1:17">
      <c r="A130" s="119"/>
      <c r="B130" s="119"/>
      <c r="C130" s="131"/>
      <c r="D130" s="132"/>
      <c r="E130" s="119"/>
      <c r="F130" s="119"/>
      <c r="G130" s="119"/>
      <c r="H130" s="119"/>
      <c r="I130" s="131"/>
      <c r="J130" s="132"/>
      <c r="K130" s="119"/>
      <c r="L130" s="119"/>
      <c r="M130" s="119"/>
      <c r="N130" s="119"/>
      <c r="O130" s="119"/>
      <c r="P130" s="119"/>
      <c r="Q130" s="119"/>
    </row>
    <row r="131" spans="1:17">
      <c r="A131" s="119" t="s">
        <v>2558</v>
      </c>
      <c r="B131" s="119"/>
      <c r="C131" s="125"/>
      <c r="D131" s="132"/>
      <c r="E131" s="119"/>
      <c r="F131" s="119"/>
      <c r="G131" s="119"/>
      <c r="H131" s="119"/>
      <c r="I131" s="131"/>
      <c r="J131" s="132"/>
      <c r="K131" s="119"/>
      <c r="L131" s="119"/>
      <c r="M131" s="119"/>
      <c r="N131" s="119"/>
      <c r="O131" s="119"/>
      <c r="P131" s="119"/>
      <c r="Q131" s="119"/>
    </row>
    <row r="132" spans="1:17">
      <c r="A132" s="133" t="s">
        <v>2603</v>
      </c>
      <c r="B132" s="119"/>
      <c r="C132" s="125">
        <f>'C-8'!Q103</f>
        <v>0</v>
      </c>
      <c r="D132" s="134">
        <v>8.4489999999999996E-2</v>
      </c>
      <c r="E132" s="135" t="s">
        <v>2557</v>
      </c>
      <c r="F132" s="119"/>
      <c r="G132" s="128">
        <f>C132*D132</f>
        <v>0</v>
      </c>
      <c r="H132" s="119"/>
      <c r="I132" s="125">
        <v>0</v>
      </c>
      <c r="J132" s="134">
        <v>0.125</v>
      </c>
      <c r="K132" s="135" t="s">
        <v>2560</v>
      </c>
      <c r="L132" s="119"/>
      <c r="M132" s="128">
        <v>0</v>
      </c>
      <c r="N132" s="119"/>
      <c r="O132" s="128">
        <v>0</v>
      </c>
      <c r="P132" s="128"/>
      <c r="Q132" s="679">
        <v>0</v>
      </c>
    </row>
    <row r="133" spans="1:17">
      <c r="A133" s="133" t="s">
        <v>2604</v>
      </c>
      <c r="B133" s="119"/>
      <c r="C133" s="125">
        <f>'C-8'!Q104</f>
        <v>0</v>
      </c>
      <c r="D133" s="135">
        <v>0</v>
      </c>
      <c r="E133" s="135" t="s">
        <v>2557</v>
      </c>
      <c r="F133" s="135"/>
      <c r="G133" s="128">
        <f>C133*D133</f>
        <v>0</v>
      </c>
      <c r="H133" s="119"/>
      <c r="I133" s="125">
        <v>0</v>
      </c>
      <c r="J133" s="132">
        <v>0</v>
      </c>
      <c r="K133" s="135" t="s">
        <v>2560</v>
      </c>
      <c r="L133" s="135"/>
      <c r="M133" s="128">
        <v>0</v>
      </c>
      <c r="N133" s="128"/>
      <c r="O133" s="128">
        <v>0</v>
      </c>
      <c r="P133" s="128"/>
      <c r="Q133" s="679">
        <v>0</v>
      </c>
    </row>
    <row r="134" spans="1:17">
      <c r="A134" s="133" t="s">
        <v>2605</v>
      </c>
      <c r="B134" s="119"/>
      <c r="C134" s="125">
        <f>'C-8'!Q105</f>
        <v>16455131.999999998</v>
      </c>
      <c r="D134" s="135">
        <v>8.4489999999999996E-2</v>
      </c>
      <c r="E134" s="135" t="s">
        <v>2560</v>
      </c>
      <c r="F134" s="135"/>
      <c r="G134" s="128">
        <f>C134*D134</f>
        <v>1390294.1026799998</v>
      </c>
      <c r="H134" s="119"/>
      <c r="I134" s="125">
        <v>16455131.999999998</v>
      </c>
      <c r="J134" s="132">
        <v>0.125</v>
      </c>
      <c r="K134" s="135" t="s">
        <v>2560</v>
      </c>
      <c r="L134" s="135"/>
      <c r="M134" s="128">
        <v>2056892</v>
      </c>
      <c r="N134" s="128"/>
      <c r="O134" s="128">
        <v>666598</v>
      </c>
      <c r="P134" s="128"/>
      <c r="Q134" s="679">
        <v>0.47946549399999999</v>
      </c>
    </row>
    <row r="135" spans="1:17" ht="13.5" thickBot="1">
      <c r="A135" s="136" t="s">
        <v>2606</v>
      </c>
      <c r="B135" s="137"/>
      <c r="C135" s="138">
        <f>SUM(C132:C134)</f>
        <v>16455131.999999998</v>
      </c>
      <c r="D135" s="139"/>
      <c r="E135" s="139"/>
      <c r="F135" s="139"/>
      <c r="G135" s="140">
        <f>SUM(G129:G134)</f>
        <v>1538194.1026799998</v>
      </c>
      <c r="H135" s="137"/>
      <c r="I135" s="138">
        <v>16455131.999999998</v>
      </c>
      <c r="J135" s="141"/>
      <c r="K135" s="139"/>
      <c r="L135" s="139"/>
      <c r="M135" s="140">
        <v>2065532</v>
      </c>
      <c r="N135" s="140"/>
      <c r="O135" s="140">
        <v>672358</v>
      </c>
      <c r="P135" s="140"/>
      <c r="Q135" s="142">
        <v>0.48260877699999999</v>
      </c>
    </row>
    <row r="136" spans="1:17" ht="13.5" thickTop="1">
      <c r="A136" s="119"/>
      <c r="B136" s="119"/>
      <c r="C136" s="119"/>
      <c r="D136" s="119"/>
      <c r="E136" s="119"/>
      <c r="F136" s="119"/>
      <c r="G136" s="119"/>
      <c r="H136" s="119"/>
      <c r="I136" s="124"/>
      <c r="J136" s="119"/>
      <c r="K136" s="119"/>
      <c r="L136" s="119"/>
      <c r="M136" s="119"/>
      <c r="N136" s="119"/>
      <c r="O136" s="119"/>
      <c r="P136" s="119"/>
      <c r="Q136" s="119"/>
    </row>
    <row r="137" spans="1:17">
      <c r="A137" s="123" t="s">
        <v>2607</v>
      </c>
      <c r="B137" s="123"/>
      <c r="C137" s="119"/>
      <c r="D137" s="119"/>
      <c r="E137" s="119"/>
      <c r="F137" s="119"/>
      <c r="G137" s="119"/>
      <c r="H137" s="119"/>
      <c r="I137" s="124"/>
      <c r="J137" s="119"/>
      <c r="K137" s="119"/>
      <c r="L137" s="119"/>
      <c r="M137" s="119"/>
      <c r="N137" s="119"/>
      <c r="O137" s="119"/>
      <c r="P137" s="119"/>
      <c r="Q137" s="119"/>
    </row>
    <row r="138" spans="1:17">
      <c r="A138" s="119"/>
      <c r="B138" s="119"/>
      <c r="C138" s="119"/>
      <c r="D138" s="119"/>
      <c r="E138" s="119"/>
      <c r="F138" s="119"/>
      <c r="G138" s="119"/>
      <c r="H138" s="119"/>
      <c r="I138" s="124"/>
      <c r="J138" s="119"/>
      <c r="K138" s="119"/>
      <c r="L138" s="119"/>
      <c r="M138" s="119"/>
      <c r="N138" s="119"/>
      <c r="O138" s="119"/>
      <c r="P138" s="119"/>
      <c r="Q138" s="119"/>
    </row>
    <row r="139" spans="1:17">
      <c r="A139" s="119" t="s">
        <v>2556</v>
      </c>
      <c r="B139" s="119"/>
      <c r="C139" s="125">
        <f>'C-8'!Q109</f>
        <v>923</v>
      </c>
      <c r="D139" s="126">
        <v>4.5999999999999996</v>
      </c>
      <c r="E139" s="119" t="s">
        <v>2557</v>
      </c>
      <c r="F139" s="127"/>
      <c r="G139" s="128">
        <f>C139*D139*12</f>
        <v>50949.599999999991</v>
      </c>
      <c r="H139" s="119"/>
      <c r="I139" s="678">
        <v>223</v>
      </c>
      <c r="J139" s="126">
        <v>15</v>
      </c>
      <c r="K139" s="119" t="s">
        <v>2557</v>
      </c>
      <c r="L139" s="127"/>
      <c r="M139" s="128">
        <v>40140</v>
      </c>
      <c r="N139" s="128"/>
      <c r="O139" s="128">
        <v>27830</v>
      </c>
      <c r="P139" s="128"/>
      <c r="Q139" s="679">
        <v>2.2607636069999999</v>
      </c>
    </row>
    <row r="140" spans="1:17">
      <c r="A140" s="119"/>
      <c r="B140" s="119"/>
      <c r="C140" s="131"/>
      <c r="D140" s="132"/>
      <c r="E140" s="119"/>
      <c r="F140" s="119"/>
      <c r="G140" s="119"/>
      <c r="H140" s="119"/>
      <c r="I140" s="131"/>
      <c r="J140" s="132"/>
      <c r="K140" s="119"/>
      <c r="L140" s="119"/>
      <c r="M140" s="119"/>
      <c r="N140" s="119"/>
      <c r="O140" s="119"/>
      <c r="P140" s="119"/>
      <c r="Q140" s="119"/>
    </row>
    <row r="141" spans="1:17">
      <c r="A141" s="119" t="s">
        <v>2558</v>
      </c>
      <c r="B141" s="119"/>
      <c r="C141" s="125"/>
      <c r="D141" s="132"/>
      <c r="E141" s="119"/>
      <c r="F141" s="119"/>
      <c r="G141" s="119"/>
      <c r="H141" s="119"/>
      <c r="I141" s="131"/>
      <c r="J141" s="132"/>
      <c r="K141" s="119"/>
      <c r="L141" s="119"/>
      <c r="M141" s="119"/>
      <c r="N141" s="119"/>
      <c r="O141" s="119"/>
      <c r="P141" s="119"/>
      <c r="Q141" s="119"/>
    </row>
    <row r="142" spans="1:17">
      <c r="A142" s="133" t="s">
        <v>912</v>
      </c>
      <c r="B142" s="119"/>
      <c r="C142" s="125">
        <f>'C-8'!Q111</f>
        <v>153660</v>
      </c>
      <c r="D142" s="134">
        <v>8.4489999999999996E-2</v>
      </c>
      <c r="E142" s="135" t="s">
        <v>2560</v>
      </c>
      <c r="F142" s="119"/>
      <c r="G142" s="128">
        <f>C142*D142</f>
        <v>12982.733399999999</v>
      </c>
      <c r="H142" s="119"/>
      <c r="I142" s="125">
        <v>153660</v>
      </c>
      <c r="J142" s="134">
        <v>0.125</v>
      </c>
      <c r="K142" s="135" t="s">
        <v>2560</v>
      </c>
      <c r="L142" s="119"/>
      <c r="M142" s="128">
        <v>19208</v>
      </c>
      <c r="N142" s="119"/>
      <c r="O142" s="128">
        <v>6225</v>
      </c>
      <c r="P142" s="128"/>
      <c r="Q142" s="679">
        <v>0.47947315699999998</v>
      </c>
    </row>
    <row r="143" spans="1:17" ht="13.5" thickBot="1">
      <c r="A143" s="136" t="s">
        <v>2608</v>
      </c>
      <c r="B143" s="137"/>
      <c r="C143" s="138">
        <f>C142</f>
        <v>153660</v>
      </c>
      <c r="D143" s="139"/>
      <c r="E143" s="139"/>
      <c r="F143" s="139"/>
      <c r="G143" s="167">
        <f>SUM(G139:G142)</f>
        <v>63932.333399999989</v>
      </c>
      <c r="H143" s="137"/>
      <c r="I143" s="138">
        <v>153660</v>
      </c>
      <c r="J143" s="141"/>
      <c r="K143" s="139"/>
      <c r="L143" s="139"/>
      <c r="M143" s="140">
        <v>59348</v>
      </c>
      <c r="N143" s="140"/>
      <c r="O143" s="140">
        <v>34055</v>
      </c>
      <c r="P143" s="140"/>
      <c r="Q143" s="142">
        <v>1.346419958</v>
      </c>
    </row>
    <row r="144" spans="1:17" ht="13.5" thickTop="1">
      <c r="A144" s="166"/>
      <c r="B144" s="119"/>
      <c r="C144" s="125"/>
      <c r="D144" s="135"/>
      <c r="E144" s="135"/>
      <c r="F144" s="135"/>
      <c r="G144" s="128"/>
      <c r="H144" s="119"/>
      <c r="I144" s="125"/>
      <c r="J144" s="132"/>
      <c r="K144" s="135"/>
      <c r="L144" s="135"/>
      <c r="M144" s="128"/>
      <c r="N144" s="128"/>
      <c r="O144" s="128"/>
      <c r="P144" s="128"/>
      <c r="Q144" s="679"/>
    </row>
    <row r="145" spans="1:17">
      <c r="A145" s="123" t="s">
        <v>2609</v>
      </c>
      <c r="B145" s="123"/>
      <c r="C145" s="119"/>
      <c r="D145" s="119"/>
      <c r="E145" s="119"/>
      <c r="F145" s="119"/>
      <c r="G145" s="119"/>
      <c r="H145" s="119"/>
      <c r="I145" s="124"/>
      <c r="J145" s="119"/>
      <c r="K145" s="119"/>
      <c r="L145" s="119"/>
      <c r="M145" s="119"/>
      <c r="N145" s="119"/>
      <c r="O145" s="119"/>
      <c r="P145" s="119"/>
      <c r="Q145" s="119"/>
    </row>
    <row r="146" spans="1:17">
      <c r="A146" s="119"/>
      <c r="B146" s="119"/>
      <c r="C146" s="119"/>
      <c r="D146" s="119"/>
      <c r="E146" s="119"/>
      <c r="F146" s="119"/>
      <c r="G146" s="119"/>
      <c r="H146" s="119"/>
      <c r="I146" s="124"/>
      <c r="J146" s="119"/>
      <c r="K146" s="119"/>
      <c r="L146" s="119"/>
      <c r="M146" s="119"/>
      <c r="N146" s="119"/>
      <c r="O146" s="119"/>
      <c r="P146" s="119"/>
      <c r="Q146" s="119"/>
    </row>
    <row r="147" spans="1:17">
      <c r="A147" s="119" t="s">
        <v>2556</v>
      </c>
      <c r="B147" s="119"/>
      <c r="C147" s="125">
        <f>'C-8'!Q115</f>
        <v>2</v>
      </c>
      <c r="D147" s="126">
        <v>521.67999999999995</v>
      </c>
      <c r="E147" s="119" t="s">
        <v>2557</v>
      </c>
      <c r="F147" s="127"/>
      <c r="G147" s="128">
        <f>C147*D147</f>
        <v>1043.3599999999999</v>
      </c>
      <c r="H147" s="119"/>
      <c r="I147" s="678">
        <v>2</v>
      </c>
      <c r="J147" s="126">
        <v>1750</v>
      </c>
      <c r="K147" s="119" t="s">
        <v>2557</v>
      </c>
      <c r="L147" s="127"/>
      <c r="M147" s="128">
        <v>42000</v>
      </c>
      <c r="N147" s="128"/>
      <c r="O147" s="128">
        <v>29480</v>
      </c>
      <c r="P147" s="128"/>
      <c r="Q147" s="679">
        <v>2.3546325879999999</v>
      </c>
    </row>
    <row r="148" spans="1:17">
      <c r="A148" s="119"/>
      <c r="B148" s="119"/>
      <c r="C148" s="131"/>
      <c r="D148" s="132"/>
      <c r="E148" s="119"/>
      <c r="F148" s="119"/>
      <c r="G148" s="119"/>
      <c r="H148" s="119"/>
      <c r="I148" s="131"/>
      <c r="J148" s="132"/>
      <c r="K148" s="119"/>
      <c r="L148" s="119"/>
      <c r="M148" s="119"/>
      <c r="N148" s="119"/>
      <c r="O148" s="119"/>
      <c r="P148" s="119"/>
      <c r="Q148" s="119"/>
    </row>
    <row r="149" spans="1:17">
      <c r="A149" s="119" t="s">
        <v>2578</v>
      </c>
      <c r="B149" s="119"/>
      <c r="C149" s="131"/>
      <c r="D149" s="132"/>
      <c r="E149" s="119"/>
      <c r="F149" s="119"/>
      <c r="G149" s="119"/>
      <c r="H149" s="119"/>
      <c r="I149" s="678"/>
      <c r="J149" s="132"/>
      <c r="K149" s="119"/>
      <c r="L149" s="119"/>
      <c r="M149" s="119"/>
      <c r="N149" s="119"/>
      <c r="O149" s="119"/>
      <c r="P149" s="119"/>
      <c r="Q149" s="119"/>
    </row>
    <row r="150" spans="1:17">
      <c r="A150" s="133" t="s">
        <v>2579</v>
      </c>
      <c r="B150" s="119"/>
      <c r="C150" s="125">
        <f>'C-8'!Q117</f>
        <v>119017.87941551948</v>
      </c>
      <c r="D150" s="127">
        <v>8.58</v>
      </c>
      <c r="E150" s="119" t="s">
        <v>2580</v>
      </c>
      <c r="F150" s="127"/>
      <c r="G150" s="128">
        <f>C150*D150</f>
        <v>1021173.4053851571</v>
      </c>
      <c r="H150" s="119"/>
      <c r="I150" s="131">
        <v>0</v>
      </c>
      <c r="J150" s="127">
        <v>8.58</v>
      </c>
      <c r="K150" s="119" t="s">
        <v>2580</v>
      </c>
      <c r="L150" s="127"/>
      <c r="M150" s="128">
        <v>0</v>
      </c>
      <c r="N150" s="128"/>
      <c r="O150" s="128">
        <v>0</v>
      </c>
      <c r="P150" s="128"/>
      <c r="Q150" s="679">
        <v>0</v>
      </c>
    </row>
    <row r="151" spans="1:17">
      <c r="A151" s="133" t="s">
        <v>2581</v>
      </c>
      <c r="B151" s="119"/>
      <c r="C151" s="125">
        <f>'C-8'!Q118</f>
        <v>0</v>
      </c>
      <c r="D151" s="127">
        <v>11.59</v>
      </c>
      <c r="E151" s="119" t="s">
        <v>2580</v>
      </c>
      <c r="F151" s="127"/>
      <c r="G151" s="128">
        <f>C151*D151</f>
        <v>0</v>
      </c>
      <c r="H151" s="119"/>
      <c r="I151" s="131">
        <v>0</v>
      </c>
      <c r="J151" s="127">
        <v>11.59</v>
      </c>
      <c r="K151" s="119" t="s">
        <v>2580</v>
      </c>
      <c r="L151" s="127"/>
      <c r="M151" s="128">
        <v>0</v>
      </c>
      <c r="N151" s="128"/>
      <c r="O151" s="128">
        <v>0</v>
      </c>
      <c r="P151" s="128"/>
      <c r="Q151" s="679">
        <v>0</v>
      </c>
    </row>
    <row r="152" spans="1:17">
      <c r="A152" s="133"/>
      <c r="B152" s="119"/>
      <c r="C152" s="125"/>
      <c r="D152" s="127"/>
      <c r="E152" s="119"/>
      <c r="F152" s="127"/>
      <c r="G152" s="128"/>
      <c r="H152" s="119"/>
      <c r="I152" s="125"/>
      <c r="J152" s="127"/>
      <c r="K152" s="119"/>
      <c r="L152" s="127"/>
      <c r="M152" s="128"/>
      <c r="N152" s="128"/>
      <c r="O152" s="119"/>
      <c r="P152" s="119"/>
      <c r="Q152" s="119"/>
    </row>
    <row r="153" spans="1:17">
      <c r="A153" s="119" t="s">
        <v>2558</v>
      </c>
      <c r="B153" s="119"/>
      <c r="C153" s="125"/>
      <c r="D153" s="132"/>
      <c r="E153" s="119"/>
      <c r="F153" s="119"/>
      <c r="G153" s="119"/>
      <c r="H153" s="119"/>
      <c r="I153" s="131"/>
      <c r="J153" s="132"/>
      <c r="K153" s="119"/>
      <c r="L153" s="119"/>
      <c r="M153" s="119"/>
      <c r="N153" s="119"/>
      <c r="O153" s="119"/>
      <c r="P153" s="119"/>
      <c r="Q153" s="119"/>
    </row>
    <row r="154" spans="1:17">
      <c r="A154" s="133" t="s">
        <v>912</v>
      </c>
      <c r="B154" s="119"/>
      <c r="C154" s="125">
        <f>'C-8'!Q120</f>
        <v>4043480</v>
      </c>
      <c r="D154" s="134">
        <v>2.811E-2</v>
      </c>
      <c r="E154" s="135" t="s">
        <v>2560</v>
      </c>
      <c r="F154" s="119"/>
      <c r="G154" s="128">
        <f>C154*D154</f>
        <v>113662.2228</v>
      </c>
      <c r="H154" s="119"/>
      <c r="I154" s="125">
        <v>698242.00885200687</v>
      </c>
      <c r="J154" s="134">
        <v>4.5999999999999999E-2</v>
      </c>
      <c r="K154" s="135" t="s">
        <v>2560</v>
      </c>
      <c r="L154" s="119"/>
      <c r="M154" s="128">
        <v>32119</v>
      </c>
      <c r="N154" s="119"/>
      <c r="O154" s="128">
        <v>12491</v>
      </c>
      <c r="P154" s="128"/>
      <c r="Q154" s="679">
        <v>0.63638679399999998</v>
      </c>
    </row>
    <row r="155" spans="1:17" ht="13.5" thickBot="1">
      <c r="A155" s="136" t="s">
        <v>2610</v>
      </c>
      <c r="B155" s="137"/>
      <c r="C155" s="138">
        <f>C154</f>
        <v>4043480</v>
      </c>
      <c r="D155" s="139"/>
      <c r="E155" s="139"/>
      <c r="F155" s="139"/>
      <c r="G155" s="140">
        <f>SUM(G147:G154)</f>
        <v>1135878.9881851571</v>
      </c>
      <c r="H155" s="137"/>
      <c r="I155" s="138">
        <v>698242.00885200687</v>
      </c>
      <c r="J155" s="141"/>
      <c r="K155" s="139"/>
      <c r="L155" s="139"/>
      <c r="M155" s="140">
        <v>74119</v>
      </c>
      <c r="N155" s="140"/>
      <c r="O155" s="140">
        <v>41971</v>
      </c>
      <c r="P155" s="140"/>
      <c r="Q155" s="142">
        <v>1.3055555560000001</v>
      </c>
    </row>
    <row r="156" spans="1:17" ht="13.5" thickTop="1"/>
    <row r="157" spans="1:17" hidden="1">
      <c r="A157" s="318" t="s">
        <v>2611</v>
      </c>
      <c r="C157" s="678">
        <v>14122464598.765182</v>
      </c>
      <c r="G157" s="320">
        <v>1004731882</v>
      </c>
      <c r="M157" s="320">
        <v>1604697840</v>
      </c>
      <c r="O157" s="320">
        <v>-599965958</v>
      </c>
    </row>
    <row r="159" spans="1:17">
      <c r="G159" s="320"/>
    </row>
  </sheetData>
  <conditionalFormatting sqref="I6:I7">
    <cfRule type="cellIs" dxfId="248" priority="70" operator="equal">
      <formula>C6</formula>
    </cfRule>
  </conditionalFormatting>
  <conditionalFormatting sqref="I15:I16">
    <cfRule type="cellIs" dxfId="247" priority="68" operator="equal">
      <formula>C15</formula>
    </cfRule>
  </conditionalFormatting>
  <conditionalFormatting sqref="I24:I25">
    <cfRule type="cellIs" dxfId="246" priority="66" operator="equal">
      <formula>C24</formula>
    </cfRule>
  </conditionalFormatting>
  <conditionalFormatting sqref="I33:I34">
    <cfRule type="cellIs" dxfId="245" priority="64" operator="equal">
      <formula>C33</formula>
    </cfRule>
  </conditionalFormatting>
  <conditionalFormatting sqref="I46:I47">
    <cfRule type="cellIs" dxfId="244" priority="60" operator="equal">
      <formula>C46</formula>
    </cfRule>
  </conditionalFormatting>
  <conditionalFormatting sqref="I54:I55">
    <cfRule type="cellIs" dxfId="243" priority="58" operator="equal">
      <formula>C54</formula>
    </cfRule>
  </conditionalFormatting>
  <conditionalFormatting sqref="I61">
    <cfRule type="cellIs" dxfId="242" priority="72" operator="equal">
      <formula>C61</formula>
    </cfRule>
  </conditionalFormatting>
  <conditionalFormatting sqref="I67:I68">
    <cfRule type="cellIs" dxfId="241" priority="55" operator="equal">
      <formula>C67</formula>
    </cfRule>
  </conditionalFormatting>
  <conditionalFormatting sqref="I74">
    <cfRule type="cellIs" dxfId="240" priority="57" operator="equal">
      <formula>C74</formula>
    </cfRule>
  </conditionalFormatting>
  <conditionalFormatting sqref="I80:I81">
    <cfRule type="cellIs" dxfId="239" priority="52" operator="equal">
      <formula>C80</formula>
    </cfRule>
  </conditionalFormatting>
  <conditionalFormatting sqref="I87">
    <cfRule type="cellIs" dxfId="238" priority="54" operator="equal">
      <formula>C87</formula>
    </cfRule>
  </conditionalFormatting>
  <conditionalFormatting sqref="I93:I94">
    <cfRule type="cellIs" dxfId="237" priority="49" operator="equal">
      <formula>C93</formula>
    </cfRule>
  </conditionalFormatting>
  <conditionalFormatting sqref="I100">
    <cfRule type="cellIs" dxfId="236" priority="51" operator="equal">
      <formula>C100</formula>
    </cfRule>
  </conditionalFormatting>
  <conditionalFormatting sqref="I106:I107">
    <cfRule type="cellIs" dxfId="235" priority="46" operator="equal">
      <formula>C106</formula>
    </cfRule>
  </conditionalFormatting>
  <conditionalFormatting sqref="I113">
    <cfRule type="cellIs" dxfId="234" priority="48" operator="equal">
      <formula>C113</formula>
    </cfRule>
  </conditionalFormatting>
  <conditionalFormatting sqref="I119:I120">
    <cfRule type="cellIs" dxfId="233" priority="43" operator="equal">
      <formula>C119</formula>
    </cfRule>
  </conditionalFormatting>
  <conditionalFormatting sqref="I127:I128">
    <cfRule type="cellIs" dxfId="232" priority="40" operator="equal">
      <formula>C127</formula>
    </cfRule>
  </conditionalFormatting>
  <conditionalFormatting sqref="I136:I138">
    <cfRule type="cellIs" dxfId="231" priority="35" operator="equal">
      <formula>C136</formula>
    </cfRule>
  </conditionalFormatting>
  <conditionalFormatting sqref="I145:I146">
    <cfRule type="cellIs" dxfId="230" priority="32" operator="equal">
      <formula>C145</formula>
    </cfRule>
  </conditionalFormatting>
  <conditionalFormatting sqref="I152">
    <cfRule type="cellIs" dxfId="229" priority="30" operator="equal">
      <formula>C152</formula>
    </cfRule>
  </conditionalFormatting>
  <conditionalFormatting sqref="I36:L38">
    <cfRule type="expression" dxfId="228" priority="63">
      <formula>HideProposed</formula>
    </cfRule>
  </conditionalFormatting>
  <conditionalFormatting sqref="I41:L43">
    <cfRule type="expression" dxfId="227" priority="62">
      <formula>HideProposed</formula>
    </cfRule>
  </conditionalFormatting>
  <conditionalFormatting sqref="I48:L48">
    <cfRule type="expression" dxfId="226" priority="59">
      <formula>HideProposed</formula>
    </cfRule>
  </conditionalFormatting>
  <conditionalFormatting sqref="I121:L121">
    <cfRule type="expression" dxfId="225" priority="42">
      <formula>HideProposed</formula>
    </cfRule>
  </conditionalFormatting>
  <conditionalFormatting sqref="I132:L134">
    <cfRule type="expression" dxfId="224" priority="39">
      <formula>HideProposed</formula>
    </cfRule>
  </conditionalFormatting>
  <conditionalFormatting sqref="I139:L139">
    <cfRule type="expression" dxfId="223" priority="37">
      <formula>HideProposed</formula>
    </cfRule>
  </conditionalFormatting>
  <conditionalFormatting sqref="I147:L147">
    <cfRule type="expression" dxfId="222" priority="31">
      <formula>HideProposed</formula>
    </cfRule>
  </conditionalFormatting>
  <conditionalFormatting sqref="I154:L154 J155:L155">
    <cfRule type="expression" dxfId="221" priority="34">
      <formula>HideProposed</formula>
    </cfRule>
  </conditionalFormatting>
  <conditionalFormatting sqref="I5:Q7 I8:L8 N8:Q8 I9:Q10 I11:L12 N11:Q12 J13:Q13 I49:Q50 I51:L51 N51:Q52 J52:L52 I53:Q55 I56:L56 N56:Q56 I57:Q58 I59:L60 N59:Q60 I61:Q62 I63:L64 N63:Q64 J65:Q65">
    <cfRule type="expression" dxfId="220" priority="71">
      <formula>HideProposed</formula>
    </cfRule>
  </conditionalFormatting>
  <conditionalFormatting sqref="I14:Q16 I17:L17 I18:Q19 I20:L21 J22:Q22">
    <cfRule type="expression" dxfId="219" priority="69">
      <formula>HideProposed</formula>
    </cfRule>
  </conditionalFormatting>
  <conditionalFormatting sqref="I23:Q25 I26:L26 I27:Q28 I29:L30 J31:Q31">
    <cfRule type="expression" dxfId="218" priority="67">
      <formula>HideProposed</formula>
    </cfRule>
  </conditionalFormatting>
  <conditionalFormatting sqref="I32:Q35 I39:Q40 J44:L44">
    <cfRule type="expression" dxfId="217" priority="65">
      <formula>HideProposed</formula>
    </cfRule>
  </conditionalFormatting>
  <conditionalFormatting sqref="I45:Q47">
    <cfRule type="expression" dxfId="216" priority="61">
      <formula>HideProposed</formula>
    </cfRule>
  </conditionalFormatting>
  <conditionalFormatting sqref="I66:Q68 I69:L69 I70:Q71 I72:L73 I74:Q75 I76:L77 J78:Q78">
    <cfRule type="expression" dxfId="215" priority="56">
      <formula>HideProposed</formula>
    </cfRule>
  </conditionalFormatting>
  <conditionalFormatting sqref="I79:Q81 I82:L82 I83:Q84 I85:L86 I87:Q88 I89:L90 J91:Q91">
    <cfRule type="expression" dxfId="214" priority="53">
      <formula>HideProposed</formula>
    </cfRule>
  </conditionalFormatting>
  <conditionalFormatting sqref="I92:Q94 I95:L95 I96:Q97 I98:L99 I100:Q101 I102:L103 J104:Q104">
    <cfRule type="expression" dxfId="213" priority="50">
      <formula>HideProposed</formula>
    </cfRule>
  </conditionalFormatting>
  <conditionalFormatting sqref="I105:Q107 I108:L108 I109:Q110 I111:L112 I113:Q114 I115:L116 J117:Q117">
    <cfRule type="expression" dxfId="212" priority="47">
      <formula>HideProposed</formula>
    </cfRule>
  </conditionalFormatting>
  <conditionalFormatting sqref="I118:Q120">
    <cfRule type="expression" dxfId="211" priority="44">
      <formula>HideProposed</formula>
    </cfRule>
  </conditionalFormatting>
  <conditionalFormatting sqref="I122:Q123 I124:L124 J125:L125">
    <cfRule type="expression" dxfId="210" priority="45">
      <formula>HideProposed</formula>
    </cfRule>
  </conditionalFormatting>
  <conditionalFormatting sqref="I126:Q128 I129:L129 I130:Q131 J135:L135">
    <cfRule type="expression" dxfId="209" priority="41">
      <formula>HideProposed</formula>
    </cfRule>
  </conditionalFormatting>
  <conditionalFormatting sqref="I136:Q138">
    <cfRule type="expression" dxfId="208" priority="36">
      <formula>HideProposed</formula>
    </cfRule>
  </conditionalFormatting>
  <conditionalFormatting sqref="I140:Q141 I142:L142 J143:L143">
    <cfRule type="expression" dxfId="207" priority="38">
      <formula>HideProposed</formula>
    </cfRule>
  </conditionalFormatting>
  <conditionalFormatting sqref="I144:Q146">
    <cfRule type="expression" dxfId="206" priority="33">
      <formula>HideProposed</formula>
    </cfRule>
  </conditionalFormatting>
  <conditionalFormatting sqref="I148:Q149 I150:L151 I152:Q153">
    <cfRule type="expression" dxfId="205" priority="29">
      <formula>HideProposed</formula>
    </cfRule>
  </conditionalFormatting>
  <conditionalFormatting sqref="N17:Q17">
    <cfRule type="expression" dxfId="204" priority="28">
      <formula>HideProposed</formula>
    </cfRule>
  </conditionalFormatting>
  <conditionalFormatting sqref="N20:Q21">
    <cfRule type="expression" dxfId="203" priority="27">
      <formula>HideProposed</formula>
    </cfRule>
  </conditionalFormatting>
  <conditionalFormatting sqref="N26:Q26">
    <cfRule type="expression" dxfId="202" priority="26">
      <formula>HideProposed</formula>
    </cfRule>
  </conditionalFormatting>
  <conditionalFormatting sqref="N29:Q30">
    <cfRule type="expression" dxfId="201" priority="25">
      <formula>HideProposed</formula>
    </cfRule>
  </conditionalFormatting>
  <conditionalFormatting sqref="N36:Q38">
    <cfRule type="expression" dxfId="200" priority="24">
      <formula>HideProposed</formula>
    </cfRule>
  </conditionalFormatting>
  <conditionalFormatting sqref="N41:Q44">
    <cfRule type="expression" dxfId="199" priority="23">
      <formula>HideProposed</formula>
    </cfRule>
  </conditionalFormatting>
  <conditionalFormatting sqref="N48:Q48">
    <cfRule type="expression" dxfId="198" priority="22">
      <formula>HideProposed</formula>
    </cfRule>
  </conditionalFormatting>
  <conditionalFormatting sqref="N69:Q69">
    <cfRule type="expression" dxfId="197" priority="21">
      <formula>HideProposed</formula>
    </cfRule>
  </conditionalFormatting>
  <conditionalFormatting sqref="N72:Q73">
    <cfRule type="expression" dxfId="196" priority="20">
      <formula>HideProposed</formula>
    </cfRule>
  </conditionalFormatting>
  <conditionalFormatting sqref="N76:Q77">
    <cfRule type="expression" dxfId="195" priority="19">
      <formula>HideProposed</formula>
    </cfRule>
  </conditionalFormatting>
  <conditionalFormatting sqref="N82:Q82">
    <cfRule type="expression" dxfId="194" priority="18">
      <formula>HideProposed</formula>
    </cfRule>
  </conditionalFormatting>
  <conditionalFormatting sqref="N85:Q86">
    <cfRule type="expression" dxfId="193" priority="17">
      <formula>HideProposed</formula>
    </cfRule>
  </conditionalFormatting>
  <conditionalFormatting sqref="N89:Q90">
    <cfRule type="expression" dxfId="192" priority="16">
      <formula>HideProposed</formula>
    </cfRule>
  </conditionalFormatting>
  <conditionalFormatting sqref="N95:Q95">
    <cfRule type="expression" dxfId="191" priority="15">
      <formula>HideProposed</formula>
    </cfRule>
  </conditionalFormatting>
  <conditionalFormatting sqref="N98:Q99">
    <cfRule type="expression" dxfId="190" priority="14">
      <formula>HideProposed</formula>
    </cfRule>
  </conditionalFormatting>
  <conditionalFormatting sqref="N102:Q103">
    <cfRule type="expression" dxfId="189" priority="13">
      <formula>HideProposed</formula>
    </cfRule>
  </conditionalFormatting>
  <conditionalFormatting sqref="N108:Q108">
    <cfRule type="expression" dxfId="188" priority="12">
      <formula>HideProposed</formula>
    </cfRule>
  </conditionalFormatting>
  <conditionalFormatting sqref="N111:Q112">
    <cfRule type="expression" dxfId="187" priority="11">
      <formula>HideProposed</formula>
    </cfRule>
  </conditionalFormatting>
  <conditionalFormatting sqref="N115:Q116">
    <cfRule type="expression" dxfId="186" priority="10">
      <formula>HideProposed</formula>
    </cfRule>
  </conditionalFormatting>
  <conditionalFormatting sqref="N121:Q121">
    <cfRule type="expression" dxfId="185" priority="9">
      <formula>HideProposed</formula>
    </cfRule>
  </conditionalFormatting>
  <conditionalFormatting sqref="N124:Q125">
    <cfRule type="expression" dxfId="184" priority="8">
      <formula>HideProposed</formula>
    </cfRule>
  </conditionalFormatting>
  <conditionalFormatting sqref="N129:Q129">
    <cfRule type="expression" dxfId="183" priority="7">
      <formula>HideProposed</formula>
    </cfRule>
  </conditionalFormatting>
  <conditionalFormatting sqref="N132:Q135">
    <cfRule type="expression" dxfId="182" priority="6">
      <formula>HideProposed</formula>
    </cfRule>
  </conditionalFormatting>
  <conditionalFormatting sqref="N139:Q139">
    <cfRule type="expression" dxfId="181" priority="5">
      <formula>HideProposed</formula>
    </cfRule>
  </conditionalFormatting>
  <conditionalFormatting sqref="N142:Q143">
    <cfRule type="expression" dxfId="180" priority="4">
      <formula>HideProposed</formula>
    </cfRule>
  </conditionalFormatting>
  <conditionalFormatting sqref="N147:Q147">
    <cfRule type="expression" dxfId="179" priority="3">
      <formula>HideProposed</formula>
    </cfRule>
  </conditionalFormatting>
  <conditionalFormatting sqref="N150:Q151">
    <cfRule type="expression" dxfId="178" priority="2">
      <formula>HideProposed</formula>
    </cfRule>
  </conditionalFormatting>
  <conditionalFormatting sqref="N154:Q155">
    <cfRule type="expression" dxfId="177" priority="1">
      <formula>HideProposed</formula>
    </cfRule>
  </conditionalFormatting>
  <pageMargins left="0.7" right="0.7" top="0.75" bottom="0.75" header="0.3" footer="0.3"/>
  <pageSetup fitToHeight="0" orientation="portrait" horizontalDpi="1200" verticalDpi="1200" r:id="rId1"/>
  <headerFooter>
    <oddHeader>&amp;LPuerto Rico Electric Power Authority 
Docket NEPR-AP-2023-0003
Consumer Analysis at Present Rates&amp;RSchedule E-2.3 FY2028
Page &amp;P of &amp;N</oddHeader>
  </headerFooter>
  <rowBreaks count="3" manualBreakCount="3">
    <brk id="44" max="6" man="1"/>
    <brk id="91" max="6" man="1"/>
    <brk id="135" max="6" man="1"/>
  </rowBreak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2A838-F661-49D2-9DC4-953F6837CC71}">
  <sheetPr>
    <tabColor theme="8" tint="0.79998168889431442"/>
  </sheetPr>
  <dimension ref="A2:U138"/>
  <sheetViews>
    <sheetView workbookViewId="0"/>
    <sheetView workbookViewId="1"/>
    <sheetView workbookViewId="2"/>
  </sheetViews>
  <sheetFormatPr defaultColWidth="8.140625" defaultRowHeight="12.75"/>
  <cols>
    <col min="1" max="1" width="36.5703125" style="119" customWidth="1"/>
    <col min="2" max="2" width="11.85546875" style="119" customWidth="1"/>
    <col min="3" max="3" width="16" style="119" customWidth="1"/>
    <col min="4" max="4" width="10.42578125" style="119" customWidth="1"/>
    <col min="5" max="5" width="8" style="119" customWidth="1"/>
    <col min="6" max="6" width="1.5703125" style="119" customWidth="1"/>
    <col min="7" max="7" width="14.5703125" style="119" customWidth="1"/>
    <col min="8" max="8" width="1.5703125" style="119" customWidth="1"/>
    <col min="9" max="9" width="12.140625" style="119" hidden="1" customWidth="1"/>
    <col min="10" max="10" width="10.42578125" style="119" hidden="1" customWidth="1"/>
    <col min="11" max="11" width="8.85546875" style="119" hidden="1" customWidth="1"/>
    <col min="12" max="12" width="1.5703125" style="119" hidden="1" customWidth="1"/>
    <col min="13" max="13" width="18.42578125" style="119" hidden="1" customWidth="1"/>
    <col min="14" max="14" width="1.5703125" style="119" hidden="1" customWidth="1"/>
    <col min="15" max="15" width="13" style="119" hidden="1" customWidth="1"/>
    <col min="16" max="16" width="2.140625" style="119" hidden="1" customWidth="1"/>
    <col min="17" max="17" width="12.140625" style="119" hidden="1" customWidth="1"/>
    <col min="18" max="18" width="2.140625" style="119" customWidth="1"/>
    <col min="19" max="19" width="9.140625" style="119" customWidth="1"/>
    <col min="20" max="16384" width="8.140625" style="119"/>
  </cols>
  <sheetData>
    <row r="2" spans="1:17">
      <c r="C2" s="120" t="s">
        <v>2612</v>
      </c>
      <c r="I2" s="120" t="s">
        <v>2613</v>
      </c>
      <c r="O2" s="118" t="s">
        <v>2547</v>
      </c>
      <c r="P2" s="118"/>
      <c r="Q2" s="118"/>
    </row>
    <row r="3" spans="1:17">
      <c r="B3" s="120"/>
      <c r="C3" s="120" t="s">
        <v>2548</v>
      </c>
      <c r="D3" s="120" t="s">
        <v>2503</v>
      </c>
      <c r="E3" s="120"/>
      <c r="F3" s="120"/>
      <c r="G3" s="120" t="s">
        <v>2503</v>
      </c>
      <c r="H3" s="120"/>
      <c r="I3" s="120" t="s">
        <v>2548</v>
      </c>
      <c r="J3" s="120" t="s">
        <v>2546</v>
      </c>
      <c r="K3" s="120"/>
      <c r="L3" s="120"/>
      <c r="M3" s="120" t="s">
        <v>2546</v>
      </c>
      <c r="N3" s="120"/>
      <c r="O3" s="118" t="s">
        <v>2549</v>
      </c>
      <c r="P3" s="118"/>
      <c r="Q3" s="118"/>
    </row>
    <row r="4" spans="1:17">
      <c r="A4" s="121" t="s">
        <v>2550</v>
      </c>
      <c r="B4" s="122"/>
      <c r="C4" s="122" t="s">
        <v>2551</v>
      </c>
      <c r="D4" s="122" t="s">
        <v>2552</v>
      </c>
      <c r="E4" s="122"/>
      <c r="F4" s="122"/>
      <c r="G4" s="122" t="s">
        <v>2506</v>
      </c>
      <c r="H4" s="122"/>
      <c r="I4" s="122" t="s">
        <v>2551</v>
      </c>
      <c r="J4" s="122" t="s">
        <v>2552</v>
      </c>
      <c r="K4" s="122"/>
      <c r="L4" s="122"/>
      <c r="M4" s="122" t="s">
        <v>2506</v>
      </c>
      <c r="N4" s="122"/>
      <c r="O4" s="122" t="s">
        <v>2553</v>
      </c>
      <c r="P4" s="122"/>
      <c r="Q4" s="122" t="s">
        <v>2554</v>
      </c>
    </row>
    <row r="5" spans="1:17">
      <c r="B5" s="120"/>
      <c r="C5" s="120"/>
      <c r="D5" s="120"/>
      <c r="E5" s="120"/>
      <c r="F5" s="120"/>
      <c r="G5" s="120"/>
      <c r="H5" s="120"/>
      <c r="I5" s="120"/>
      <c r="J5" s="120"/>
      <c r="K5" s="120"/>
      <c r="L5" s="120"/>
      <c r="M5" s="120"/>
      <c r="N5" s="120"/>
      <c r="O5" s="120"/>
      <c r="P5" s="120"/>
      <c r="Q5" s="120"/>
    </row>
    <row r="6" spans="1:17" s="321" customFormat="1">
      <c r="A6" s="123" t="s">
        <v>882</v>
      </c>
      <c r="B6" s="123"/>
      <c r="C6" s="119"/>
      <c r="D6" s="119"/>
      <c r="E6" s="119"/>
      <c r="F6" s="119"/>
      <c r="G6" s="119"/>
      <c r="H6" s="119"/>
      <c r="I6" s="124"/>
      <c r="J6" s="119"/>
      <c r="K6" s="119"/>
      <c r="L6" s="119"/>
      <c r="M6" s="119"/>
      <c r="N6" s="119"/>
      <c r="O6" s="119"/>
      <c r="P6" s="119"/>
      <c r="Q6" s="119"/>
    </row>
    <row r="7" spans="1:17" s="321" customFormat="1">
      <c r="A7" s="119"/>
      <c r="B7" s="119"/>
      <c r="C7" s="119"/>
      <c r="D7" s="119"/>
      <c r="E7" s="119"/>
      <c r="F7" s="119"/>
      <c r="G7" s="119"/>
      <c r="H7" s="119"/>
      <c r="I7" s="124"/>
      <c r="J7" s="119"/>
      <c r="K7" s="119"/>
      <c r="L7" s="119"/>
      <c r="M7" s="119"/>
      <c r="N7" s="119"/>
      <c r="O7" s="119"/>
      <c r="P7" s="119"/>
      <c r="Q7" s="119"/>
    </row>
    <row r="8" spans="1:17" s="321" customFormat="1">
      <c r="A8" s="322" t="s">
        <v>2558</v>
      </c>
      <c r="B8" s="119"/>
      <c r="C8" s="125"/>
      <c r="D8" s="132"/>
      <c r="E8" s="119"/>
      <c r="F8" s="119"/>
      <c r="G8" s="119"/>
      <c r="H8" s="119"/>
      <c r="I8" s="131"/>
      <c r="J8" s="132"/>
      <c r="K8" s="119"/>
      <c r="L8" s="119"/>
      <c r="M8" s="119"/>
      <c r="N8" s="119"/>
      <c r="O8" s="119"/>
      <c r="P8" s="119"/>
      <c r="Q8" s="119"/>
    </row>
    <row r="9" spans="1:17" s="321" customFormat="1">
      <c r="A9" s="323" t="s">
        <v>883</v>
      </c>
      <c r="B9" s="119"/>
      <c r="C9" s="125">
        <f>'C-8 Lighting'!M8</f>
        <v>1981200</v>
      </c>
      <c r="D9" s="134">
        <v>9.7790000000000002E-2</v>
      </c>
      <c r="E9" s="135" t="s">
        <v>2560</v>
      </c>
      <c r="F9" s="119"/>
      <c r="G9" s="128">
        <f>D9*C9</f>
        <v>193741.54800000001</v>
      </c>
      <c r="H9" s="119"/>
      <c r="I9" s="125">
        <v>3155301.4942746386</v>
      </c>
      <c r="J9" s="134">
        <v>0.1</v>
      </c>
      <c r="K9" s="135" t="s">
        <v>2560</v>
      </c>
      <c r="L9" s="119"/>
      <c r="M9" s="128">
        <v>315530</v>
      </c>
      <c r="N9" s="119"/>
      <c r="O9" s="128">
        <v>6973</v>
      </c>
      <c r="P9" s="128"/>
      <c r="Q9" s="130">
        <v>2.2598742000000002E-2</v>
      </c>
    </row>
    <row r="10" spans="1:17" s="321" customFormat="1" ht="13.5" thickBot="1">
      <c r="A10" s="324" t="s">
        <v>884</v>
      </c>
      <c r="B10" s="325"/>
      <c r="C10" s="326">
        <f>'C-8 Lighting'!M9</f>
        <v>1127957.5656600648</v>
      </c>
      <c r="D10" s="327">
        <v>8.7790000000000007E-2</v>
      </c>
      <c r="E10" s="327" t="s">
        <v>2560</v>
      </c>
      <c r="F10" s="327"/>
      <c r="G10" s="328">
        <f>D10*C10</f>
        <v>99023.3946892971</v>
      </c>
      <c r="H10" s="325"/>
      <c r="I10" s="326">
        <v>0</v>
      </c>
      <c r="J10" s="329">
        <v>9.5000000000000001E-2</v>
      </c>
      <c r="K10" s="327" t="s">
        <v>2560</v>
      </c>
      <c r="L10" s="327"/>
      <c r="M10" s="328">
        <v>0</v>
      </c>
      <c r="N10" s="328"/>
      <c r="O10" s="328">
        <v>0</v>
      </c>
      <c r="P10" s="328"/>
      <c r="Q10" s="330">
        <v>0</v>
      </c>
    </row>
    <row r="11" spans="1:17" s="321" customFormat="1" ht="14.25" thickTop="1" thickBot="1">
      <c r="A11" s="331" t="s">
        <v>885</v>
      </c>
      <c r="B11" s="325"/>
      <c r="C11" s="326">
        <f>SUM(C9:C10)</f>
        <v>3109157.565660065</v>
      </c>
      <c r="D11" s="327"/>
      <c r="E11" s="327"/>
      <c r="F11" s="327"/>
      <c r="G11" s="326">
        <f>SUM(G9:G10)</f>
        <v>292764.94268929714</v>
      </c>
      <c r="H11" s="325"/>
      <c r="I11" s="326">
        <v>3155301.4942746386</v>
      </c>
      <c r="J11" s="332"/>
      <c r="K11" s="327"/>
      <c r="L11" s="327"/>
      <c r="M11" s="328">
        <v>315530</v>
      </c>
      <c r="N11" s="328"/>
      <c r="O11" s="328">
        <v>6973</v>
      </c>
      <c r="P11" s="328"/>
      <c r="Q11" s="330">
        <v>2.2598742000000002E-2</v>
      </c>
    </row>
    <row r="12" spans="1:17" s="321" customFormat="1" ht="13.5" thickTop="1">
      <c r="A12" s="166"/>
      <c r="B12" s="119"/>
      <c r="C12" s="125"/>
      <c r="D12" s="135"/>
      <c r="E12" s="135"/>
      <c r="F12" s="135"/>
      <c r="G12" s="128"/>
      <c r="H12" s="119"/>
      <c r="I12" s="125"/>
      <c r="J12" s="132"/>
      <c r="K12" s="135"/>
      <c r="L12" s="135"/>
      <c r="M12" s="128"/>
      <c r="N12" s="128"/>
      <c r="O12" s="128"/>
      <c r="P12" s="128"/>
      <c r="Q12" s="130"/>
    </row>
    <row r="14" spans="1:17">
      <c r="A14" s="123" t="s">
        <v>2614</v>
      </c>
    </row>
    <row r="15" spans="1:17">
      <c r="A15" s="123"/>
    </row>
    <row r="16" spans="1:17">
      <c r="A16" s="333" t="s">
        <v>887</v>
      </c>
    </row>
    <row r="17" spans="1:17">
      <c r="A17" s="123"/>
    </row>
    <row r="18" spans="1:17">
      <c r="A18" s="133" t="s">
        <v>888</v>
      </c>
    </row>
    <row r="19" spans="1:17">
      <c r="A19" s="322" t="s">
        <v>2615</v>
      </c>
    </row>
    <row r="20" spans="1:17">
      <c r="A20" s="323" t="s">
        <v>890</v>
      </c>
      <c r="C20" s="386">
        <f>'C-8 Lighting'!M17</f>
        <v>11</v>
      </c>
      <c r="D20" s="334">
        <v>5.9</v>
      </c>
      <c r="E20" s="119" t="s">
        <v>2557</v>
      </c>
      <c r="G20" s="385">
        <f t="shared" ref="G20:G26" si="0">C20*D20*12</f>
        <v>778.80000000000007</v>
      </c>
      <c r="I20" s="131">
        <v>11</v>
      </c>
      <c r="J20" s="334">
        <v>6.79</v>
      </c>
      <c r="K20" s="334" t="s">
        <v>2557</v>
      </c>
      <c r="M20" s="334">
        <v>896.28</v>
      </c>
      <c r="O20" s="128">
        <v>117.4799999999999</v>
      </c>
      <c r="P20" s="128"/>
      <c r="Q20" s="130">
        <v>0.15084745799999999</v>
      </c>
    </row>
    <row r="21" spans="1:17">
      <c r="A21" s="323" t="s">
        <v>891</v>
      </c>
      <c r="C21" s="386">
        <f>'C-8 Lighting'!M18</f>
        <v>10011</v>
      </c>
      <c r="D21" s="334">
        <v>6.32</v>
      </c>
      <c r="E21" s="119" t="s">
        <v>2557</v>
      </c>
      <c r="G21" s="385">
        <f t="shared" si="0"/>
        <v>759234.24</v>
      </c>
      <c r="I21" s="131">
        <v>10656</v>
      </c>
      <c r="J21" s="334">
        <v>7.27</v>
      </c>
      <c r="K21" s="334" t="s">
        <v>2557</v>
      </c>
      <c r="M21" s="334">
        <v>929629.44</v>
      </c>
      <c r="O21" s="128">
        <v>121478.39999999991</v>
      </c>
      <c r="P21" s="128"/>
      <c r="Q21" s="130">
        <v>0.15031645599999999</v>
      </c>
    </row>
    <row r="22" spans="1:17">
      <c r="A22" s="323" t="s">
        <v>892</v>
      </c>
      <c r="C22" s="386">
        <f>'C-8 Lighting'!M19</f>
        <v>74170</v>
      </c>
      <c r="D22" s="334">
        <v>7.05</v>
      </c>
      <c r="E22" s="119" t="s">
        <v>2557</v>
      </c>
      <c r="G22" s="385">
        <f t="shared" si="0"/>
        <v>6274782</v>
      </c>
      <c r="I22" s="131">
        <v>74372</v>
      </c>
      <c r="J22" s="334">
        <v>8.11</v>
      </c>
      <c r="K22" s="334" t="s">
        <v>2557</v>
      </c>
      <c r="M22" s="334">
        <v>7237883.0399999991</v>
      </c>
      <c r="O22" s="128">
        <v>946011.83999999985</v>
      </c>
      <c r="P22" s="128"/>
      <c r="Q22" s="130">
        <v>0.15035461</v>
      </c>
    </row>
    <row r="23" spans="1:17">
      <c r="A23" s="323" t="s">
        <v>893</v>
      </c>
      <c r="C23" s="386">
        <f>'C-8 Lighting'!M20</f>
        <v>610</v>
      </c>
      <c r="D23" s="334">
        <v>7.89</v>
      </c>
      <c r="E23" s="119" t="s">
        <v>2557</v>
      </c>
      <c r="G23" s="385">
        <f t="shared" si="0"/>
        <v>57754.799999999996</v>
      </c>
      <c r="I23" s="131">
        <v>610</v>
      </c>
      <c r="J23" s="334">
        <v>9.07</v>
      </c>
      <c r="K23" s="334" t="s">
        <v>2557</v>
      </c>
      <c r="M23" s="334">
        <v>66392.399999999994</v>
      </c>
      <c r="O23" s="128">
        <v>8637.5999999999985</v>
      </c>
      <c r="P23" s="128"/>
      <c r="Q23" s="130">
        <v>0.14955640100000001</v>
      </c>
    </row>
    <row r="24" spans="1:17">
      <c r="A24" s="323" t="s">
        <v>894</v>
      </c>
      <c r="C24" s="386">
        <f>'C-8 Lighting'!M21</f>
        <v>18448</v>
      </c>
      <c r="D24" s="334">
        <v>12.16</v>
      </c>
      <c r="E24" s="119" t="s">
        <v>2557</v>
      </c>
      <c r="G24" s="385">
        <f t="shared" si="0"/>
        <v>2691932.1600000001</v>
      </c>
      <c r="I24" s="131">
        <v>18474</v>
      </c>
      <c r="J24" s="334">
        <v>13.98</v>
      </c>
      <c r="K24" s="334" t="s">
        <v>2557</v>
      </c>
      <c r="M24" s="334">
        <v>3099198.24</v>
      </c>
      <c r="O24" s="128">
        <v>403472.16000000015</v>
      </c>
      <c r="P24" s="128"/>
      <c r="Q24" s="130">
        <v>0.149671053</v>
      </c>
    </row>
    <row r="25" spans="1:17">
      <c r="A25" s="323" t="s">
        <v>895</v>
      </c>
      <c r="C25" s="386">
        <f>'C-8 Lighting'!M22</f>
        <v>746</v>
      </c>
      <c r="D25" s="334">
        <v>13.32</v>
      </c>
      <c r="E25" s="119" t="s">
        <v>2557</v>
      </c>
      <c r="G25" s="385">
        <f t="shared" si="0"/>
        <v>119240.63999999998</v>
      </c>
      <c r="I25" s="131">
        <v>746</v>
      </c>
      <c r="J25" s="334">
        <v>15.32</v>
      </c>
      <c r="K25" s="334" t="s">
        <v>2557</v>
      </c>
      <c r="M25" s="334">
        <v>137144.63999999998</v>
      </c>
      <c r="O25" s="128">
        <v>17904</v>
      </c>
      <c r="P25" s="128"/>
      <c r="Q25" s="130">
        <v>0.15015015000000001</v>
      </c>
    </row>
    <row r="26" spans="1:17">
      <c r="A26" s="323" t="s">
        <v>896</v>
      </c>
      <c r="C26" s="386">
        <f>'C-8 Lighting'!M23</f>
        <v>1136</v>
      </c>
      <c r="D26" s="334">
        <v>18.16</v>
      </c>
      <c r="E26" s="119" t="s">
        <v>2557</v>
      </c>
      <c r="G26" s="385">
        <f t="shared" si="0"/>
        <v>247557.12</v>
      </c>
      <c r="I26" s="131">
        <v>1136</v>
      </c>
      <c r="J26" s="334">
        <v>20.88</v>
      </c>
      <c r="K26" s="334" t="s">
        <v>2557</v>
      </c>
      <c r="M26" s="334">
        <v>284636.16000000003</v>
      </c>
      <c r="O26" s="128">
        <v>37079.040000000037</v>
      </c>
      <c r="P26" s="128"/>
      <c r="Q26" s="130">
        <v>0.149779736</v>
      </c>
    </row>
    <row r="27" spans="1:17">
      <c r="A27" s="335"/>
      <c r="C27" s="336"/>
      <c r="D27" s="334"/>
      <c r="E27" s="166"/>
      <c r="G27" s="334"/>
      <c r="J27" s="334"/>
      <c r="K27" s="166"/>
      <c r="M27" s="334"/>
    </row>
    <row r="28" spans="1:17">
      <c r="A28" s="133" t="s">
        <v>897</v>
      </c>
      <c r="C28" s="336"/>
      <c r="D28" s="334"/>
      <c r="E28" s="166"/>
      <c r="G28" s="334"/>
      <c r="J28" s="334"/>
      <c r="K28" s="166"/>
      <c r="M28" s="334"/>
    </row>
    <row r="29" spans="1:17">
      <c r="A29" s="322" t="s">
        <v>2615</v>
      </c>
      <c r="C29" s="336"/>
      <c r="D29" s="334"/>
      <c r="E29" s="166"/>
      <c r="G29" s="334"/>
      <c r="J29" s="334"/>
      <c r="K29" s="166"/>
      <c r="M29" s="334"/>
    </row>
    <row r="30" spans="1:17">
      <c r="A30" s="323" t="s">
        <v>890</v>
      </c>
      <c r="C30" s="386">
        <f>'C-8 Lighting'!M27</f>
        <v>35</v>
      </c>
      <c r="D30" s="334">
        <v>8.9499999999999993</v>
      </c>
      <c r="E30" s="334" t="s">
        <v>2557</v>
      </c>
      <c r="G30" s="385">
        <f t="shared" ref="G30:G35" si="1">C30*D30*12</f>
        <v>3759</v>
      </c>
      <c r="I30" s="131">
        <v>35</v>
      </c>
      <c r="J30" s="334">
        <v>10.29</v>
      </c>
      <c r="K30" s="334" t="s">
        <v>2557</v>
      </c>
      <c r="M30" s="334">
        <v>4321.7999999999993</v>
      </c>
      <c r="O30" s="128">
        <v>562.79999999999927</v>
      </c>
      <c r="P30" s="128"/>
      <c r="Q30" s="130">
        <v>0.14972067</v>
      </c>
    </row>
    <row r="31" spans="1:17">
      <c r="A31" s="323" t="s">
        <v>891</v>
      </c>
      <c r="C31" s="386">
        <f>'C-8 Lighting'!M28</f>
        <v>57291</v>
      </c>
      <c r="D31" s="334">
        <v>9.32</v>
      </c>
      <c r="E31" s="334" t="s">
        <v>2557</v>
      </c>
      <c r="G31" s="385">
        <f t="shared" si="1"/>
        <v>6407425.4399999995</v>
      </c>
      <c r="I31" s="131">
        <v>48238</v>
      </c>
      <c r="J31" s="334">
        <v>10.72</v>
      </c>
      <c r="K31" s="334" t="s">
        <v>2557</v>
      </c>
      <c r="M31" s="334">
        <v>6205336.3200000003</v>
      </c>
      <c r="O31" s="128">
        <v>-308001.59999999963</v>
      </c>
      <c r="P31" s="128"/>
      <c r="Q31" s="130">
        <v>-4.7287826999999998E-2</v>
      </c>
    </row>
    <row r="32" spans="1:17">
      <c r="A32" s="323" t="s">
        <v>892</v>
      </c>
      <c r="C32" s="386">
        <f>'C-8 Lighting'!M29</f>
        <v>262102</v>
      </c>
      <c r="D32" s="334">
        <v>10.1</v>
      </c>
      <c r="E32" s="334" t="s">
        <v>2557</v>
      </c>
      <c r="G32" s="385">
        <f t="shared" si="1"/>
        <v>31766762.399999999</v>
      </c>
      <c r="I32" s="131">
        <v>239243</v>
      </c>
      <c r="J32" s="334">
        <v>11.62</v>
      </c>
      <c r="K32" s="334" t="s">
        <v>2557</v>
      </c>
      <c r="M32" s="334">
        <v>33360043.919999994</v>
      </c>
      <c r="O32" s="128">
        <v>727792.31999999657</v>
      </c>
      <c r="P32" s="128"/>
      <c r="Q32" s="130">
        <v>2.2302853000000001E-2</v>
      </c>
    </row>
    <row r="33" spans="1:21">
      <c r="A33" s="323" t="s">
        <v>893</v>
      </c>
      <c r="C33" s="386">
        <f>'C-8 Lighting'!M30</f>
        <v>736</v>
      </c>
      <c r="D33" s="334">
        <v>10.89</v>
      </c>
      <c r="E33" s="334" t="s">
        <v>2557</v>
      </c>
      <c r="G33" s="385">
        <f t="shared" si="1"/>
        <v>96180.48000000001</v>
      </c>
      <c r="I33" s="131">
        <v>736</v>
      </c>
      <c r="J33" s="334">
        <v>12.52</v>
      </c>
      <c r="K33" s="334" t="s">
        <v>2557</v>
      </c>
      <c r="M33" s="334">
        <v>110576.63999999998</v>
      </c>
      <c r="O33" s="128">
        <v>14396.159999999974</v>
      </c>
      <c r="P33" s="128"/>
      <c r="Q33" s="130">
        <v>0.14967860399999999</v>
      </c>
    </row>
    <row r="34" spans="1:21">
      <c r="A34" s="323" t="s">
        <v>894</v>
      </c>
      <c r="C34" s="386">
        <f>'C-8 Lighting'!M31</f>
        <v>36502</v>
      </c>
      <c r="D34" s="334">
        <v>13.16</v>
      </c>
      <c r="E34" s="334" t="s">
        <v>2557</v>
      </c>
      <c r="G34" s="385">
        <f t="shared" si="1"/>
        <v>5764395.8399999999</v>
      </c>
      <c r="I34" s="131">
        <v>37430</v>
      </c>
      <c r="J34" s="334">
        <v>15.13</v>
      </c>
      <c r="K34" s="334" t="s">
        <v>2557</v>
      </c>
      <c r="M34" s="334">
        <v>6795790.8000000007</v>
      </c>
      <c r="O34" s="128">
        <v>884845.20000000112</v>
      </c>
      <c r="P34" s="128"/>
      <c r="Q34" s="130">
        <v>0.149696049</v>
      </c>
    </row>
    <row r="35" spans="1:21">
      <c r="A35" s="323" t="s">
        <v>895</v>
      </c>
      <c r="C35" s="386">
        <f>'C-8 Lighting'!M32</f>
        <v>139</v>
      </c>
      <c r="D35" s="334">
        <v>14.32</v>
      </c>
      <c r="E35" s="334" t="s">
        <v>2557</v>
      </c>
      <c r="G35" s="385">
        <f t="shared" si="1"/>
        <v>23885.760000000002</v>
      </c>
      <c r="I35" s="131">
        <v>90</v>
      </c>
      <c r="J35" s="334">
        <v>16.47</v>
      </c>
      <c r="K35" s="334" t="s">
        <v>2557</v>
      </c>
      <c r="M35" s="334">
        <v>17787.599999999999</v>
      </c>
      <c r="O35" s="128">
        <v>2322</v>
      </c>
      <c r="P35" s="128"/>
      <c r="Q35" s="130">
        <v>0.15013966500000001</v>
      </c>
    </row>
    <row r="36" spans="1:21">
      <c r="A36" s="323"/>
      <c r="C36" s="336"/>
      <c r="D36" s="334"/>
      <c r="E36" s="334"/>
      <c r="G36" s="334"/>
      <c r="I36" s="131"/>
      <c r="J36" s="334"/>
      <c r="K36" s="334"/>
      <c r="M36" s="334"/>
      <c r="O36" s="128"/>
      <c r="P36" s="128"/>
      <c r="Q36" s="130"/>
    </row>
    <row r="37" spans="1:21">
      <c r="A37" s="133" t="s">
        <v>2616</v>
      </c>
      <c r="C37" s="336"/>
      <c r="D37" s="334"/>
      <c r="E37" s="166"/>
      <c r="G37" s="334"/>
      <c r="J37" s="334"/>
      <c r="K37" s="166"/>
      <c r="M37" s="334"/>
    </row>
    <row r="38" spans="1:21">
      <c r="A38" s="322" t="s">
        <v>2615</v>
      </c>
      <c r="C38" s="125"/>
      <c r="D38" s="127"/>
      <c r="G38" s="128"/>
      <c r="I38" s="125"/>
      <c r="J38" s="127"/>
      <c r="M38" s="128"/>
      <c r="U38" s="337"/>
    </row>
    <row r="39" spans="1:21">
      <c r="A39" s="322" t="s">
        <v>899</v>
      </c>
      <c r="C39" s="125">
        <v>0</v>
      </c>
      <c r="D39" s="127">
        <v>0</v>
      </c>
      <c r="E39" s="119" t="s">
        <v>2557</v>
      </c>
      <c r="G39" s="128">
        <v>0</v>
      </c>
      <c r="I39" s="125">
        <v>16982</v>
      </c>
      <c r="J39" s="126">
        <v>5.25</v>
      </c>
      <c r="K39" s="126" t="s">
        <v>2557</v>
      </c>
      <c r="M39" s="128">
        <v>89155.5</v>
      </c>
      <c r="O39" s="128">
        <v>89155.5</v>
      </c>
      <c r="Q39" s="130">
        <v>0</v>
      </c>
      <c r="U39" s="337"/>
    </row>
    <row r="40" spans="1:21">
      <c r="A40" s="322" t="s">
        <v>900</v>
      </c>
      <c r="C40" s="125">
        <v>0</v>
      </c>
      <c r="D40" s="127">
        <v>0</v>
      </c>
      <c r="E40" s="119" t="s">
        <v>2557</v>
      </c>
      <c r="G40" s="128">
        <v>0</v>
      </c>
      <c r="I40" s="125">
        <v>25000</v>
      </c>
      <c r="J40" s="126">
        <v>7</v>
      </c>
      <c r="K40" s="126" t="s">
        <v>2557</v>
      </c>
      <c r="M40" s="128">
        <v>175000</v>
      </c>
      <c r="O40" s="128">
        <v>175000</v>
      </c>
      <c r="Q40" s="130">
        <v>0</v>
      </c>
      <c r="U40" s="337"/>
    </row>
    <row r="41" spans="1:21">
      <c r="A41" s="322" t="s">
        <v>901</v>
      </c>
      <c r="C41" s="125">
        <v>0</v>
      </c>
      <c r="D41" s="127">
        <v>0</v>
      </c>
      <c r="E41" s="119" t="s">
        <v>2557</v>
      </c>
      <c r="G41" s="128">
        <v>0</v>
      </c>
      <c r="I41" s="125">
        <v>75000</v>
      </c>
      <c r="J41" s="126">
        <v>8.35</v>
      </c>
      <c r="K41" s="126" t="s">
        <v>2557</v>
      </c>
      <c r="M41" s="128">
        <v>626250</v>
      </c>
      <c r="O41" s="128">
        <v>626250</v>
      </c>
      <c r="Q41" s="130">
        <v>0</v>
      </c>
      <c r="U41" s="337"/>
    </row>
    <row r="42" spans="1:21">
      <c r="A42" s="322"/>
      <c r="C42" s="125"/>
      <c r="D42" s="127">
        <v>0</v>
      </c>
      <c r="E42" s="119" t="s">
        <v>2557</v>
      </c>
      <c r="G42" s="128">
        <v>0</v>
      </c>
      <c r="I42" s="125"/>
      <c r="J42" s="126">
        <v>0</v>
      </c>
      <c r="K42" s="126" t="s">
        <v>2557</v>
      </c>
      <c r="M42" s="128">
        <v>0</v>
      </c>
      <c r="O42" s="128">
        <v>0</v>
      </c>
      <c r="Q42" s="130">
        <v>0</v>
      </c>
      <c r="U42" s="337"/>
    </row>
    <row r="43" spans="1:21">
      <c r="A43" s="322"/>
      <c r="C43" s="125"/>
      <c r="D43" s="127">
        <v>0</v>
      </c>
      <c r="E43" s="119" t="s">
        <v>2557</v>
      </c>
      <c r="G43" s="128">
        <v>0</v>
      </c>
      <c r="I43" s="125"/>
      <c r="J43" s="126">
        <v>0</v>
      </c>
      <c r="K43" s="126" t="s">
        <v>2557</v>
      </c>
      <c r="M43" s="128">
        <v>0</v>
      </c>
      <c r="O43" s="128">
        <v>0</v>
      </c>
      <c r="P43" s="128"/>
      <c r="Q43" s="130">
        <v>0</v>
      </c>
      <c r="U43" s="337"/>
    </row>
    <row r="44" spans="1:21">
      <c r="A44" s="323"/>
      <c r="C44" s="336"/>
      <c r="D44" s="334"/>
      <c r="E44" s="166"/>
      <c r="G44" s="334"/>
      <c r="J44" s="334"/>
      <c r="K44" s="166"/>
      <c r="M44" s="334"/>
    </row>
    <row r="45" spans="1:21">
      <c r="A45" s="133" t="s">
        <v>902</v>
      </c>
      <c r="C45" s="336"/>
      <c r="D45" s="334"/>
      <c r="E45" s="166"/>
      <c r="G45" s="334"/>
      <c r="J45" s="334"/>
      <c r="K45" s="166"/>
      <c r="M45" s="334"/>
    </row>
    <row r="46" spans="1:21">
      <c r="A46" s="322" t="s">
        <v>2617</v>
      </c>
      <c r="C46" s="336"/>
      <c r="D46" s="334"/>
      <c r="E46" s="166"/>
      <c r="G46" s="334"/>
      <c r="J46" s="334"/>
      <c r="K46" s="166"/>
      <c r="M46" s="334"/>
    </row>
    <row r="47" spans="1:21">
      <c r="A47" s="323" t="s">
        <v>904</v>
      </c>
      <c r="C47" s="336">
        <f>'C-8 Lighting'!M42</f>
        <v>731</v>
      </c>
      <c r="D47" s="334">
        <v>5.82</v>
      </c>
      <c r="E47" s="334" t="s">
        <v>2557</v>
      </c>
      <c r="G47" s="385">
        <f>C47*D47*12</f>
        <v>51053.04</v>
      </c>
      <c r="I47" s="131">
        <v>0</v>
      </c>
      <c r="J47" s="334">
        <v>6.69</v>
      </c>
      <c r="K47" s="334" t="s">
        <v>2557</v>
      </c>
      <c r="M47" s="334">
        <v>0</v>
      </c>
      <c r="O47" s="128">
        <v>0</v>
      </c>
      <c r="P47" s="128"/>
      <c r="Q47" s="130">
        <v>-1</v>
      </c>
    </row>
    <row r="48" spans="1:21">
      <c r="A48" s="323" t="s">
        <v>905</v>
      </c>
      <c r="C48" s="336">
        <f>'C-8 Lighting'!M43</f>
        <v>25809</v>
      </c>
      <c r="D48" s="334">
        <v>7.83</v>
      </c>
      <c r="E48" s="334" t="s">
        <v>2557</v>
      </c>
      <c r="G48" s="385">
        <f>C48*D48*12</f>
        <v>2425013.64</v>
      </c>
      <c r="I48" s="131">
        <v>4275</v>
      </c>
      <c r="J48" s="334">
        <v>9</v>
      </c>
      <c r="K48" s="334" t="s">
        <v>2557</v>
      </c>
      <c r="M48" s="334">
        <v>461700</v>
      </c>
      <c r="O48" s="128">
        <v>-1963971.3599999999</v>
      </c>
      <c r="P48" s="128"/>
      <c r="Q48" s="130">
        <v>-0.80966094300000002</v>
      </c>
    </row>
    <row r="49" spans="1:21">
      <c r="A49" s="323" t="s">
        <v>906</v>
      </c>
      <c r="C49" s="336">
        <f>'C-8 Lighting'!M44</f>
        <v>3380</v>
      </c>
      <c r="D49" s="334">
        <v>13.41</v>
      </c>
      <c r="E49" s="334" t="s">
        <v>2557</v>
      </c>
      <c r="G49" s="385">
        <f>C49*D49*12</f>
        <v>543909.60000000009</v>
      </c>
      <c r="I49" s="131">
        <v>1380</v>
      </c>
      <c r="J49" s="334">
        <v>15.42</v>
      </c>
      <c r="K49" s="334" t="s">
        <v>2557</v>
      </c>
      <c r="M49" s="334">
        <v>255355.19999999998</v>
      </c>
      <c r="O49" s="128">
        <v>-288554.40000000014</v>
      </c>
      <c r="P49" s="128"/>
      <c r="Q49" s="130">
        <v>-0.530519042</v>
      </c>
    </row>
    <row r="50" spans="1:21">
      <c r="A50" s="323" t="s">
        <v>907</v>
      </c>
      <c r="C50" s="336">
        <f>'C-8 Lighting'!M45</f>
        <v>2223</v>
      </c>
      <c r="D50" s="334">
        <v>28.03</v>
      </c>
      <c r="E50" s="334" t="s">
        <v>2557</v>
      </c>
      <c r="G50" s="385">
        <f>C50*D50*12</f>
        <v>747728.28</v>
      </c>
      <c r="I50" s="131">
        <v>523</v>
      </c>
      <c r="J50" s="334">
        <v>32.229999999999997</v>
      </c>
      <c r="K50" s="334" t="s">
        <v>2557</v>
      </c>
      <c r="M50" s="334">
        <v>202275.47999999998</v>
      </c>
      <c r="O50" s="128">
        <v>-545452.80000000005</v>
      </c>
      <c r="P50" s="128"/>
      <c r="Q50" s="130">
        <v>-0.72947996599999998</v>
      </c>
    </row>
    <row r="51" spans="1:21">
      <c r="A51" s="323" t="s">
        <v>908</v>
      </c>
      <c r="C51" s="336">
        <f>'C-8 Lighting'!M46</f>
        <v>4</v>
      </c>
      <c r="D51" s="334">
        <v>25.03</v>
      </c>
      <c r="E51" s="334" t="s">
        <v>2557</v>
      </c>
      <c r="G51" s="385">
        <f>C51*D51*12</f>
        <v>1201.44</v>
      </c>
      <c r="I51" s="131">
        <v>4</v>
      </c>
      <c r="J51" s="334">
        <v>28.78</v>
      </c>
      <c r="K51" s="334" t="s">
        <v>2557</v>
      </c>
      <c r="M51" s="334">
        <v>1381.44</v>
      </c>
      <c r="O51" s="128">
        <v>180</v>
      </c>
      <c r="P51" s="128"/>
      <c r="Q51" s="130">
        <v>0.14982021600000001</v>
      </c>
    </row>
    <row r="52" spans="1:21">
      <c r="A52" s="323"/>
      <c r="C52" s="336"/>
      <c r="D52" s="334"/>
      <c r="E52" s="166"/>
      <c r="G52" s="334"/>
      <c r="J52" s="334"/>
      <c r="K52" s="166"/>
      <c r="M52" s="334"/>
    </row>
    <row r="53" spans="1:21">
      <c r="A53" s="322" t="s">
        <v>2618</v>
      </c>
      <c r="C53" s="336"/>
      <c r="D53" s="334"/>
      <c r="E53" s="166"/>
      <c r="G53" s="334"/>
      <c r="J53" s="334"/>
      <c r="K53" s="166"/>
      <c r="M53" s="334"/>
    </row>
    <row r="54" spans="1:21">
      <c r="A54" s="323" t="s">
        <v>904</v>
      </c>
      <c r="C54" s="336">
        <f>'C-8 Lighting'!M49</f>
        <v>9860</v>
      </c>
      <c r="D54" s="334">
        <v>4.22</v>
      </c>
      <c r="E54" s="334" t="s">
        <v>2557</v>
      </c>
      <c r="G54" s="385">
        <f>C54*D54*12</f>
        <v>499310.39999999997</v>
      </c>
      <c r="I54" s="131">
        <v>2860</v>
      </c>
      <c r="J54" s="334">
        <v>4.8499999999999996</v>
      </c>
      <c r="K54" s="334" t="s">
        <v>2557</v>
      </c>
      <c r="M54" s="334">
        <v>166451.99999999997</v>
      </c>
      <c r="O54" s="128">
        <v>-332858.40000000002</v>
      </c>
      <c r="P54" s="128"/>
      <c r="Q54" s="130">
        <v>-0.66663622499999997</v>
      </c>
    </row>
    <row r="55" spans="1:21">
      <c r="A55" s="323" t="s">
        <v>905</v>
      </c>
      <c r="C55" s="336">
        <f>'C-8 Lighting'!M50</f>
        <v>11308</v>
      </c>
      <c r="D55" s="334">
        <v>6.18</v>
      </c>
      <c r="E55" s="334" t="s">
        <v>2557</v>
      </c>
      <c r="G55" s="385">
        <f>C55*D55*12</f>
        <v>838601.28</v>
      </c>
      <c r="I55" s="131">
        <v>4205</v>
      </c>
      <c r="J55" s="334">
        <v>7.11</v>
      </c>
      <c r="K55" s="334" t="s">
        <v>2557</v>
      </c>
      <c r="M55" s="334">
        <v>358770.60000000003</v>
      </c>
      <c r="O55" s="128">
        <v>-516688.1999999999</v>
      </c>
      <c r="P55" s="128"/>
      <c r="Q55" s="130">
        <v>-0.59019133700000004</v>
      </c>
    </row>
    <row r="56" spans="1:21">
      <c r="A56" s="323" t="s">
        <v>906</v>
      </c>
      <c r="C56" s="336">
        <f>'C-8 Lighting'!M51</f>
        <v>876</v>
      </c>
      <c r="D56" s="334">
        <v>8.31</v>
      </c>
      <c r="E56" s="334" t="s">
        <v>2557</v>
      </c>
      <c r="G56" s="385">
        <f>C56*D56*12</f>
        <v>87354.72</v>
      </c>
      <c r="I56" s="131">
        <v>500</v>
      </c>
      <c r="J56" s="334">
        <v>9.56</v>
      </c>
      <c r="K56" s="334" t="s">
        <v>2557</v>
      </c>
      <c r="M56" s="334">
        <v>57360</v>
      </c>
      <c r="O56" s="128">
        <v>-29994.720000000001</v>
      </c>
      <c r="P56" s="128"/>
      <c r="Q56" s="130">
        <v>-0.343366907</v>
      </c>
    </row>
    <row r="57" spans="1:21">
      <c r="A57" s="323" t="s">
        <v>907</v>
      </c>
      <c r="C57" s="336">
        <f>'C-8 Lighting'!M52</f>
        <v>486</v>
      </c>
      <c r="D57" s="334">
        <v>12.08</v>
      </c>
      <c r="E57" s="334" t="s">
        <v>2557</v>
      </c>
      <c r="G57" s="385">
        <f>C57*D57*12</f>
        <v>70450.559999999998</v>
      </c>
      <c r="I57" s="131">
        <v>150</v>
      </c>
      <c r="J57" s="334">
        <v>13.89</v>
      </c>
      <c r="K57" s="334" t="s">
        <v>2557</v>
      </c>
      <c r="M57" s="334">
        <v>25002</v>
      </c>
      <c r="O57" s="128">
        <v>-45448.56</v>
      </c>
      <c r="P57" s="128"/>
      <c r="Q57" s="130">
        <v>-0.64511282800000003</v>
      </c>
    </row>
    <row r="58" spans="1:21" s="137" customFormat="1" ht="13.5" thickBot="1">
      <c r="A58" s="338" t="s">
        <v>2619</v>
      </c>
      <c r="C58" s="138">
        <f>SUM(C20:C57)</f>
        <v>516614</v>
      </c>
      <c r="D58" s="167"/>
      <c r="F58" s="167"/>
      <c r="G58" s="389">
        <f>SUM(G20:G57)</f>
        <v>59478311.639999986</v>
      </c>
      <c r="I58" s="138">
        <v>562656</v>
      </c>
      <c r="J58" s="167"/>
      <c r="L58" s="167"/>
      <c r="M58" s="339">
        <v>60668339.499999993</v>
      </c>
      <c r="N58" s="140"/>
      <c r="O58" s="140">
        <v>-26818.579999998212</v>
      </c>
      <c r="P58" s="140"/>
      <c r="Q58" s="142">
        <v>-4.4185699999999998E-4</v>
      </c>
      <c r="U58" s="340"/>
    </row>
    <row r="59" spans="1:21" ht="13.5" thickTop="1">
      <c r="A59" s="166"/>
      <c r="C59" s="125"/>
      <c r="D59" s="127"/>
      <c r="F59" s="127"/>
      <c r="G59" s="387"/>
      <c r="I59" s="125"/>
      <c r="J59" s="127"/>
      <c r="L59" s="127"/>
      <c r="M59" s="128"/>
      <c r="N59" s="128"/>
      <c r="U59" s="337"/>
    </row>
    <row r="60" spans="1:21">
      <c r="A60" s="333" t="s">
        <v>2620</v>
      </c>
      <c r="C60" s="125"/>
      <c r="D60" s="127"/>
      <c r="F60" s="127"/>
      <c r="G60" s="387"/>
      <c r="I60" s="125"/>
      <c r="J60" s="127"/>
      <c r="L60" s="127"/>
      <c r="M60" s="128"/>
      <c r="N60" s="128"/>
      <c r="U60" s="337"/>
    </row>
    <row r="61" spans="1:21">
      <c r="A61" s="341"/>
      <c r="C61" s="125"/>
      <c r="D61" s="127"/>
      <c r="F61" s="127"/>
      <c r="G61" s="387"/>
      <c r="I61" s="125"/>
      <c r="J61" s="127"/>
      <c r="L61" s="127"/>
      <c r="M61" s="128"/>
      <c r="N61" s="128"/>
      <c r="U61" s="337"/>
    </row>
    <row r="62" spans="1:21">
      <c r="A62" s="322" t="s">
        <v>2556</v>
      </c>
      <c r="C62" s="125">
        <f>'C-8 Lighting'!M58</f>
        <v>225</v>
      </c>
      <c r="D62" s="127">
        <v>5</v>
      </c>
      <c r="E62" s="127" t="s">
        <v>2557</v>
      </c>
      <c r="F62" s="127"/>
      <c r="G62" s="385">
        <f>C62*D62*12</f>
        <v>13500</v>
      </c>
      <c r="I62" s="125">
        <v>201</v>
      </c>
      <c r="J62" s="127">
        <v>5.75</v>
      </c>
      <c r="K62" s="127" t="s">
        <v>2557</v>
      </c>
      <c r="L62" s="127"/>
      <c r="M62" s="334">
        <v>13869</v>
      </c>
      <c r="N62" s="128"/>
      <c r="O62" s="128">
        <v>1809</v>
      </c>
      <c r="P62" s="128"/>
      <c r="Q62" s="130">
        <v>0.15</v>
      </c>
      <c r="U62" s="337"/>
    </row>
    <row r="63" spans="1:21">
      <c r="A63" s="166"/>
      <c r="C63" s="125"/>
      <c r="D63" s="127"/>
      <c r="E63" s="127"/>
      <c r="F63" s="127"/>
      <c r="G63" s="387"/>
      <c r="I63" s="125"/>
      <c r="J63" s="127"/>
      <c r="K63" s="127"/>
      <c r="L63" s="127"/>
      <c r="M63" s="128"/>
      <c r="N63" s="128"/>
      <c r="U63" s="337"/>
    </row>
    <row r="64" spans="1:21">
      <c r="A64" s="322" t="s">
        <v>2558</v>
      </c>
      <c r="C64" s="125"/>
      <c r="D64" s="127"/>
      <c r="E64" s="127"/>
      <c r="F64" s="127"/>
      <c r="G64" s="387"/>
      <c r="I64" s="125"/>
      <c r="J64" s="127"/>
      <c r="K64" s="127"/>
      <c r="L64" s="127"/>
      <c r="M64" s="128"/>
      <c r="N64" s="128"/>
      <c r="U64" s="337"/>
    </row>
    <row r="65" spans="1:21">
      <c r="A65" s="323" t="s">
        <v>912</v>
      </c>
      <c r="C65" s="125">
        <f>'C-8 Lighting'!M60</f>
        <v>2880173</v>
      </c>
      <c r="D65" s="135">
        <v>7.7789999999999998E-2</v>
      </c>
      <c r="E65" s="127" t="s">
        <v>2560</v>
      </c>
      <c r="F65" s="127"/>
      <c r="G65" s="385">
        <f>C65*D65</f>
        <v>224048.65766999999</v>
      </c>
      <c r="I65" s="125">
        <v>2463640.5986070824</v>
      </c>
      <c r="J65" s="135">
        <v>8.5000000000000006E-2</v>
      </c>
      <c r="K65" s="127" t="s">
        <v>2560</v>
      </c>
      <c r="L65" s="127"/>
      <c r="M65" s="334">
        <v>209409.45088160201</v>
      </c>
      <c r="N65" s="128"/>
      <c r="O65" s="128">
        <v>17762.84871595708</v>
      </c>
      <c r="P65" s="128"/>
      <c r="Q65" s="130">
        <v>9.2685434999999997E-2</v>
      </c>
      <c r="U65" s="337"/>
    </row>
    <row r="66" spans="1:21">
      <c r="A66" s="166"/>
      <c r="C66" s="125"/>
      <c r="D66" s="127"/>
      <c r="F66" s="127"/>
      <c r="G66" s="387"/>
      <c r="I66" s="125"/>
      <c r="J66" s="127"/>
      <c r="K66" s="127"/>
      <c r="L66" s="127"/>
      <c r="M66" s="128"/>
      <c r="N66" s="128"/>
      <c r="U66" s="337"/>
    </row>
    <row r="67" spans="1:21">
      <c r="A67" s="322" t="s">
        <v>2615</v>
      </c>
      <c r="C67" s="125"/>
      <c r="D67" s="127"/>
      <c r="F67" s="127"/>
      <c r="G67" s="387"/>
      <c r="I67" s="125"/>
      <c r="J67" s="127"/>
      <c r="K67" s="127"/>
      <c r="L67" s="127"/>
      <c r="M67" s="128"/>
      <c r="N67" s="128"/>
      <c r="U67" s="337"/>
    </row>
    <row r="68" spans="1:21">
      <c r="A68" s="323" t="s">
        <v>890</v>
      </c>
      <c r="C68" s="125">
        <v>0</v>
      </c>
      <c r="D68" s="127">
        <v>1.55</v>
      </c>
      <c r="E68" s="127" t="s">
        <v>2557</v>
      </c>
      <c r="F68" s="127"/>
      <c r="G68" s="385">
        <v>0</v>
      </c>
      <c r="I68" s="125">
        <v>0</v>
      </c>
      <c r="J68" s="127">
        <v>1.78</v>
      </c>
      <c r="K68" s="127" t="s">
        <v>2557</v>
      </c>
      <c r="L68" s="127"/>
      <c r="M68" s="334">
        <v>0</v>
      </c>
      <c r="N68" s="128"/>
      <c r="O68" s="128">
        <v>0</v>
      </c>
      <c r="P68" s="128"/>
      <c r="Q68" s="130">
        <v>0</v>
      </c>
      <c r="U68" s="337"/>
    </row>
    <row r="69" spans="1:21">
      <c r="A69" s="323" t="s">
        <v>891</v>
      </c>
      <c r="C69" s="125">
        <v>0</v>
      </c>
      <c r="D69" s="127">
        <v>2.2200000000000002</v>
      </c>
      <c r="E69" s="127" t="s">
        <v>2557</v>
      </c>
      <c r="F69" s="127"/>
      <c r="G69" s="385">
        <v>0</v>
      </c>
      <c r="I69" s="125">
        <v>0</v>
      </c>
      <c r="J69" s="127">
        <v>2.5499999999999998</v>
      </c>
      <c r="K69" s="127" t="s">
        <v>2557</v>
      </c>
      <c r="L69" s="127"/>
      <c r="M69" s="334">
        <v>0</v>
      </c>
      <c r="N69" s="128"/>
      <c r="O69" s="128">
        <v>0</v>
      </c>
      <c r="P69" s="128"/>
      <c r="Q69" s="130">
        <v>0</v>
      </c>
      <c r="U69" s="337"/>
    </row>
    <row r="70" spans="1:21">
      <c r="A70" s="323" t="s">
        <v>892</v>
      </c>
      <c r="C70" s="125">
        <v>0</v>
      </c>
      <c r="D70" s="127">
        <v>3.1</v>
      </c>
      <c r="E70" s="127" t="s">
        <v>2557</v>
      </c>
      <c r="F70" s="127"/>
      <c r="G70" s="385">
        <v>0</v>
      </c>
      <c r="I70" s="125">
        <v>0</v>
      </c>
      <c r="J70" s="127">
        <v>3.57</v>
      </c>
      <c r="K70" s="127" t="s">
        <v>2557</v>
      </c>
      <c r="L70" s="127"/>
      <c r="M70" s="334">
        <v>0</v>
      </c>
      <c r="N70" s="128"/>
      <c r="O70" s="128">
        <v>0</v>
      </c>
      <c r="P70" s="128"/>
      <c r="Q70" s="130">
        <v>0</v>
      </c>
      <c r="U70" s="337"/>
    </row>
    <row r="71" spans="1:21">
      <c r="A71" s="323" t="s">
        <v>893</v>
      </c>
      <c r="C71" s="125">
        <v>0</v>
      </c>
      <c r="D71" s="127">
        <v>4.4400000000000004</v>
      </c>
      <c r="E71" s="127" t="s">
        <v>2557</v>
      </c>
      <c r="F71" s="127"/>
      <c r="G71" s="385">
        <v>0</v>
      </c>
      <c r="I71" s="125">
        <v>0</v>
      </c>
      <c r="J71" s="127">
        <v>5.1100000000000003</v>
      </c>
      <c r="K71" s="127" t="s">
        <v>2557</v>
      </c>
      <c r="L71" s="127"/>
      <c r="M71" s="334">
        <v>0</v>
      </c>
      <c r="N71" s="128"/>
      <c r="O71" s="128">
        <v>0</v>
      </c>
      <c r="P71" s="128"/>
      <c r="Q71" s="130">
        <v>0</v>
      </c>
      <c r="U71" s="337"/>
    </row>
    <row r="72" spans="1:21">
      <c r="A72" s="323" t="s">
        <v>894</v>
      </c>
      <c r="C72" s="125">
        <v>0</v>
      </c>
      <c r="D72" s="127">
        <v>6.66</v>
      </c>
      <c r="E72" s="127" t="s">
        <v>2557</v>
      </c>
      <c r="F72" s="127"/>
      <c r="G72" s="385">
        <v>0</v>
      </c>
      <c r="I72" s="125">
        <v>0</v>
      </c>
      <c r="J72" s="127">
        <v>7.66</v>
      </c>
      <c r="K72" s="127" t="s">
        <v>2557</v>
      </c>
      <c r="L72" s="127"/>
      <c r="M72" s="334">
        <v>0</v>
      </c>
      <c r="N72" s="128"/>
      <c r="O72" s="128">
        <v>0</v>
      </c>
      <c r="P72" s="128"/>
      <c r="Q72" s="130">
        <v>0</v>
      </c>
      <c r="U72" s="337"/>
    </row>
    <row r="73" spans="1:21">
      <c r="A73" s="323" t="s">
        <v>895</v>
      </c>
      <c r="C73" s="125">
        <v>0</v>
      </c>
      <c r="D73" s="127">
        <v>8.32</v>
      </c>
      <c r="E73" s="127" t="s">
        <v>2557</v>
      </c>
      <c r="F73" s="127"/>
      <c r="G73" s="385">
        <v>0</v>
      </c>
      <c r="I73" s="125">
        <v>0</v>
      </c>
      <c r="J73" s="127">
        <v>9.57</v>
      </c>
      <c r="K73" s="127" t="s">
        <v>2557</v>
      </c>
      <c r="L73" s="127"/>
      <c r="M73" s="334">
        <v>0</v>
      </c>
      <c r="N73" s="128"/>
      <c r="O73" s="128">
        <v>0</v>
      </c>
      <c r="P73" s="128"/>
      <c r="Q73" s="130">
        <v>0</v>
      </c>
      <c r="U73" s="337"/>
    </row>
    <row r="74" spans="1:21">
      <c r="A74" s="323" t="s">
        <v>896</v>
      </c>
      <c r="C74" s="125">
        <v>0</v>
      </c>
      <c r="D74" s="127">
        <v>12.76</v>
      </c>
      <c r="E74" s="127" t="s">
        <v>2557</v>
      </c>
      <c r="F74" s="127"/>
      <c r="G74" s="385">
        <v>0</v>
      </c>
      <c r="I74" s="125">
        <v>0</v>
      </c>
      <c r="J74" s="127">
        <v>14.67</v>
      </c>
      <c r="K74" s="127" t="s">
        <v>2557</v>
      </c>
      <c r="L74" s="127"/>
      <c r="M74" s="334">
        <v>0</v>
      </c>
      <c r="N74" s="128"/>
      <c r="O74" s="128">
        <v>0</v>
      </c>
      <c r="P74" s="128"/>
      <c r="Q74" s="130">
        <v>0</v>
      </c>
      <c r="U74" s="337"/>
    </row>
    <row r="75" spans="1:21">
      <c r="A75" s="323" t="s">
        <v>913</v>
      </c>
      <c r="C75" s="125">
        <v>0</v>
      </c>
      <c r="D75" s="127">
        <v>7.7789999999999998E-2</v>
      </c>
      <c r="E75" s="127" t="s">
        <v>2560</v>
      </c>
      <c r="F75" s="127"/>
      <c r="G75" s="385">
        <v>0</v>
      </c>
      <c r="I75" s="125">
        <v>0</v>
      </c>
      <c r="J75" s="127">
        <v>8.9459999999999998E-2</v>
      </c>
      <c r="K75" s="127" t="s">
        <v>2560</v>
      </c>
      <c r="L75" s="127"/>
      <c r="M75" s="334">
        <v>0</v>
      </c>
      <c r="N75" s="128"/>
      <c r="O75" s="128">
        <v>0</v>
      </c>
      <c r="P75" s="128"/>
      <c r="Q75" s="130">
        <v>0</v>
      </c>
      <c r="U75" s="337"/>
    </row>
    <row r="76" spans="1:21" s="137" customFormat="1" ht="13.5" thickBot="1">
      <c r="A76" s="338" t="s">
        <v>914</v>
      </c>
      <c r="C76" s="138">
        <v>201</v>
      </c>
      <c r="D76" s="167"/>
      <c r="F76" s="167"/>
      <c r="G76" s="388">
        <f>SUM(G62:G75)</f>
        <v>237548.65766999999</v>
      </c>
      <c r="I76" s="138">
        <v>201</v>
      </c>
      <c r="J76" s="167"/>
      <c r="L76" s="167"/>
      <c r="M76" s="339">
        <v>223278.45088160201</v>
      </c>
      <c r="N76" s="140"/>
      <c r="O76" s="140">
        <v>19571.84871595708</v>
      </c>
      <c r="P76" s="140"/>
      <c r="Q76" s="142">
        <v>9.6078618000000005E-2</v>
      </c>
      <c r="U76" s="340"/>
    </row>
    <row r="77" spans="1:21" ht="13.5" thickTop="1">
      <c r="A77" s="166"/>
      <c r="C77" s="125"/>
      <c r="D77" s="127"/>
      <c r="F77" s="127"/>
      <c r="G77" s="128"/>
      <c r="I77" s="125"/>
      <c r="J77" s="127"/>
      <c r="L77" s="127"/>
      <c r="M77" s="128"/>
      <c r="N77" s="128"/>
      <c r="U77" s="337"/>
    </row>
    <row r="78" spans="1:21">
      <c r="A78" s="333" t="s">
        <v>2621</v>
      </c>
      <c r="C78" s="125"/>
      <c r="D78" s="127"/>
      <c r="F78" s="127"/>
      <c r="G78" s="128"/>
      <c r="I78" s="125"/>
      <c r="J78" s="127"/>
      <c r="L78" s="127"/>
      <c r="M78" s="128"/>
      <c r="N78" s="128"/>
      <c r="U78" s="337"/>
    </row>
    <row r="79" spans="1:21">
      <c r="A79" s="341"/>
      <c r="C79" s="125"/>
      <c r="D79" s="127"/>
      <c r="F79" s="127"/>
      <c r="G79" s="128"/>
      <c r="I79" s="125"/>
      <c r="J79" s="127"/>
      <c r="L79" s="127"/>
      <c r="M79" s="128"/>
      <c r="N79" s="128"/>
      <c r="U79" s="337"/>
    </row>
    <row r="80" spans="1:21">
      <c r="A80" s="133" t="s">
        <v>2622</v>
      </c>
      <c r="C80" s="125"/>
      <c r="D80" s="127"/>
      <c r="F80" s="127"/>
      <c r="G80" s="128"/>
      <c r="I80" s="125"/>
      <c r="J80" s="127"/>
      <c r="L80" s="127"/>
      <c r="M80" s="128"/>
      <c r="N80" s="128"/>
      <c r="U80" s="337"/>
    </row>
    <row r="81" spans="1:21">
      <c r="A81" s="322" t="s">
        <v>2615</v>
      </c>
      <c r="C81" s="125"/>
      <c r="D81" s="127"/>
      <c r="F81" s="127"/>
      <c r="G81" s="128"/>
      <c r="I81" s="125"/>
      <c r="J81" s="127"/>
      <c r="L81" s="127"/>
      <c r="M81" s="128"/>
      <c r="N81" s="128"/>
      <c r="U81" s="337"/>
    </row>
    <row r="82" spans="1:21">
      <c r="A82" s="323" t="s">
        <v>890</v>
      </c>
      <c r="C82" s="125">
        <f>'C-8 Lighting'!M77</f>
        <v>131</v>
      </c>
      <c r="D82" s="127">
        <v>8.9499999999999993</v>
      </c>
      <c r="E82" s="127" t="s">
        <v>2557</v>
      </c>
      <c r="F82" s="127"/>
      <c r="G82" s="385">
        <f t="shared" ref="G82:G87" si="2">C82*D82*12</f>
        <v>14069.399999999998</v>
      </c>
      <c r="I82" s="125">
        <v>140</v>
      </c>
      <c r="J82" s="127">
        <v>10.29</v>
      </c>
      <c r="K82" s="127">
        <v>0</v>
      </c>
      <c r="L82" s="127"/>
      <c r="M82" s="334">
        <v>17287.199999999997</v>
      </c>
      <c r="N82" s="128"/>
      <c r="O82" s="128">
        <v>2251.1999999999971</v>
      </c>
      <c r="P82" s="128"/>
      <c r="Q82" s="130">
        <v>0.14972067</v>
      </c>
      <c r="U82" s="337"/>
    </row>
    <row r="83" spans="1:21">
      <c r="A83" s="323" t="s">
        <v>891</v>
      </c>
      <c r="C83" s="125">
        <f>'C-8 Lighting'!M78</f>
        <v>191</v>
      </c>
      <c r="D83" s="127">
        <v>9.32</v>
      </c>
      <c r="E83" s="127" t="s">
        <v>2557</v>
      </c>
      <c r="F83" s="127"/>
      <c r="G83" s="385">
        <f t="shared" si="2"/>
        <v>21361.440000000002</v>
      </c>
      <c r="I83" s="125">
        <v>205</v>
      </c>
      <c r="J83" s="127">
        <v>10.72</v>
      </c>
      <c r="K83" s="127">
        <v>0</v>
      </c>
      <c r="L83" s="127"/>
      <c r="M83" s="334">
        <v>26371.199999999997</v>
      </c>
      <c r="N83" s="128"/>
      <c r="O83" s="128">
        <v>3443.9999999999964</v>
      </c>
      <c r="P83" s="128"/>
      <c r="Q83" s="130">
        <v>0.15021459200000001</v>
      </c>
      <c r="U83" s="337"/>
    </row>
    <row r="84" spans="1:21">
      <c r="A84" s="323" t="s">
        <v>892</v>
      </c>
      <c r="C84" s="125">
        <f>'C-8 Lighting'!M79</f>
        <v>655</v>
      </c>
      <c r="D84" s="127">
        <v>10.1</v>
      </c>
      <c r="E84" s="127" t="s">
        <v>2557</v>
      </c>
      <c r="F84" s="127"/>
      <c r="G84" s="385">
        <f t="shared" si="2"/>
        <v>79386</v>
      </c>
      <c r="I84" s="125">
        <v>727</v>
      </c>
      <c r="J84" s="127">
        <v>11.62</v>
      </c>
      <c r="K84" s="127">
        <v>0</v>
      </c>
      <c r="L84" s="127"/>
      <c r="M84" s="334">
        <v>101372.88</v>
      </c>
      <c r="N84" s="128"/>
      <c r="O84" s="128">
        <v>13260.48000000001</v>
      </c>
      <c r="P84" s="128"/>
      <c r="Q84" s="130">
        <v>0.15049504999999999</v>
      </c>
      <c r="U84" s="337"/>
    </row>
    <row r="85" spans="1:21">
      <c r="A85" s="323" t="s">
        <v>893</v>
      </c>
      <c r="C85" s="125">
        <f>'C-8 Lighting'!M80</f>
        <v>11</v>
      </c>
      <c r="D85" s="127">
        <v>10.89</v>
      </c>
      <c r="E85" s="127" t="s">
        <v>2557</v>
      </c>
      <c r="F85" s="127"/>
      <c r="G85" s="385">
        <f t="shared" si="2"/>
        <v>1437.48</v>
      </c>
      <c r="I85" s="125">
        <v>14</v>
      </c>
      <c r="J85" s="127">
        <v>12.52</v>
      </c>
      <c r="K85" s="127">
        <v>0</v>
      </c>
      <c r="L85" s="127"/>
      <c r="M85" s="334">
        <v>2103.36</v>
      </c>
      <c r="N85" s="128"/>
      <c r="O85" s="128">
        <v>273.84000000000015</v>
      </c>
      <c r="P85" s="128"/>
      <c r="Q85" s="130">
        <v>0.14967860399999999</v>
      </c>
      <c r="U85" s="337"/>
    </row>
    <row r="86" spans="1:21">
      <c r="A86" s="323" t="s">
        <v>894</v>
      </c>
      <c r="C86" s="125">
        <f>'C-8 Lighting'!M81</f>
        <v>120</v>
      </c>
      <c r="D86" s="127">
        <v>13.16</v>
      </c>
      <c r="E86" s="127" t="s">
        <v>2557</v>
      </c>
      <c r="F86" s="127"/>
      <c r="G86" s="385">
        <f t="shared" si="2"/>
        <v>18950.400000000001</v>
      </c>
      <c r="I86" s="125">
        <v>130</v>
      </c>
      <c r="J86" s="127">
        <v>15.13</v>
      </c>
      <c r="K86" s="127">
        <v>0</v>
      </c>
      <c r="L86" s="127"/>
      <c r="M86" s="334">
        <v>23602.800000000003</v>
      </c>
      <c r="N86" s="128"/>
      <c r="O86" s="128">
        <v>3073.2000000000044</v>
      </c>
      <c r="P86" s="128"/>
      <c r="Q86" s="130">
        <v>0.149696049</v>
      </c>
      <c r="U86" s="337"/>
    </row>
    <row r="87" spans="1:21">
      <c r="A87" s="323" t="s">
        <v>895</v>
      </c>
      <c r="C87" s="125">
        <f>'C-8 Lighting'!M82</f>
        <v>1</v>
      </c>
      <c r="D87" s="127">
        <v>14.32</v>
      </c>
      <c r="E87" s="127" t="s">
        <v>2557</v>
      </c>
      <c r="F87" s="127"/>
      <c r="G87" s="385">
        <f t="shared" si="2"/>
        <v>171.84</v>
      </c>
      <c r="I87" s="125">
        <v>1</v>
      </c>
      <c r="J87" s="127">
        <v>16.47</v>
      </c>
      <c r="K87" s="127">
        <v>0</v>
      </c>
      <c r="L87" s="127"/>
      <c r="M87" s="334">
        <v>197.64</v>
      </c>
      <c r="N87" s="128"/>
      <c r="O87" s="128">
        <v>25.799999999999983</v>
      </c>
      <c r="P87" s="128"/>
      <c r="Q87" s="130">
        <v>0.15013966500000001</v>
      </c>
      <c r="U87" s="337"/>
    </row>
    <row r="88" spans="1:21">
      <c r="A88" s="323"/>
      <c r="C88" s="125"/>
      <c r="D88" s="127"/>
      <c r="F88" s="127"/>
      <c r="G88" s="387"/>
      <c r="I88" s="125"/>
      <c r="J88" s="127"/>
      <c r="L88" s="127"/>
      <c r="M88" s="128"/>
      <c r="N88" s="128"/>
      <c r="U88" s="337"/>
    </row>
    <row r="89" spans="1:21">
      <c r="A89" s="133" t="s">
        <v>2623</v>
      </c>
      <c r="C89" s="125"/>
      <c r="D89" s="127"/>
      <c r="F89" s="127"/>
      <c r="G89" s="387" t="s">
        <v>7</v>
      </c>
      <c r="I89" s="125"/>
      <c r="J89" s="127"/>
      <c r="L89" s="127"/>
      <c r="M89" s="128"/>
      <c r="N89" s="128"/>
      <c r="U89" s="337"/>
    </row>
    <row r="90" spans="1:21">
      <c r="A90" s="322" t="s">
        <v>2615</v>
      </c>
      <c r="C90" s="125"/>
      <c r="D90" s="127"/>
      <c r="F90" s="127"/>
      <c r="G90" s="387"/>
      <c r="I90" s="125"/>
      <c r="J90" s="127"/>
      <c r="L90" s="127"/>
      <c r="M90" s="128"/>
      <c r="N90" s="128"/>
      <c r="U90" s="337"/>
    </row>
    <row r="91" spans="1:21">
      <c r="A91" s="323" t="s">
        <v>920</v>
      </c>
      <c r="C91" s="125">
        <f>'C-8 Lighting'!M86</f>
        <v>1182</v>
      </c>
      <c r="D91" s="127">
        <v>5.78</v>
      </c>
      <c r="E91" s="127" t="s">
        <v>2557</v>
      </c>
      <c r="F91" s="127"/>
      <c r="G91" s="385">
        <f>C91*D91*12</f>
        <v>81983.520000000004</v>
      </c>
      <c r="I91" s="125">
        <v>1282</v>
      </c>
      <c r="J91" s="127">
        <v>6.65</v>
      </c>
      <c r="K91" s="127" t="s">
        <v>2557</v>
      </c>
      <c r="L91" s="127"/>
      <c r="M91" s="334">
        <v>102303.6</v>
      </c>
      <c r="N91" s="128"/>
      <c r="O91" s="128">
        <v>13384.080000000002</v>
      </c>
      <c r="P91" s="128"/>
      <c r="Q91" s="130">
        <v>0.150519031</v>
      </c>
      <c r="U91" s="337"/>
    </row>
    <row r="92" spans="1:21" s="137" customFormat="1" ht="13.5" thickBot="1">
      <c r="A92" s="338" t="s">
        <v>2624</v>
      </c>
      <c r="C92" s="138">
        <f>SUM(C82:C91)</f>
        <v>2291</v>
      </c>
      <c r="D92" s="167"/>
      <c r="F92" s="167"/>
      <c r="G92" s="388">
        <f>SUM(G82:G91)</f>
        <v>217360.08000000002</v>
      </c>
      <c r="I92" s="138">
        <v>2499</v>
      </c>
      <c r="J92" s="167"/>
      <c r="L92" s="167"/>
      <c r="M92" s="339">
        <v>273238.68000000005</v>
      </c>
      <c r="N92" s="140"/>
      <c r="O92" s="140">
        <v>35712.600000000035</v>
      </c>
      <c r="P92" s="140"/>
      <c r="Q92" s="142">
        <v>0.15035233200000001</v>
      </c>
      <c r="U92" s="340"/>
    </row>
    <row r="93" spans="1:21" ht="13.5" thickTop="1">
      <c r="A93" s="166"/>
      <c r="C93" s="125"/>
      <c r="D93" s="127"/>
      <c r="F93" s="127"/>
      <c r="G93" s="387"/>
      <c r="I93" s="125"/>
      <c r="J93" s="127"/>
      <c r="L93" s="127"/>
      <c r="M93" s="128"/>
      <c r="N93" s="128"/>
      <c r="U93" s="337"/>
    </row>
    <row r="94" spans="1:21">
      <c r="A94" s="333" t="s">
        <v>922</v>
      </c>
      <c r="C94" s="125"/>
      <c r="D94" s="127"/>
      <c r="F94" s="127"/>
      <c r="G94" s="387"/>
      <c r="I94" s="125"/>
      <c r="J94" s="127"/>
      <c r="L94" s="127"/>
      <c r="M94" s="128"/>
      <c r="N94" s="128"/>
      <c r="U94" s="337"/>
    </row>
    <row r="95" spans="1:21">
      <c r="A95" s="341"/>
      <c r="C95" s="125"/>
      <c r="D95" s="127"/>
      <c r="F95" s="127"/>
      <c r="G95" s="387"/>
      <c r="I95" s="125"/>
      <c r="J95" s="127"/>
      <c r="L95" s="127"/>
      <c r="M95" s="128"/>
      <c r="N95" s="128"/>
      <c r="U95" s="337"/>
    </row>
    <row r="96" spans="1:21">
      <c r="A96" s="322" t="s">
        <v>2556</v>
      </c>
      <c r="C96" s="125">
        <f>'C-8 Lighting'!M92</f>
        <v>80</v>
      </c>
      <c r="D96" s="127">
        <v>5</v>
      </c>
      <c r="E96" s="127" t="s">
        <v>2557</v>
      </c>
      <c r="F96" s="127"/>
      <c r="G96" s="385">
        <f>C96*D96*12</f>
        <v>4800</v>
      </c>
      <c r="I96" s="125">
        <v>81</v>
      </c>
      <c r="J96" s="127">
        <v>5.75</v>
      </c>
      <c r="K96" s="127" t="s">
        <v>2557</v>
      </c>
      <c r="L96" s="127"/>
      <c r="M96" s="334">
        <v>5589</v>
      </c>
      <c r="N96" s="128"/>
      <c r="O96" s="128">
        <v>729</v>
      </c>
      <c r="P96" s="128"/>
      <c r="Q96" s="130">
        <v>0.15</v>
      </c>
      <c r="U96" s="337"/>
    </row>
    <row r="97" spans="1:21">
      <c r="A97" s="166"/>
      <c r="C97" s="125"/>
      <c r="D97" s="127"/>
      <c r="E97" s="127"/>
      <c r="F97" s="127"/>
      <c r="G97" s="387"/>
      <c r="I97" s="125"/>
      <c r="J97" s="127"/>
      <c r="K97" s="127"/>
      <c r="L97" s="127"/>
      <c r="M97" s="128"/>
      <c r="N97" s="128"/>
      <c r="U97" s="337"/>
    </row>
    <row r="98" spans="1:21">
      <c r="A98" s="322" t="s">
        <v>2558</v>
      </c>
      <c r="C98" s="125"/>
      <c r="D98" s="127"/>
      <c r="E98" s="127"/>
      <c r="F98" s="127"/>
      <c r="G98" s="387"/>
      <c r="I98" s="125"/>
      <c r="J98" s="127"/>
      <c r="K98" s="127"/>
      <c r="L98" s="127"/>
      <c r="M98" s="128"/>
      <c r="N98" s="128"/>
      <c r="U98" s="337"/>
    </row>
    <row r="99" spans="1:21">
      <c r="A99" s="323" t="s">
        <v>912</v>
      </c>
      <c r="C99" s="125">
        <f>'C-8 Lighting'!M94</f>
        <v>757712</v>
      </c>
      <c r="D99" s="127">
        <v>4.5289999999999997E-2</v>
      </c>
      <c r="E99" s="127" t="s">
        <v>2560</v>
      </c>
      <c r="F99" s="127"/>
      <c r="G99" s="385">
        <f>C99*D99</f>
        <v>34316.77648</v>
      </c>
      <c r="I99" s="125">
        <v>1063812.1958532948</v>
      </c>
      <c r="J99" s="127">
        <v>5.2080000000000001E-2</v>
      </c>
      <c r="K99" s="127" t="s">
        <v>2560</v>
      </c>
      <c r="L99" s="127"/>
      <c r="M99" s="334">
        <v>55403.339160039592</v>
      </c>
      <c r="N99" s="128"/>
      <c r="O99" s="128">
        <v>7223.2848098438699</v>
      </c>
      <c r="P99" s="128"/>
      <c r="Q99" s="130">
        <v>0.14992272000000001</v>
      </c>
      <c r="U99" s="337"/>
    </row>
    <row r="100" spans="1:21" s="137" customFormat="1" ht="13.5" thickBot="1">
      <c r="A100" s="338" t="s">
        <v>2625</v>
      </c>
      <c r="C100" s="138">
        <v>81</v>
      </c>
      <c r="D100" s="167"/>
      <c r="F100" s="167"/>
      <c r="G100" s="388">
        <f>SUM(G96:G99)</f>
        <v>39116.77648</v>
      </c>
      <c r="I100" s="138">
        <v>81</v>
      </c>
      <c r="J100" s="167"/>
      <c r="L100" s="167"/>
      <c r="M100" s="339">
        <v>60992.339160039592</v>
      </c>
      <c r="N100" s="140"/>
      <c r="O100" s="140">
        <v>7952.2848098438699</v>
      </c>
      <c r="P100" s="140"/>
      <c r="Q100" s="142">
        <v>0.149929801</v>
      </c>
      <c r="U100" s="340"/>
    </row>
    <row r="101" spans="1:21" ht="13.5" thickTop="1">
      <c r="A101" s="166"/>
      <c r="C101" s="125"/>
      <c r="D101" s="127"/>
      <c r="F101" s="127"/>
      <c r="G101" s="128"/>
      <c r="I101" s="125"/>
      <c r="J101" s="127"/>
      <c r="L101" s="127"/>
      <c r="M101" s="128"/>
      <c r="N101" s="128"/>
      <c r="U101" s="337"/>
    </row>
    <row r="102" spans="1:21">
      <c r="A102" s="333" t="s">
        <v>923</v>
      </c>
      <c r="C102" s="125"/>
      <c r="D102" s="127"/>
      <c r="F102" s="127"/>
      <c r="G102" s="128"/>
      <c r="I102" s="125"/>
      <c r="J102" s="127"/>
      <c r="L102" s="127"/>
      <c r="M102" s="128"/>
      <c r="N102" s="128"/>
      <c r="U102" s="337"/>
    </row>
    <row r="103" spans="1:21">
      <c r="A103" s="166"/>
      <c r="C103" s="125"/>
      <c r="D103" s="127"/>
      <c r="F103" s="127"/>
      <c r="G103" s="128"/>
      <c r="I103" s="125"/>
      <c r="J103" s="127"/>
      <c r="L103" s="127"/>
      <c r="M103" s="128"/>
      <c r="N103" s="128"/>
      <c r="U103" s="337"/>
    </row>
    <row r="104" spans="1:21">
      <c r="A104" s="322" t="s">
        <v>2558</v>
      </c>
      <c r="C104" s="125"/>
      <c r="D104" s="127"/>
      <c r="F104" s="127"/>
      <c r="G104" s="128"/>
      <c r="I104" s="125"/>
      <c r="J104" s="127"/>
      <c r="L104" s="127"/>
      <c r="M104" s="128"/>
      <c r="N104" s="128"/>
      <c r="U104" s="337"/>
    </row>
    <row r="105" spans="1:21">
      <c r="A105" s="323" t="s">
        <v>912</v>
      </c>
      <c r="C105" s="125">
        <f>'C-8 Lighting'!M100</f>
        <v>1519413</v>
      </c>
      <c r="D105" s="127">
        <v>5.9290000000000002E-2</v>
      </c>
      <c r="E105" s="127" t="s">
        <v>2560</v>
      </c>
      <c r="F105" s="127"/>
      <c r="G105" s="385">
        <f>C105*D105</f>
        <v>90085.996769999998</v>
      </c>
      <c r="I105" s="125">
        <v>1201572.4276757075</v>
      </c>
      <c r="J105" s="127">
        <v>6.8180000000000004E-2</v>
      </c>
      <c r="K105" s="127" t="s">
        <v>2560</v>
      </c>
      <c r="L105" s="127"/>
      <c r="M105" s="334">
        <v>81923.208118929746</v>
      </c>
      <c r="N105" s="128"/>
      <c r="O105" s="128">
        <v>10681.978882037045</v>
      </c>
      <c r="P105" s="128"/>
      <c r="Q105" s="130">
        <v>0.14994096800000001</v>
      </c>
      <c r="U105" s="337"/>
    </row>
    <row r="106" spans="1:21" s="137" customFormat="1" ht="13.5" thickBot="1">
      <c r="A106" s="338" t="s">
        <v>2626</v>
      </c>
      <c r="C106" s="138">
        <f>C105</f>
        <v>1519413</v>
      </c>
      <c r="D106" s="167"/>
      <c r="F106" s="167"/>
      <c r="G106" s="388">
        <f>SUM(G105)</f>
        <v>90085.996769999998</v>
      </c>
      <c r="I106" s="138">
        <v>1201572.4276757075</v>
      </c>
      <c r="J106" s="167"/>
      <c r="L106" s="167"/>
      <c r="M106" s="140">
        <v>81923.208118929746</v>
      </c>
      <c r="N106" s="140"/>
      <c r="O106" s="140">
        <v>10681.978882037045</v>
      </c>
      <c r="P106" s="140"/>
      <c r="Q106" s="142">
        <v>0.14994096800000001</v>
      </c>
      <c r="U106" s="340"/>
    </row>
    <row r="107" spans="1:21" ht="13.5" thickTop="1">
      <c r="A107" s="166"/>
      <c r="C107" s="125"/>
      <c r="D107" s="127"/>
      <c r="F107" s="127"/>
      <c r="G107" s="128"/>
      <c r="I107" s="125"/>
      <c r="J107" s="127"/>
      <c r="L107" s="127"/>
      <c r="M107" s="128"/>
      <c r="N107" s="128"/>
      <c r="U107" s="337"/>
    </row>
    <row r="108" spans="1:21">
      <c r="A108" s="333" t="s">
        <v>924</v>
      </c>
      <c r="C108" s="125"/>
      <c r="D108" s="127"/>
      <c r="F108" s="127"/>
      <c r="G108" s="128"/>
      <c r="I108" s="125"/>
      <c r="J108" s="127"/>
      <c r="L108" s="127"/>
      <c r="M108" s="128"/>
      <c r="N108" s="128"/>
      <c r="U108" s="337"/>
    </row>
    <row r="109" spans="1:21">
      <c r="A109" s="341"/>
      <c r="C109" s="125"/>
      <c r="D109" s="127"/>
      <c r="F109" s="127"/>
      <c r="G109" s="128"/>
      <c r="I109" s="125"/>
      <c r="J109" s="127"/>
      <c r="L109" s="127"/>
      <c r="M109" s="128"/>
      <c r="N109" s="128"/>
      <c r="U109" s="337"/>
    </row>
    <row r="110" spans="1:21">
      <c r="A110" s="322" t="s">
        <v>2556</v>
      </c>
      <c r="C110" s="125">
        <f>'C-8 Lighting'!M105</f>
        <v>1035</v>
      </c>
      <c r="D110" s="127">
        <v>5</v>
      </c>
      <c r="E110" s="127" t="s">
        <v>2557</v>
      </c>
      <c r="F110" s="127"/>
      <c r="G110" s="385">
        <f>C110*D110*12</f>
        <v>62100</v>
      </c>
      <c r="I110" s="125">
        <v>1030</v>
      </c>
      <c r="J110" s="127">
        <v>5.75</v>
      </c>
      <c r="K110" s="127" t="s">
        <v>2557</v>
      </c>
      <c r="L110" s="127"/>
      <c r="M110" s="334">
        <v>71070</v>
      </c>
      <c r="N110" s="128"/>
      <c r="O110" s="128">
        <v>9270</v>
      </c>
      <c r="P110" s="128"/>
      <c r="Q110" s="130">
        <v>0.15</v>
      </c>
      <c r="U110" s="337"/>
    </row>
    <row r="111" spans="1:21">
      <c r="A111" s="166"/>
      <c r="C111" s="125"/>
      <c r="D111" s="127"/>
      <c r="E111" s="127"/>
      <c r="F111" s="127"/>
      <c r="G111" s="387"/>
      <c r="I111" s="125"/>
      <c r="J111" s="127"/>
      <c r="K111" s="127"/>
      <c r="L111" s="127"/>
      <c r="M111" s="128"/>
      <c r="N111" s="128"/>
      <c r="U111" s="337"/>
    </row>
    <row r="112" spans="1:21">
      <c r="A112" s="322" t="s">
        <v>2558</v>
      </c>
      <c r="C112" s="125"/>
      <c r="D112" s="127"/>
      <c r="E112" s="127"/>
      <c r="F112" s="127"/>
      <c r="G112" s="387"/>
      <c r="I112" s="125"/>
      <c r="J112" s="127"/>
      <c r="K112" s="127"/>
      <c r="L112" s="127"/>
      <c r="M112" s="128"/>
      <c r="N112" s="128"/>
      <c r="U112" s="337"/>
    </row>
    <row r="113" spans="1:21">
      <c r="A113" s="323" t="s">
        <v>912</v>
      </c>
      <c r="C113" s="125">
        <f>'C-8 Lighting'!M107</f>
        <v>13869596</v>
      </c>
      <c r="D113" s="127">
        <v>4.5289999999999997E-2</v>
      </c>
      <c r="E113" s="127" t="s">
        <v>2560</v>
      </c>
      <c r="F113" s="127"/>
      <c r="G113" s="385">
        <f>C113*D113</f>
        <v>628154.00283999997</v>
      </c>
      <c r="I113" s="125">
        <v>8724645.2835892718</v>
      </c>
      <c r="J113" s="127">
        <v>5.2080000000000001E-2</v>
      </c>
      <c r="K113" s="127" t="s">
        <v>2560</v>
      </c>
      <c r="L113" s="127"/>
      <c r="M113" s="334">
        <v>454379.52636932931</v>
      </c>
      <c r="N113" s="128"/>
      <c r="O113" s="128">
        <v>59240.341475571215</v>
      </c>
      <c r="P113" s="128"/>
      <c r="Q113" s="130">
        <v>0.14992272000000001</v>
      </c>
      <c r="U113" s="337"/>
    </row>
    <row r="114" spans="1:21" s="137" customFormat="1" ht="13.5" thickBot="1">
      <c r="A114" s="338" t="s">
        <v>2627</v>
      </c>
      <c r="C114" s="138">
        <v>1030</v>
      </c>
      <c r="D114" s="167"/>
      <c r="F114" s="167"/>
      <c r="G114" s="388">
        <f>SUM(G110:G113)</f>
        <v>690254.00283999997</v>
      </c>
      <c r="I114" s="138">
        <v>1030</v>
      </c>
      <c r="J114" s="167"/>
      <c r="L114" s="167"/>
      <c r="M114" s="339">
        <v>525449.52636932931</v>
      </c>
      <c r="N114" s="140"/>
      <c r="O114" s="140">
        <v>68510.341475571215</v>
      </c>
      <c r="P114" s="140"/>
      <c r="Q114" s="142">
        <v>0.149933172</v>
      </c>
      <c r="U114" s="340"/>
    </row>
    <row r="115" spans="1:21" ht="13.5" thickTop="1">
      <c r="A115" s="166"/>
      <c r="C115" s="125"/>
      <c r="D115" s="127"/>
      <c r="F115" s="127"/>
      <c r="G115" s="387"/>
      <c r="I115" s="125"/>
      <c r="J115" s="127"/>
      <c r="L115" s="127"/>
      <c r="M115" s="128"/>
      <c r="N115" s="128"/>
      <c r="U115" s="337"/>
    </row>
    <row r="116" spans="1:21">
      <c r="A116" s="333" t="s">
        <v>2628</v>
      </c>
      <c r="C116" s="125"/>
      <c r="D116" s="127"/>
      <c r="F116" s="127"/>
      <c r="G116" s="387"/>
      <c r="I116" s="125"/>
      <c r="J116" s="127"/>
      <c r="L116" s="127"/>
      <c r="M116" s="128"/>
      <c r="N116" s="128"/>
      <c r="U116" s="337"/>
    </row>
    <row r="117" spans="1:21">
      <c r="A117" s="166"/>
      <c r="C117" s="125"/>
      <c r="D117" s="127"/>
      <c r="F117" s="127"/>
      <c r="G117" s="387"/>
      <c r="I117" s="125"/>
      <c r="J117" s="127"/>
      <c r="L117" s="127"/>
      <c r="M117" s="128"/>
      <c r="N117" s="128"/>
      <c r="U117" s="337"/>
    </row>
    <row r="118" spans="1:21">
      <c r="A118" s="322" t="s">
        <v>2615</v>
      </c>
      <c r="C118" s="125">
        <f>'C-8 Lighting'!M111</f>
        <v>12</v>
      </c>
      <c r="D118" s="127">
        <v>1.51</v>
      </c>
      <c r="E118" s="127" t="s">
        <v>2629</v>
      </c>
      <c r="F118" s="127"/>
      <c r="G118" s="385">
        <f>C118*D118*12</f>
        <v>217.44</v>
      </c>
      <c r="I118" s="125">
        <v>1</v>
      </c>
      <c r="J118" s="127">
        <v>1.74</v>
      </c>
      <c r="K118" s="127" t="s">
        <v>2629</v>
      </c>
      <c r="L118" s="127"/>
      <c r="M118" s="334">
        <v>20.88</v>
      </c>
      <c r="N118" s="128"/>
      <c r="O118" s="128">
        <v>2.759999999999998</v>
      </c>
      <c r="P118" s="128"/>
      <c r="Q118" s="130">
        <v>0.15231788099999999</v>
      </c>
      <c r="U118" s="337"/>
    </row>
    <row r="119" spans="1:21" s="137" customFormat="1" ht="13.5" thickBot="1">
      <c r="A119" s="338" t="s">
        <v>2630</v>
      </c>
      <c r="C119" s="138">
        <v>1</v>
      </c>
      <c r="D119" s="167"/>
      <c r="F119" s="167"/>
      <c r="G119" s="388">
        <f>SUM(G118)</f>
        <v>217.44</v>
      </c>
      <c r="I119" s="138">
        <v>1</v>
      </c>
      <c r="J119" s="167"/>
      <c r="L119" s="167"/>
      <c r="M119" s="140">
        <v>20.88</v>
      </c>
      <c r="N119" s="140"/>
      <c r="O119" s="140">
        <v>2.759999999999998</v>
      </c>
      <c r="P119" s="140"/>
      <c r="Q119" s="142">
        <v>0.15231788099999999</v>
      </c>
      <c r="U119" s="340"/>
    </row>
    <row r="120" spans="1:21" ht="13.5" thickTop="1">
      <c r="A120" s="166"/>
      <c r="C120" s="125"/>
      <c r="D120" s="127"/>
      <c r="F120" s="127"/>
      <c r="G120" s="387"/>
      <c r="I120" s="125"/>
      <c r="J120" s="127"/>
      <c r="L120" s="127"/>
      <c r="M120" s="128"/>
      <c r="N120" s="128"/>
      <c r="U120" s="337"/>
    </row>
    <row r="121" spans="1:21">
      <c r="A121" s="333" t="s">
        <v>2631</v>
      </c>
      <c r="C121" s="125"/>
      <c r="D121" s="127"/>
      <c r="F121" s="127"/>
      <c r="G121" s="387"/>
      <c r="I121" s="125"/>
      <c r="J121" s="127"/>
      <c r="L121" s="127"/>
      <c r="M121" s="128"/>
      <c r="N121" s="128"/>
      <c r="U121" s="337"/>
    </row>
    <row r="122" spans="1:21">
      <c r="A122" s="166"/>
      <c r="C122" s="125"/>
      <c r="D122" s="127"/>
      <c r="F122" s="127"/>
      <c r="G122" s="387"/>
      <c r="I122" s="125"/>
      <c r="J122" s="127"/>
      <c r="L122" s="127"/>
      <c r="M122" s="128"/>
      <c r="N122" s="128"/>
      <c r="U122" s="337"/>
    </row>
    <row r="123" spans="1:21">
      <c r="A123" s="322" t="s">
        <v>2615</v>
      </c>
      <c r="C123" s="125">
        <f>'C-8 Lighting'!M115</f>
        <v>26</v>
      </c>
      <c r="D123" s="127">
        <v>7.51</v>
      </c>
      <c r="E123" s="127" t="s">
        <v>2632</v>
      </c>
      <c r="F123" s="127"/>
      <c r="G123" s="385">
        <f>C123*D123*12</f>
        <v>2343.12</v>
      </c>
      <c r="I123" s="125">
        <v>26</v>
      </c>
      <c r="J123" s="127">
        <v>8.64</v>
      </c>
      <c r="K123" s="127" t="s">
        <v>2632</v>
      </c>
      <c r="L123" s="127"/>
      <c r="M123" s="334">
        <v>2695.6800000000003</v>
      </c>
      <c r="N123" s="128"/>
      <c r="O123" s="128">
        <v>352.5600000000004</v>
      </c>
      <c r="P123" s="128"/>
      <c r="Q123" s="130">
        <v>0.15046604499999999</v>
      </c>
      <c r="U123" s="337"/>
    </row>
    <row r="124" spans="1:21" s="137" customFormat="1" ht="13.5" thickBot="1">
      <c r="A124" s="338" t="s">
        <v>2633</v>
      </c>
      <c r="C124" s="138">
        <v>26</v>
      </c>
      <c r="D124" s="167"/>
      <c r="F124" s="167"/>
      <c r="G124" s="388">
        <f>SUM(G123)</f>
        <v>2343.12</v>
      </c>
      <c r="I124" s="138">
        <v>26</v>
      </c>
      <c r="J124" s="167"/>
      <c r="L124" s="167"/>
      <c r="M124" s="339">
        <v>2695.6800000000003</v>
      </c>
      <c r="N124" s="140"/>
      <c r="O124" s="140">
        <v>352.5600000000004</v>
      </c>
      <c r="P124" s="140"/>
      <c r="Q124" s="142">
        <v>0.15046604499999999</v>
      </c>
      <c r="U124" s="340"/>
    </row>
    <row r="125" spans="1:21" ht="13.5" thickTop="1">
      <c r="A125" s="166"/>
      <c r="C125" s="125"/>
      <c r="D125" s="127"/>
      <c r="F125" s="127"/>
      <c r="G125" s="387"/>
      <c r="I125" s="125"/>
      <c r="J125" s="127"/>
      <c r="L125" s="127"/>
      <c r="M125" s="128"/>
      <c r="N125" s="128"/>
      <c r="U125" s="337"/>
    </row>
    <row r="126" spans="1:21">
      <c r="A126" s="333" t="s">
        <v>2634</v>
      </c>
      <c r="C126" s="125"/>
      <c r="D126" s="127"/>
      <c r="G126" s="387"/>
      <c r="I126" s="125"/>
      <c r="J126" s="127"/>
      <c r="M126" s="128"/>
      <c r="U126" s="337"/>
    </row>
    <row r="127" spans="1:21">
      <c r="A127" s="133"/>
      <c r="C127" s="125"/>
      <c r="D127" s="127"/>
      <c r="G127" s="387"/>
      <c r="I127" s="125"/>
      <c r="J127" s="127"/>
      <c r="M127" s="128"/>
      <c r="U127" s="337"/>
    </row>
    <row r="128" spans="1:21">
      <c r="A128" s="322" t="s">
        <v>2615</v>
      </c>
      <c r="C128" s="125">
        <f>'C-8 Lighting'!M119</f>
        <v>37</v>
      </c>
      <c r="D128" s="127">
        <v>2</v>
      </c>
      <c r="E128" s="132" t="s">
        <v>2635</v>
      </c>
      <c r="G128" s="385">
        <f>C128*D128*12</f>
        <v>888</v>
      </c>
      <c r="I128" s="125">
        <v>37</v>
      </c>
      <c r="J128" s="132">
        <v>2.2999999999999998</v>
      </c>
      <c r="K128" s="132" t="s">
        <v>2635</v>
      </c>
      <c r="M128" s="334">
        <v>1021.1999999999999</v>
      </c>
      <c r="O128" s="128">
        <v>133.19999999999993</v>
      </c>
      <c r="P128" s="128"/>
      <c r="Q128" s="130">
        <v>0.15</v>
      </c>
      <c r="U128" s="337"/>
    </row>
    <row r="129" spans="1:21" s="137" customFormat="1" ht="13.5" thickBot="1">
      <c r="A129" s="338" t="s">
        <v>2636</v>
      </c>
      <c r="C129" s="138">
        <v>37</v>
      </c>
      <c r="D129" s="167"/>
      <c r="F129" s="167"/>
      <c r="G129" s="388">
        <f>SUM(G128)</f>
        <v>888</v>
      </c>
      <c r="I129" s="138">
        <v>37</v>
      </c>
      <c r="J129" s="167"/>
      <c r="L129" s="167"/>
      <c r="M129" s="339">
        <v>1021.1999999999999</v>
      </c>
      <c r="N129" s="140"/>
      <c r="O129" s="140">
        <v>133.19999999999993</v>
      </c>
      <c r="P129" s="140"/>
      <c r="Q129" s="142">
        <v>0.15</v>
      </c>
      <c r="U129" s="340"/>
    </row>
    <row r="130" spans="1:21" ht="14.25" thickTop="1" thickBot="1">
      <c r="A130" s="166"/>
      <c r="C130" s="125"/>
      <c r="D130" s="127"/>
      <c r="F130" s="127"/>
      <c r="G130" s="128"/>
      <c r="I130" s="125"/>
      <c r="J130" s="127"/>
      <c r="L130" s="127"/>
      <c r="M130" s="128"/>
      <c r="N130" s="128"/>
      <c r="U130" s="337"/>
    </row>
    <row r="131" spans="1:21" ht="14.25" thickTop="1" thickBot="1">
      <c r="A131" s="342"/>
      <c r="B131" s="342"/>
      <c r="C131" s="342"/>
      <c r="D131" s="342"/>
      <c r="E131" s="342"/>
      <c r="F131" s="342"/>
      <c r="G131" s="342"/>
      <c r="H131" s="342"/>
      <c r="I131" s="342"/>
      <c r="J131" s="342"/>
      <c r="K131" s="342"/>
      <c r="L131" s="342"/>
      <c r="M131" s="342"/>
      <c r="N131" s="342"/>
      <c r="O131" s="342"/>
      <c r="P131" s="342"/>
      <c r="Q131" s="342"/>
      <c r="R131" s="342"/>
      <c r="S131" s="342"/>
    </row>
    <row r="132" spans="1:21" ht="14.25" thickTop="1" thickBot="1">
      <c r="A132" s="331" t="s">
        <v>2637</v>
      </c>
      <c r="B132" s="325"/>
      <c r="C132" s="343" t="s">
        <v>2638</v>
      </c>
      <c r="D132" s="327"/>
      <c r="E132" s="327"/>
      <c r="F132" s="327"/>
      <c r="G132" s="328">
        <f>SUM(G129,G124,G119,G114,G106,G100,G92,G76,G58)</f>
        <v>60756125.713759989</v>
      </c>
      <c r="H132" s="325"/>
      <c r="I132" s="326"/>
      <c r="J132" s="332"/>
      <c r="K132" s="327"/>
      <c r="L132" s="327"/>
      <c r="M132" s="328">
        <v>61836959.464529894</v>
      </c>
      <c r="N132" s="344"/>
      <c r="O132" s="344">
        <v>116098.99388340861</v>
      </c>
      <c r="P132" s="344"/>
      <c r="Q132" s="343" t="s">
        <v>2638</v>
      </c>
      <c r="R132" s="342"/>
      <c r="S132" s="342"/>
    </row>
    <row r="133" spans="1:21" ht="13.5" thickTop="1"/>
    <row r="134" spans="1:21">
      <c r="A134" s="119" t="s">
        <v>2639</v>
      </c>
      <c r="C134" s="128">
        <v>3155301.4942746386</v>
      </c>
      <c r="G134" s="128">
        <f>SUM(G132,G11)</f>
        <v>61048890.656449288</v>
      </c>
      <c r="M134" s="128">
        <v>62152489.464529894</v>
      </c>
    </row>
    <row r="136" spans="1:21">
      <c r="C136" s="128">
        <v>8411284.7164107226</v>
      </c>
      <c r="D136" s="119" t="s">
        <v>2640</v>
      </c>
    </row>
    <row r="138" spans="1:21">
      <c r="C138" s="319">
        <v>14130875883.481594</v>
      </c>
    </row>
  </sheetData>
  <conditionalFormatting sqref="I6:I7">
    <cfRule type="cellIs" dxfId="176" priority="3" operator="equal">
      <formula>C6</formula>
    </cfRule>
  </conditionalFormatting>
  <conditionalFormatting sqref="I6:Q8 I9:L10 N9:Q10 J11:Q19">
    <cfRule type="expression" dxfId="175"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174" priority="31">
      <formula>HideProposed</formula>
    </cfRule>
  </conditionalFormatting>
  <conditionalFormatting sqref="J68:L76">
    <cfRule type="expression" dxfId="173" priority="30">
      <formula>HideProposed</formula>
    </cfRule>
  </conditionalFormatting>
  <conditionalFormatting sqref="J91:L92">
    <cfRule type="expression" dxfId="172" priority="29">
      <formula>HideProposed</formula>
    </cfRule>
  </conditionalFormatting>
  <conditionalFormatting sqref="J99:L100">
    <cfRule type="expression" dxfId="171" priority="28">
      <formula>HideProposed</formula>
    </cfRule>
  </conditionalFormatting>
  <conditionalFormatting sqref="J113:L114 J115:Q117 J118:L118 N118 J120:Q122 J125:Q127">
    <cfRule type="expression" dxfId="170" priority="25">
      <formula>HideProposed</formula>
    </cfRule>
  </conditionalFormatting>
  <conditionalFormatting sqref="J123:L124">
    <cfRule type="expression" dxfId="169" priority="23">
      <formula>HideProposed</formula>
    </cfRule>
  </conditionalFormatting>
  <conditionalFormatting sqref="J128:L129">
    <cfRule type="expression" dxfId="168" priority="22">
      <formula>HideProposed</formula>
    </cfRule>
  </conditionalFormatting>
  <conditionalFormatting sqref="J106:N106">
    <cfRule type="expression" dxfId="167" priority="26">
      <formula>HideProposed</formula>
    </cfRule>
  </conditionalFormatting>
  <conditionalFormatting sqref="J119:N119">
    <cfRule type="expression" dxfId="166" priority="24">
      <formula>HideProposed</formula>
    </cfRule>
  </conditionalFormatting>
  <conditionalFormatting sqref="J37:Q46">
    <cfRule type="expression" dxfId="165" priority="1">
      <formula>HideProposed</formula>
    </cfRule>
  </conditionalFormatting>
  <conditionalFormatting sqref="J101:Q104 J105:L105 N105">
    <cfRule type="expression" dxfId="164" priority="27">
      <formula>HideProposed</formula>
    </cfRule>
  </conditionalFormatting>
  <conditionalFormatting sqref="J130:Q131">
    <cfRule type="expression" dxfId="163" priority="2">
      <formula>HideProposed</formula>
    </cfRule>
  </conditionalFormatting>
  <conditionalFormatting sqref="N20:Q26">
    <cfRule type="expression" dxfId="162" priority="21">
      <formula>HideProposed</formula>
    </cfRule>
  </conditionalFormatting>
  <conditionalFormatting sqref="N30:Q36 N38:Q43">
    <cfRule type="expression" dxfId="161" priority="20">
      <formula>HideProposed</formula>
    </cfRule>
  </conditionalFormatting>
  <conditionalFormatting sqref="N47:Q51">
    <cfRule type="expression" dxfId="160" priority="19">
      <formula>HideProposed</formula>
    </cfRule>
  </conditionalFormatting>
  <conditionalFormatting sqref="N54:Q58">
    <cfRule type="expression" dxfId="159" priority="18">
      <formula>HideProposed</formula>
    </cfRule>
  </conditionalFormatting>
  <conditionalFormatting sqref="N62:Q62">
    <cfRule type="expression" dxfId="158" priority="17">
      <formula>HideProposed</formula>
    </cfRule>
  </conditionalFormatting>
  <conditionalFormatting sqref="N65:Q65">
    <cfRule type="expression" dxfId="157" priority="16">
      <formula>HideProposed</formula>
    </cfRule>
  </conditionalFormatting>
  <conditionalFormatting sqref="N68:Q76">
    <cfRule type="expression" dxfId="156" priority="15">
      <formula>HideProposed</formula>
    </cfRule>
  </conditionalFormatting>
  <conditionalFormatting sqref="N82:Q87">
    <cfRule type="expression" dxfId="155" priority="14">
      <formula>HideProposed</formula>
    </cfRule>
  </conditionalFormatting>
  <conditionalFormatting sqref="N91:Q92">
    <cfRule type="expression" dxfId="154" priority="13">
      <formula>HideProposed</formula>
    </cfRule>
  </conditionalFormatting>
  <conditionalFormatting sqref="N96:Q96">
    <cfRule type="expression" dxfId="153" priority="12">
      <formula>HideProposed</formula>
    </cfRule>
  </conditionalFormatting>
  <conditionalFormatting sqref="N99:Q100">
    <cfRule type="expression" dxfId="152" priority="11">
      <formula>HideProposed</formula>
    </cfRule>
  </conditionalFormatting>
  <conditionalFormatting sqref="N110:Q110">
    <cfRule type="expression" dxfId="151" priority="9">
      <formula>HideProposed</formula>
    </cfRule>
  </conditionalFormatting>
  <conditionalFormatting sqref="N113:Q114">
    <cfRule type="expression" dxfId="150" priority="8">
      <formula>HideProposed</formula>
    </cfRule>
  </conditionalFormatting>
  <conditionalFormatting sqref="N123:Q124">
    <cfRule type="expression" dxfId="149" priority="6">
      <formula>HideProposed</formula>
    </cfRule>
  </conditionalFormatting>
  <conditionalFormatting sqref="N128:Q129">
    <cfRule type="expression" dxfId="148" priority="5">
      <formula>HideProposed</formula>
    </cfRule>
  </conditionalFormatting>
  <conditionalFormatting sqref="O105:Q106">
    <cfRule type="expression" dxfId="147" priority="10">
      <formula>HideProposed</formula>
    </cfRule>
  </conditionalFormatting>
  <conditionalFormatting sqref="O118:Q119">
    <cfRule type="expression" dxfId="146" priority="7">
      <formula>HideProposed</formula>
    </cfRule>
  </conditionalFormatting>
  <pageMargins left="0.7" right="0.7" top="0.75" bottom="0.75" header="0.3" footer="0.3"/>
  <pageSetup scale="88" orientation="portrait" horizontalDpi="1200" verticalDpi="1200" r:id="rId1"/>
  <headerFooter>
    <oddHeader>&amp;LPuerto Rico Electric Power Authority 
Rate Review (NEPR-AP-2023-0003)
Consumer Analysis at Present Rates&amp;RSchedule E-2.1 Lighting FY2026
Page &amp;P of &amp;N</oddHead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80972-567A-4DEB-A655-D87536ACB0FF}">
  <sheetPr>
    <tabColor theme="8" tint="0.79998168889431442"/>
  </sheetPr>
  <dimension ref="A2:U138"/>
  <sheetViews>
    <sheetView workbookViewId="0"/>
    <sheetView workbookViewId="1"/>
    <sheetView workbookViewId="2"/>
  </sheetViews>
  <sheetFormatPr defaultColWidth="8.140625" defaultRowHeight="12.75"/>
  <cols>
    <col min="1" max="1" width="36.5703125" style="119" customWidth="1"/>
    <col min="2" max="2" width="11.85546875" style="119" customWidth="1"/>
    <col min="3" max="3" width="16" style="119" customWidth="1"/>
    <col min="4" max="4" width="10.42578125" style="119" customWidth="1"/>
    <col min="5" max="5" width="8" style="119" customWidth="1"/>
    <col min="6" max="6" width="1.5703125" style="119" customWidth="1"/>
    <col min="7" max="7" width="14.5703125" style="119" customWidth="1"/>
    <col min="8" max="8" width="1.5703125" style="119" customWidth="1"/>
    <col min="9" max="9" width="12.140625" style="119" hidden="1" customWidth="1"/>
    <col min="10" max="10" width="10.42578125" style="119" hidden="1" customWidth="1"/>
    <col min="11" max="11" width="8.85546875" style="119" hidden="1" customWidth="1"/>
    <col min="12" max="12" width="1.5703125" style="119" hidden="1" customWidth="1"/>
    <col min="13" max="13" width="18.42578125" style="119" hidden="1" customWidth="1"/>
    <col min="14" max="14" width="1.5703125" style="119" hidden="1" customWidth="1"/>
    <col min="15" max="15" width="13" style="119" hidden="1" customWidth="1"/>
    <col min="16" max="16" width="2.140625" style="119" hidden="1" customWidth="1"/>
    <col min="17" max="17" width="12.140625" style="119" hidden="1" customWidth="1"/>
    <col min="18" max="18" width="2.140625" style="119" customWidth="1"/>
    <col min="19" max="19" width="9.140625" style="119" customWidth="1"/>
    <col min="20" max="16384" width="8.140625" style="119"/>
  </cols>
  <sheetData>
    <row r="2" spans="1:17">
      <c r="C2" s="120" t="s">
        <v>2612</v>
      </c>
      <c r="I2" s="120" t="s">
        <v>2613</v>
      </c>
      <c r="O2" s="118" t="s">
        <v>2547</v>
      </c>
      <c r="P2" s="118"/>
      <c r="Q2" s="118"/>
    </row>
    <row r="3" spans="1:17">
      <c r="B3" s="120"/>
      <c r="C3" s="120" t="s">
        <v>2548</v>
      </c>
      <c r="D3" s="120" t="s">
        <v>2503</v>
      </c>
      <c r="E3" s="120"/>
      <c r="F3" s="120"/>
      <c r="G3" s="120" t="s">
        <v>2503</v>
      </c>
      <c r="H3" s="120"/>
      <c r="I3" s="120" t="s">
        <v>2548</v>
      </c>
      <c r="J3" s="120" t="s">
        <v>2546</v>
      </c>
      <c r="K3" s="120"/>
      <c r="L3" s="120"/>
      <c r="M3" s="120" t="s">
        <v>2546</v>
      </c>
      <c r="N3" s="120"/>
      <c r="O3" s="118" t="s">
        <v>2549</v>
      </c>
      <c r="P3" s="118"/>
      <c r="Q3" s="118"/>
    </row>
    <row r="4" spans="1:17">
      <c r="A4" s="121" t="s">
        <v>2550</v>
      </c>
      <c r="B4" s="122"/>
      <c r="C4" s="122" t="s">
        <v>2551</v>
      </c>
      <c r="D4" s="122" t="s">
        <v>2552</v>
      </c>
      <c r="E4" s="122"/>
      <c r="F4" s="122"/>
      <c r="G4" s="122" t="s">
        <v>2506</v>
      </c>
      <c r="H4" s="122"/>
      <c r="I4" s="122" t="s">
        <v>2551</v>
      </c>
      <c r="J4" s="122" t="s">
        <v>2552</v>
      </c>
      <c r="K4" s="122"/>
      <c r="L4" s="122"/>
      <c r="M4" s="122" t="s">
        <v>2506</v>
      </c>
      <c r="N4" s="122"/>
      <c r="O4" s="122" t="s">
        <v>2553</v>
      </c>
      <c r="P4" s="122"/>
      <c r="Q4" s="122" t="s">
        <v>2554</v>
      </c>
    </row>
    <row r="5" spans="1:17">
      <c r="B5" s="120"/>
      <c r="C5" s="120"/>
      <c r="D5" s="120"/>
      <c r="E5" s="120"/>
      <c r="F5" s="120"/>
      <c r="G5" s="120"/>
      <c r="H5" s="120"/>
      <c r="I5" s="120"/>
      <c r="J5" s="120"/>
      <c r="K5" s="120"/>
      <c r="L5" s="120"/>
      <c r="M5" s="120"/>
      <c r="N5" s="120"/>
      <c r="O5" s="120"/>
      <c r="P5" s="120"/>
      <c r="Q5" s="120"/>
    </row>
    <row r="6" spans="1:17" s="321" customFormat="1">
      <c r="A6" s="123" t="s">
        <v>882</v>
      </c>
      <c r="B6" s="123"/>
      <c r="C6" s="119"/>
      <c r="D6" s="119"/>
      <c r="E6" s="119"/>
      <c r="F6" s="119"/>
      <c r="G6" s="119"/>
      <c r="H6" s="119"/>
      <c r="I6" s="124"/>
      <c r="J6" s="119"/>
      <c r="K6" s="119"/>
      <c r="L6" s="119"/>
      <c r="M6" s="119"/>
      <c r="N6" s="119"/>
      <c r="O6" s="119"/>
      <c r="P6" s="119"/>
      <c r="Q6" s="119"/>
    </row>
    <row r="7" spans="1:17" s="321" customFormat="1">
      <c r="A7" s="119"/>
      <c r="B7" s="119"/>
      <c r="C7" s="119"/>
      <c r="D7" s="119"/>
      <c r="E7" s="119"/>
      <c r="F7" s="119"/>
      <c r="G7" s="119"/>
      <c r="H7" s="119"/>
      <c r="I7" s="124"/>
      <c r="J7" s="119"/>
      <c r="K7" s="119"/>
      <c r="L7" s="119"/>
      <c r="M7" s="119"/>
      <c r="N7" s="119"/>
      <c r="O7" s="119"/>
      <c r="P7" s="119"/>
      <c r="Q7" s="119"/>
    </row>
    <row r="8" spans="1:17" s="321" customFormat="1">
      <c r="A8" s="322" t="s">
        <v>2558</v>
      </c>
      <c r="B8" s="119"/>
      <c r="C8" s="125"/>
      <c r="D8" s="132"/>
      <c r="E8" s="119"/>
      <c r="F8" s="119"/>
      <c r="G8" s="119"/>
      <c r="H8" s="119"/>
      <c r="I8" s="131"/>
      <c r="J8" s="132"/>
      <c r="K8" s="119"/>
      <c r="L8" s="119"/>
      <c r="M8" s="119"/>
      <c r="N8" s="119"/>
      <c r="O8" s="119"/>
      <c r="P8" s="119"/>
      <c r="Q8" s="119"/>
    </row>
    <row r="9" spans="1:17" s="321" customFormat="1">
      <c r="A9" s="323" t="s">
        <v>883</v>
      </c>
      <c r="B9" s="119"/>
      <c r="C9" s="125">
        <f>'C-8 Lighting'!M8</f>
        <v>1981200</v>
      </c>
      <c r="D9" s="134">
        <v>9.7790000000000002E-2</v>
      </c>
      <c r="E9" s="135" t="s">
        <v>2560</v>
      </c>
      <c r="F9" s="119"/>
      <c r="G9" s="128">
        <f>D9*C9</f>
        <v>193741.54800000001</v>
      </c>
      <c r="H9" s="119"/>
      <c r="I9" s="125">
        <v>3155301.4942746386</v>
      </c>
      <c r="J9" s="134">
        <v>0.1</v>
      </c>
      <c r="K9" s="135" t="s">
        <v>2560</v>
      </c>
      <c r="L9" s="119"/>
      <c r="M9" s="128">
        <v>315530</v>
      </c>
      <c r="N9" s="119"/>
      <c r="O9" s="128">
        <v>6973</v>
      </c>
      <c r="P9" s="128"/>
      <c r="Q9" s="130">
        <v>2.2598742000000002E-2</v>
      </c>
    </row>
    <row r="10" spans="1:17" s="321" customFormat="1" ht="13.5" thickBot="1">
      <c r="A10" s="324" t="s">
        <v>884</v>
      </c>
      <c r="B10" s="325"/>
      <c r="C10" s="326">
        <f>'C-8 Lighting'!M9</f>
        <v>1127957.5656600648</v>
      </c>
      <c r="D10" s="327">
        <v>8.7790000000000007E-2</v>
      </c>
      <c r="E10" s="327" t="s">
        <v>2560</v>
      </c>
      <c r="F10" s="327"/>
      <c r="G10" s="328">
        <f>D10*C10</f>
        <v>99023.3946892971</v>
      </c>
      <c r="H10" s="325"/>
      <c r="I10" s="326">
        <v>0</v>
      </c>
      <c r="J10" s="329">
        <v>9.5000000000000001E-2</v>
      </c>
      <c r="K10" s="327" t="s">
        <v>2560</v>
      </c>
      <c r="L10" s="327"/>
      <c r="M10" s="328">
        <v>0</v>
      </c>
      <c r="N10" s="328"/>
      <c r="O10" s="328">
        <v>0</v>
      </c>
      <c r="P10" s="328"/>
      <c r="Q10" s="330">
        <v>0</v>
      </c>
    </row>
    <row r="11" spans="1:17" s="321" customFormat="1" ht="14.25" thickTop="1" thickBot="1">
      <c r="A11" s="331" t="s">
        <v>885</v>
      </c>
      <c r="B11" s="325"/>
      <c r="C11" s="326">
        <f>SUM(C9:C10)</f>
        <v>3109157.565660065</v>
      </c>
      <c r="D11" s="327"/>
      <c r="E11" s="327"/>
      <c r="F11" s="327"/>
      <c r="G11" s="326">
        <f>SUM(G9:G10)</f>
        <v>292764.94268929714</v>
      </c>
      <c r="H11" s="325"/>
      <c r="I11" s="326">
        <v>3155301.4942746386</v>
      </c>
      <c r="J11" s="332"/>
      <c r="K11" s="327"/>
      <c r="L11" s="327"/>
      <c r="M11" s="328">
        <v>315530</v>
      </c>
      <c r="N11" s="328"/>
      <c r="O11" s="328">
        <v>6973</v>
      </c>
      <c r="P11" s="328"/>
      <c r="Q11" s="330">
        <v>2.2598742000000002E-2</v>
      </c>
    </row>
    <row r="12" spans="1:17" s="321" customFormat="1" ht="13.5" thickTop="1">
      <c r="A12" s="166"/>
      <c r="B12" s="119"/>
      <c r="C12" s="125"/>
      <c r="D12" s="135"/>
      <c r="E12" s="135"/>
      <c r="F12" s="135"/>
      <c r="G12" s="128"/>
      <c r="H12" s="119"/>
      <c r="I12" s="125"/>
      <c r="J12" s="132"/>
      <c r="K12" s="135"/>
      <c r="L12" s="135"/>
      <c r="M12" s="128"/>
      <c r="N12" s="128"/>
      <c r="O12" s="128"/>
      <c r="P12" s="128"/>
      <c r="Q12" s="130"/>
    </row>
    <row r="14" spans="1:17">
      <c r="A14" s="123" t="s">
        <v>2614</v>
      </c>
    </row>
    <row r="15" spans="1:17">
      <c r="A15" s="123"/>
    </row>
    <row r="16" spans="1:17">
      <c r="A16" s="333" t="s">
        <v>887</v>
      </c>
    </row>
    <row r="17" spans="1:17">
      <c r="A17" s="123"/>
    </row>
    <row r="18" spans="1:17">
      <c r="A18" s="133" t="s">
        <v>888</v>
      </c>
    </row>
    <row r="19" spans="1:17">
      <c r="A19" s="322" t="s">
        <v>2615</v>
      </c>
    </row>
    <row r="20" spans="1:17">
      <c r="A20" s="323" t="s">
        <v>890</v>
      </c>
      <c r="C20" s="386">
        <f>'C-8 Lighting'!M17</f>
        <v>11</v>
      </c>
      <c r="D20" s="334">
        <v>5.9</v>
      </c>
      <c r="E20" s="119" t="s">
        <v>2557</v>
      </c>
      <c r="G20" s="385">
        <f t="shared" ref="G20:G26" si="0">C20*D20*12</f>
        <v>778.80000000000007</v>
      </c>
      <c r="I20" s="131">
        <v>11</v>
      </c>
      <c r="J20" s="334">
        <v>6.79</v>
      </c>
      <c r="K20" s="334" t="s">
        <v>2557</v>
      </c>
      <c r="M20" s="334">
        <v>896.28</v>
      </c>
      <c r="O20" s="128">
        <v>117.4799999999999</v>
      </c>
      <c r="P20" s="128"/>
      <c r="Q20" s="130">
        <v>0.15084745799999999</v>
      </c>
    </row>
    <row r="21" spans="1:17">
      <c r="A21" s="323" t="s">
        <v>891</v>
      </c>
      <c r="C21" s="386">
        <f>'C-8 Lighting'!M18</f>
        <v>10011</v>
      </c>
      <c r="D21" s="334">
        <v>6.32</v>
      </c>
      <c r="E21" s="119" t="s">
        <v>2557</v>
      </c>
      <c r="G21" s="385">
        <f t="shared" si="0"/>
        <v>759234.24</v>
      </c>
      <c r="I21" s="131">
        <v>10656</v>
      </c>
      <c r="J21" s="334">
        <v>7.27</v>
      </c>
      <c r="K21" s="334" t="s">
        <v>2557</v>
      </c>
      <c r="M21" s="334">
        <v>929629.44</v>
      </c>
      <c r="O21" s="128">
        <v>121478.39999999991</v>
      </c>
      <c r="P21" s="128"/>
      <c r="Q21" s="130">
        <v>0.15031645599999999</v>
      </c>
    </row>
    <row r="22" spans="1:17">
      <c r="A22" s="323" t="s">
        <v>892</v>
      </c>
      <c r="C22" s="386">
        <f>'C-8 Lighting'!M19</f>
        <v>74170</v>
      </c>
      <c r="D22" s="334">
        <v>7.05</v>
      </c>
      <c r="E22" s="119" t="s">
        <v>2557</v>
      </c>
      <c r="G22" s="385">
        <f t="shared" si="0"/>
        <v>6274782</v>
      </c>
      <c r="I22" s="131">
        <v>74372</v>
      </c>
      <c r="J22" s="334">
        <v>8.11</v>
      </c>
      <c r="K22" s="334" t="s">
        <v>2557</v>
      </c>
      <c r="M22" s="334">
        <v>7237883.0399999991</v>
      </c>
      <c r="O22" s="128">
        <v>946011.83999999985</v>
      </c>
      <c r="P22" s="128"/>
      <c r="Q22" s="130">
        <v>0.15035461</v>
      </c>
    </row>
    <row r="23" spans="1:17">
      <c r="A23" s="323" t="s">
        <v>893</v>
      </c>
      <c r="C23" s="386">
        <f>'C-8 Lighting'!M20</f>
        <v>610</v>
      </c>
      <c r="D23" s="334">
        <v>7.89</v>
      </c>
      <c r="E23" s="119" t="s">
        <v>2557</v>
      </c>
      <c r="G23" s="385">
        <f t="shared" si="0"/>
        <v>57754.799999999996</v>
      </c>
      <c r="I23" s="131">
        <v>610</v>
      </c>
      <c r="J23" s="334">
        <v>9.07</v>
      </c>
      <c r="K23" s="334" t="s">
        <v>2557</v>
      </c>
      <c r="M23" s="334">
        <v>66392.399999999994</v>
      </c>
      <c r="O23" s="128">
        <v>8637.5999999999985</v>
      </c>
      <c r="P23" s="128"/>
      <c r="Q23" s="130">
        <v>0.14955640100000001</v>
      </c>
    </row>
    <row r="24" spans="1:17">
      <c r="A24" s="323" t="s">
        <v>894</v>
      </c>
      <c r="C24" s="386">
        <f>'C-8 Lighting'!M21</f>
        <v>18448</v>
      </c>
      <c r="D24" s="334">
        <v>12.16</v>
      </c>
      <c r="E24" s="119" t="s">
        <v>2557</v>
      </c>
      <c r="G24" s="385">
        <f t="shared" si="0"/>
        <v>2691932.1600000001</v>
      </c>
      <c r="I24" s="131">
        <v>18474</v>
      </c>
      <c r="J24" s="334">
        <v>13.98</v>
      </c>
      <c r="K24" s="334" t="s">
        <v>2557</v>
      </c>
      <c r="M24" s="334">
        <v>3099198.24</v>
      </c>
      <c r="O24" s="128">
        <v>403472.16000000015</v>
      </c>
      <c r="P24" s="128"/>
      <c r="Q24" s="130">
        <v>0.149671053</v>
      </c>
    </row>
    <row r="25" spans="1:17">
      <c r="A25" s="323" t="s">
        <v>895</v>
      </c>
      <c r="C25" s="386">
        <f>'C-8 Lighting'!M22</f>
        <v>746</v>
      </c>
      <c r="D25" s="334">
        <v>13.32</v>
      </c>
      <c r="E25" s="119" t="s">
        <v>2557</v>
      </c>
      <c r="G25" s="385">
        <f t="shared" si="0"/>
        <v>119240.63999999998</v>
      </c>
      <c r="I25" s="131">
        <v>746</v>
      </c>
      <c r="J25" s="334">
        <v>15.32</v>
      </c>
      <c r="K25" s="334" t="s">
        <v>2557</v>
      </c>
      <c r="M25" s="334">
        <v>137144.63999999998</v>
      </c>
      <c r="O25" s="128">
        <v>17904</v>
      </c>
      <c r="P25" s="128"/>
      <c r="Q25" s="130">
        <v>0.15015015000000001</v>
      </c>
    </row>
    <row r="26" spans="1:17">
      <c r="A26" s="323" t="s">
        <v>896</v>
      </c>
      <c r="C26" s="386">
        <f>'C-8 Lighting'!M23</f>
        <v>1136</v>
      </c>
      <c r="D26" s="334">
        <v>18.16</v>
      </c>
      <c r="E26" s="119" t="s">
        <v>2557</v>
      </c>
      <c r="G26" s="385">
        <f t="shared" si="0"/>
        <v>247557.12</v>
      </c>
      <c r="I26" s="131">
        <v>1136</v>
      </c>
      <c r="J26" s="334">
        <v>20.88</v>
      </c>
      <c r="K26" s="334" t="s">
        <v>2557</v>
      </c>
      <c r="M26" s="334">
        <v>284636.16000000003</v>
      </c>
      <c r="O26" s="128">
        <v>37079.040000000037</v>
      </c>
      <c r="P26" s="128"/>
      <c r="Q26" s="130">
        <v>0.149779736</v>
      </c>
    </row>
    <row r="27" spans="1:17">
      <c r="A27" s="335"/>
      <c r="C27" s="336"/>
      <c r="D27" s="334"/>
      <c r="E27" s="166"/>
      <c r="G27" s="334"/>
      <c r="J27" s="334"/>
      <c r="K27" s="166"/>
      <c r="M27" s="334"/>
    </row>
    <row r="28" spans="1:17">
      <c r="A28" s="133" t="s">
        <v>897</v>
      </c>
      <c r="C28" s="336"/>
      <c r="D28" s="334"/>
      <c r="E28" s="166"/>
      <c r="G28" s="334"/>
      <c r="J28" s="334"/>
      <c r="K28" s="166"/>
      <c r="M28" s="334"/>
    </row>
    <row r="29" spans="1:17">
      <c r="A29" s="322" t="s">
        <v>2615</v>
      </c>
      <c r="C29" s="336"/>
      <c r="D29" s="334"/>
      <c r="E29" s="166"/>
      <c r="G29" s="334"/>
      <c r="J29" s="334"/>
      <c r="K29" s="166"/>
      <c r="M29" s="334"/>
    </row>
    <row r="30" spans="1:17">
      <c r="A30" s="323" t="s">
        <v>890</v>
      </c>
      <c r="C30" s="386">
        <f>'C-8 Lighting'!M27</f>
        <v>35</v>
      </c>
      <c r="D30" s="334">
        <v>8.9499999999999993</v>
      </c>
      <c r="E30" s="334" t="s">
        <v>2557</v>
      </c>
      <c r="G30" s="385">
        <f t="shared" ref="G30:G35" si="1">C30*D30*12</f>
        <v>3759</v>
      </c>
      <c r="I30" s="131">
        <v>35</v>
      </c>
      <c r="J30" s="334">
        <v>10.29</v>
      </c>
      <c r="K30" s="334" t="s">
        <v>2557</v>
      </c>
      <c r="M30" s="334">
        <v>4321.7999999999993</v>
      </c>
      <c r="O30" s="128">
        <v>562.79999999999927</v>
      </c>
      <c r="P30" s="128"/>
      <c r="Q30" s="130">
        <v>0.14972067</v>
      </c>
    </row>
    <row r="31" spans="1:17">
      <c r="A31" s="323" t="s">
        <v>891</v>
      </c>
      <c r="C31" s="386">
        <f>'C-8 Lighting'!M28</f>
        <v>57291</v>
      </c>
      <c r="D31" s="334">
        <v>9.32</v>
      </c>
      <c r="E31" s="334" t="s">
        <v>2557</v>
      </c>
      <c r="G31" s="385">
        <f t="shared" si="1"/>
        <v>6407425.4399999995</v>
      </c>
      <c r="I31" s="131">
        <v>48238</v>
      </c>
      <c r="J31" s="334">
        <v>10.72</v>
      </c>
      <c r="K31" s="334" t="s">
        <v>2557</v>
      </c>
      <c r="M31" s="334">
        <v>6205336.3200000003</v>
      </c>
      <c r="O31" s="128">
        <v>-308001.59999999963</v>
      </c>
      <c r="P31" s="128"/>
      <c r="Q31" s="130">
        <v>-4.7287826999999998E-2</v>
      </c>
    </row>
    <row r="32" spans="1:17">
      <c r="A32" s="323" t="s">
        <v>892</v>
      </c>
      <c r="C32" s="386">
        <f>'C-8 Lighting'!M29</f>
        <v>262102</v>
      </c>
      <c r="D32" s="334">
        <v>10.1</v>
      </c>
      <c r="E32" s="334" t="s">
        <v>2557</v>
      </c>
      <c r="G32" s="385">
        <f t="shared" si="1"/>
        <v>31766762.399999999</v>
      </c>
      <c r="I32" s="131">
        <v>239243</v>
      </c>
      <c r="J32" s="334">
        <v>11.62</v>
      </c>
      <c r="K32" s="334" t="s">
        <v>2557</v>
      </c>
      <c r="M32" s="334">
        <v>33360043.919999994</v>
      </c>
      <c r="O32" s="128">
        <v>727792.31999999657</v>
      </c>
      <c r="P32" s="128"/>
      <c r="Q32" s="130">
        <v>2.2302853000000001E-2</v>
      </c>
    </row>
    <row r="33" spans="1:21">
      <c r="A33" s="323" t="s">
        <v>893</v>
      </c>
      <c r="C33" s="386">
        <f>'C-8 Lighting'!M30</f>
        <v>736</v>
      </c>
      <c r="D33" s="334">
        <v>10.89</v>
      </c>
      <c r="E33" s="334" t="s">
        <v>2557</v>
      </c>
      <c r="G33" s="385">
        <f t="shared" si="1"/>
        <v>96180.48000000001</v>
      </c>
      <c r="I33" s="131">
        <v>736</v>
      </c>
      <c r="J33" s="334">
        <v>12.52</v>
      </c>
      <c r="K33" s="334" t="s">
        <v>2557</v>
      </c>
      <c r="M33" s="334">
        <v>110576.63999999998</v>
      </c>
      <c r="O33" s="128">
        <v>14396.159999999974</v>
      </c>
      <c r="P33" s="128"/>
      <c r="Q33" s="130">
        <v>0.14967860399999999</v>
      </c>
    </row>
    <row r="34" spans="1:21">
      <c r="A34" s="323" t="s">
        <v>894</v>
      </c>
      <c r="C34" s="386">
        <f>'C-8 Lighting'!M31</f>
        <v>36502</v>
      </c>
      <c r="D34" s="334">
        <v>13.16</v>
      </c>
      <c r="E34" s="334" t="s">
        <v>2557</v>
      </c>
      <c r="G34" s="385">
        <f t="shared" si="1"/>
        <v>5764395.8399999999</v>
      </c>
      <c r="I34" s="131">
        <v>37430</v>
      </c>
      <c r="J34" s="334">
        <v>15.13</v>
      </c>
      <c r="K34" s="334" t="s">
        <v>2557</v>
      </c>
      <c r="M34" s="334">
        <v>6795790.8000000007</v>
      </c>
      <c r="O34" s="128">
        <v>884845.20000000112</v>
      </c>
      <c r="P34" s="128"/>
      <c r="Q34" s="130">
        <v>0.149696049</v>
      </c>
    </row>
    <row r="35" spans="1:21">
      <c r="A35" s="323" t="s">
        <v>895</v>
      </c>
      <c r="C35" s="386">
        <f>'C-8 Lighting'!M32</f>
        <v>139</v>
      </c>
      <c r="D35" s="334">
        <v>14.32</v>
      </c>
      <c r="E35" s="334" t="s">
        <v>2557</v>
      </c>
      <c r="G35" s="385">
        <f t="shared" si="1"/>
        <v>23885.760000000002</v>
      </c>
      <c r="I35" s="131">
        <v>90</v>
      </c>
      <c r="J35" s="334">
        <v>16.47</v>
      </c>
      <c r="K35" s="334" t="s">
        <v>2557</v>
      </c>
      <c r="M35" s="334">
        <v>17787.599999999999</v>
      </c>
      <c r="O35" s="128">
        <v>2322</v>
      </c>
      <c r="P35" s="128"/>
      <c r="Q35" s="130">
        <v>0.15013966500000001</v>
      </c>
    </row>
    <row r="36" spans="1:21">
      <c r="A36" s="323"/>
      <c r="C36" s="336"/>
      <c r="D36" s="334"/>
      <c r="E36" s="334"/>
      <c r="G36" s="334"/>
      <c r="I36" s="131"/>
      <c r="J36" s="334"/>
      <c r="K36" s="334"/>
      <c r="M36" s="334"/>
      <c r="O36" s="128"/>
      <c r="P36" s="128"/>
      <c r="Q36" s="130"/>
    </row>
    <row r="37" spans="1:21">
      <c r="A37" s="133" t="s">
        <v>2616</v>
      </c>
      <c r="C37" s="336"/>
      <c r="D37" s="334"/>
      <c r="E37" s="166"/>
      <c r="G37" s="334"/>
      <c r="J37" s="334"/>
      <c r="K37" s="166"/>
      <c r="M37" s="334"/>
    </row>
    <row r="38" spans="1:21">
      <c r="A38" s="322" t="s">
        <v>2615</v>
      </c>
      <c r="C38" s="125"/>
      <c r="D38" s="127"/>
      <c r="G38" s="128"/>
      <c r="I38" s="125"/>
      <c r="J38" s="127"/>
      <c r="M38" s="128"/>
      <c r="U38" s="337"/>
    </row>
    <row r="39" spans="1:21">
      <c r="A39" s="322" t="s">
        <v>899</v>
      </c>
      <c r="C39" s="125">
        <v>0</v>
      </c>
      <c r="D39" s="127">
        <v>0</v>
      </c>
      <c r="E39" s="119" t="s">
        <v>2557</v>
      </c>
      <c r="G39" s="128">
        <v>0</v>
      </c>
      <c r="I39" s="125">
        <v>16982</v>
      </c>
      <c r="J39" s="126">
        <v>5.25</v>
      </c>
      <c r="K39" s="126" t="s">
        <v>2557</v>
      </c>
      <c r="M39" s="128">
        <v>89155.5</v>
      </c>
      <c r="O39" s="128">
        <v>89155.5</v>
      </c>
      <c r="Q39" s="130">
        <v>0</v>
      </c>
      <c r="U39" s="337"/>
    </row>
    <row r="40" spans="1:21">
      <c r="A40" s="322" t="s">
        <v>900</v>
      </c>
      <c r="C40" s="125">
        <v>0</v>
      </c>
      <c r="D40" s="127">
        <v>0</v>
      </c>
      <c r="E40" s="119" t="s">
        <v>2557</v>
      </c>
      <c r="G40" s="128">
        <v>0</v>
      </c>
      <c r="I40" s="125">
        <v>25000</v>
      </c>
      <c r="J40" s="126">
        <v>7</v>
      </c>
      <c r="K40" s="126" t="s">
        <v>2557</v>
      </c>
      <c r="M40" s="128">
        <v>175000</v>
      </c>
      <c r="O40" s="128">
        <v>175000</v>
      </c>
      <c r="Q40" s="130">
        <v>0</v>
      </c>
      <c r="U40" s="337"/>
    </row>
    <row r="41" spans="1:21">
      <c r="A41" s="322" t="s">
        <v>901</v>
      </c>
      <c r="C41" s="125">
        <v>0</v>
      </c>
      <c r="D41" s="127">
        <v>0</v>
      </c>
      <c r="E41" s="119" t="s">
        <v>2557</v>
      </c>
      <c r="G41" s="128">
        <v>0</v>
      </c>
      <c r="I41" s="125">
        <v>75000</v>
      </c>
      <c r="J41" s="126">
        <v>8.35</v>
      </c>
      <c r="K41" s="126" t="s">
        <v>2557</v>
      </c>
      <c r="M41" s="128">
        <v>626250</v>
      </c>
      <c r="O41" s="128">
        <v>626250</v>
      </c>
      <c r="Q41" s="130">
        <v>0</v>
      </c>
      <c r="U41" s="337"/>
    </row>
    <row r="42" spans="1:21">
      <c r="A42" s="322"/>
      <c r="C42" s="125"/>
      <c r="D42" s="127">
        <v>0</v>
      </c>
      <c r="E42" s="119" t="s">
        <v>2557</v>
      </c>
      <c r="G42" s="128">
        <v>0</v>
      </c>
      <c r="I42" s="125"/>
      <c r="J42" s="126">
        <v>0</v>
      </c>
      <c r="K42" s="126" t="s">
        <v>2557</v>
      </c>
      <c r="M42" s="128">
        <v>0</v>
      </c>
      <c r="O42" s="128">
        <v>0</v>
      </c>
      <c r="Q42" s="130">
        <v>0</v>
      </c>
      <c r="U42" s="337"/>
    </row>
    <row r="43" spans="1:21">
      <c r="A43" s="322"/>
      <c r="C43" s="125"/>
      <c r="D43" s="127">
        <v>0</v>
      </c>
      <c r="E43" s="119" t="s">
        <v>2557</v>
      </c>
      <c r="G43" s="128">
        <v>0</v>
      </c>
      <c r="I43" s="125"/>
      <c r="J43" s="126">
        <v>0</v>
      </c>
      <c r="K43" s="126" t="s">
        <v>2557</v>
      </c>
      <c r="M43" s="128">
        <v>0</v>
      </c>
      <c r="O43" s="128">
        <v>0</v>
      </c>
      <c r="P43" s="128"/>
      <c r="Q43" s="130">
        <v>0</v>
      </c>
      <c r="U43" s="337"/>
    </row>
    <row r="44" spans="1:21">
      <c r="A44" s="323"/>
      <c r="C44" s="336"/>
      <c r="D44" s="334"/>
      <c r="E44" s="166"/>
      <c r="G44" s="334"/>
      <c r="J44" s="334"/>
      <c r="K44" s="166"/>
      <c r="M44" s="334"/>
    </row>
    <row r="45" spans="1:21">
      <c r="A45" s="133" t="s">
        <v>902</v>
      </c>
      <c r="C45" s="336"/>
      <c r="D45" s="334"/>
      <c r="E45" s="166"/>
      <c r="G45" s="334"/>
      <c r="J45" s="334"/>
      <c r="K45" s="166"/>
      <c r="M45" s="334"/>
    </row>
    <row r="46" spans="1:21">
      <c r="A46" s="322" t="s">
        <v>2617</v>
      </c>
      <c r="C46" s="336"/>
      <c r="D46" s="334"/>
      <c r="E46" s="166"/>
      <c r="G46" s="334"/>
      <c r="J46" s="334"/>
      <c r="K46" s="166"/>
      <c r="M46" s="334"/>
    </row>
    <row r="47" spans="1:21">
      <c r="A47" s="323" t="s">
        <v>904</v>
      </c>
      <c r="C47" s="336">
        <f>'C-8 Lighting'!M42</f>
        <v>731</v>
      </c>
      <c r="D47" s="334">
        <v>5.82</v>
      </c>
      <c r="E47" s="334" t="s">
        <v>2557</v>
      </c>
      <c r="G47" s="385">
        <f>C47*D47*12</f>
        <v>51053.04</v>
      </c>
      <c r="I47" s="131">
        <v>0</v>
      </c>
      <c r="J47" s="334">
        <v>6.69</v>
      </c>
      <c r="K47" s="334" t="s">
        <v>2557</v>
      </c>
      <c r="M47" s="334">
        <v>0</v>
      </c>
      <c r="O47" s="128">
        <v>0</v>
      </c>
      <c r="P47" s="128"/>
      <c r="Q47" s="130">
        <v>-1</v>
      </c>
    </row>
    <row r="48" spans="1:21">
      <c r="A48" s="323" t="s">
        <v>905</v>
      </c>
      <c r="C48" s="336">
        <f>'C-8 Lighting'!M43</f>
        <v>25809</v>
      </c>
      <c r="D48" s="334">
        <v>7.83</v>
      </c>
      <c r="E48" s="334" t="s">
        <v>2557</v>
      </c>
      <c r="G48" s="385">
        <f>C48*D48*12</f>
        <v>2425013.64</v>
      </c>
      <c r="I48" s="131">
        <v>4275</v>
      </c>
      <c r="J48" s="334">
        <v>9</v>
      </c>
      <c r="K48" s="334" t="s">
        <v>2557</v>
      </c>
      <c r="M48" s="334">
        <v>461700</v>
      </c>
      <c r="O48" s="128">
        <v>-1963971.3599999999</v>
      </c>
      <c r="P48" s="128"/>
      <c r="Q48" s="130">
        <v>-0.80966094300000002</v>
      </c>
    </row>
    <row r="49" spans="1:21">
      <c r="A49" s="323" t="s">
        <v>906</v>
      </c>
      <c r="C49" s="336">
        <f>'C-8 Lighting'!M44</f>
        <v>3380</v>
      </c>
      <c r="D49" s="334">
        <v>13.41</v>
      </c>
      <c r="E49" s="334" t="s">
        <v>2557</v>
      </c>
      <c r="G49" s="385">
        <f>C49*D49*12</f>
        <v>543909.60000000009</v>
      </c>
      <c r="I49" s="131">
        <v>1380</v>
      </c>
      <c r="J49" s="334">
        <v>15.42</v>
      </c>
      <c r="K49" s="334" t="s">
        <v>2557</v>
      </c>
      <c r="M49" s="334">
        <v>255355.19999999998</v>
      </c>
      <c r="O49" s="128">
        <v>-288554.40000000014</v>
      </c>
      <c r="P49" s="128"/>
      <c r="Q49" s="130">
        <v>-0.530519042</v>
      </c>
    </row>
    <row r="50" spans="1:21">
      <c r="A50" s="323" t="s">
        <v>907</v>
      </c>
      <c r="C50" s="336">
        <f>'C-8 Lighting'!M45</f>
        <v>2223</v>
      </c>
      <c r="D50" s="334">
        <v>28.03</v>
      </c>
      <c r="E50" s="334" t="s">
        <v>2557</v>
      </c>
      <c r="G50" s="385">
        <f>C50*D50*12</f>
        <v>747728.28</v>
      </c>
      <c r="I50" s="131">
        <v>523</v>
      </c>
      <c r="J50" s="334">
        <v>32.229999999999997</v>
      </c>
      <c r="K50" s="334" t="s">
        <v>2557</v>
      </c>
      <c r="M50" s="334">
        <v>202275.47999999998</v>
      </c>
      <c r="O50" s="128">
        <v>-545452.80000000005</v>
      </c>
      <c r="P50" s="128"/>
      <c r="Q50" s="130">
        <v>-0.72947996599999998</v>
      </c>
    </row>
    <row r="51" spans="1:21">
      <c r="A51" s="323" t="s">
        <v>908</v>
      </c>
      <c r="C51" s="336">
        <f>'C-8 Lighting'!M46</f>
        <v>4</v>
      </c>
      <c r="D51" s="334">
        <v>25.03</v>
      </c>
      <c r="E51" s="334" t="s">
        <v>2557</v>
      </c>
      <c r="G51" s="385">
        <f>C51*D51*12</f>
        <v>1201.44</v>
      </c>
      <c r="I51" s="131">
        <v>4</v>
      </c>
      <c r="J51" s="334">
        <v>28.78</v>
      </c>
      <c r="K51" s="334" t="s">
        <v>2557</v>
      </c>
      <c r="M51" s="334">
        <v>1381.44</v>
      </c>
      <c r="O51" s="128">
        <v>180</v>
      </c>
      <c r="P51" s="128"/>
      <c r="Q51" s="130">
        <v>0.14982021600000001</v>
      </c>
    </row>
    <row r="52" spans="1:21">
      <c r="A52" s="323"/>
      <c r="C52" s="336"/>
      <c r="D52" s="334"/>
      <c r="E52" s="166"/>
      <c r="G52" s="334"/>
      <c r="J52" s="334"/>
      <c r="K52" s="166"/>
      <c r="M52" s="334"/>
    </row>
    <row r="53" spans="1:21">
      <c r="A53" s="322" t="s">
        <v>2618</v>
      </c>
      <c r="C53" s="336"/>
      <c r="D53" s="334"/>
      <c r="E53" s="166"/>
      <c r="G53" s="334"/>
      <c r="J53" s="334"/>
      <c r="K53" s="166"/>
      <c r="M53" s="334"/>
    </row>
    <row r="54" spans="1:21">
      <c r="A54" s="323" t="s">
        <v>904</v>
      </c>
      <c r="C54" s="336">
        <f>'C-8 Lighting'!M49</f>
        <v>9860</v>
      </c>
      <c r="D54" s="334">
        <v>4.22</v>
      </c>
      <c r="E54" s="334" t="s">
        <v>2557</v>
      </c>
      <c r="G54" s="385">
        <f>C54*D54*12</f>
        <v>499310.39999999997</v>
      </c>
      <c r="I54" s="131">
        <v>2860</v>
      </c>
      <c r="J54" s="334">
        <v>4.8499999999999996</v>
      </c>
      <c r="K54" s="334" t="s">
        <v>2557</v>
      </c>
      <c r="M54" s="334">
        <v>166451.99999999997</v>
      </c>
      <c r="O54" s="128">
        <v>-332858.40000000002</v>
      </c>
      <c r="P54" s="128"/>
      <c r="Q54" s="130">
        <v>-0.66663622499999997</v>
      </c>
    </row>
    <row r="55" spans="1:21">
      <c r="A55" s="323" t="s">
        <v>905</v>
      </c>
      <c r="C55" s="336">
        <f>'C-8 Lighting'!M50</f>
        <v>11308</v>
      </c>
      <c r="D55" s="334">
        <v>6.18</v>
      </c>
      <c r="E55" s="334" t="s">
        <v>2557</v>
      </c>
      <c r="G55" s="385">
        <f>C55*D55*12</f>
        <v>838601.28</v>
      </c>
      <c r="I55" s="131">
        <v>4205</v>
      </c>
      <c r="J55" s="334">
        <v>7.11</v>
      </c>
      <c r="K55" s="334" t="s">
        <v>2557</v>
      </c>
      <c r="M55" s="334">
        <v>358770.60000000003</v>
      </c>
      <c r="O55" s="128">
        <v>-516688.1999999999</v>
      </c>
      <c r="P55" s="128"/>
      <c r="Q55" s="130">
        <v>-0.59019133700000004</v>
      </c>
    </row>
    <row r="56" spans="1:21">
      <c r="A56" s="323" t="s">
        <v>906</v>
      </c>
      <c r="C56" s="336">
        <f>'C-8 Lighting'!M51</f>
        <v>876</v>
      </c>
      <c r="D56" s="334">
        <v>8.31</v>
      </c>
      <c r="E56" s="334" t="s">
        <v>2557</v>
      </c>
      <c r="G56" s="385">
        <f>C56*D56*12</f>
        <v>87354.72</v>
      </c>
      <c r="I56" s="131">
        <v>500</v>
      </c>
      <c r="J56" s="334">
        <v>9.56</v>
      </c>
      <c r="K56" s="334" t="s">
        <v>2557</v>
      </c>
      <c r="M56" s="334">
        <v>57360</v>
      </c>
      <c r="O56" s="128">
        <v>-29994.720000000001</v>
      </c>
      <c r="P56" s="128"/>
      <c r="Q56" s="130">
        <v>-0.343366907</v>
      </c>
    </row>
    <row r="57" spans="1:21">
      <c r="A57" s="323" t="s">
        <v>907</v>
      </c>
      <c r="C57" s="336">
        <f>'C-8 Lighting'!M52</f>
        <v>486</v>
      </c>
      <c r="D57" s="334">
        <v>12.08</v>
      </c>
      <c r="E57" s="334" t="s">
        <v>2557</v>
      </c>
      <c r="G57" s="385">
        <f>C57*D57*12</f>
        <v>70450.559999999998</v>
      </c>
      <c r="I57" s="131">
        <v>150</v>
      </c>
      <c r="J57" s="334">
        <v>13.89</v>
      </c>
      <c r="K57" s="334" t="s">
        <v>2557</v>
      </c>
      <c r="M57" s="334">
        <v>25002</v>
      </c>
      <c r="O57" s="128">
        <v>-45448.56</v>
      </c>
      <c r="P57" s="128"/>
      <c r="Q57" s="130">
        <v>-0.64511282800000003</v>
      </c>
    </row>
    <row r="58" spans="1:21" s="137" customFormat="1" ht="13.5" thickBot="1">
      <c r="A58" s="338" t="s">
        <v>2619</v>
      </c>
      <c r="C58" s="138">
        <f>SUM(C20:C57)</f>
        <v>516614</v>
      </c>
      <c r="D58" s="167"/>
      <c r="F58" s="167"/>
      <c r="G58" s="389">
        <f>SUM(G20:G57)</f>
        <v>59478311.639999986</v>
      </c>
      <c r="I58" s="138">
        <v>562656</v>
      </c>
      <c r="J58" s="167"/>
      <c r="L58" s="167"/>
      <c r="M58" s="339">
        <v>60668339.499999993</v>
      </c>
      <c r="N58" s="140"/>
      <c r="O58" s="140">
        <v>-26818.579999998212</v>
      </c>
      <c r="P58" s="140"/>
      <c r="Q58" s="142">
        <v>-4.4185699999999998E-4</v>
      </c>
      <c r="U58" s="340"/>
    </row>
    <row r="59" spans="1:21" ht="13.5" thickTop="1">
      <c r="A59" s="166"/>
      <c r="C59" s="125"/>
      <c r="D59" s="127"/>
      <c r="F59" s="127"/>
      <c r="G59" s="387"/>
      <c r="I59" s="125"/>
      <c r="J59" s="127"/>
      <c r="L59" s="127"/>
      <c r="M59" s="128"/>
      <c r="N59" s="128"/>
      <c r="U59" s="337"/>
    </row>
    <row r="60" spans="1:21">
      <c r="A60" s="333" t="s">
        <v>2620</v>
      </c>
      <c r="C60" s="125"/>
      <c r="D60" s="127"/>
      <c r="F60" s="127"/>
      <c r="G60" s="387"/>
      <c r="I60" s="125"/>
      <c r="J60" s="127"/>
      <c r="L60" s="127"/>
      <c r="M60" s="128"/>
      <c r="N60" s="128"/>
      <c r="U60" s="337"/>
    </row>
    <row r="61" spans="1:21">
      <c r="A61" s="341"/>
      <c r="C61" s="125"/>
      <c r="D61" s="127"/>
      <c r="F61" s="127"/>
      <c r="G61" s="387"/>
      <c r="I61" s="125"/>
      <c r="J61" s="127"/>
      <c r="L61" s="127"/>
      <c r="M61" s="128"/>
      <c r="N61" s="128"/>
      <c r="U61" s="337"/>
    </row>
    <row r="62" spans="1:21">
      <c r="A62" s="322" t="s">
        <v>2556</v>
      </c>
      <c r="C62" s="125">
        <f>'C-8 Lighting'!M58</f>
        <v>225</v>
      </c>
      <c r="D62" s="127">
        <v>5</v>
      </c>
      <c r="E62" s="127" t="s">
        <v>2557</v>
      </c>
      <c r="F62" s="127"/>
      <c r="G62" s="385">
        <f>C62*D62*12</f>
        <v>13500</v>
      </c>
      <c r="I62" s="125">
        <v>201</v>
      </c>
      <c r="J62" s="127">
        <v>5.75</v>
      </c>
      <c r="K62" s="127" t="s">
        <v>2557</v>
      </c>
      <c r="L62" s="127"/>
      <c r="M62" s="334">
        <v>13869</v>
      </c>
      <c r="N62" s="128"/>
      <c r="O62" s="128">
        <v>1809</v>
      </c>
      <c r="P62" s="128"/>
      <c r="Q62" s="130">
        <v>0.15</v>
      </c>
      <c r="U62" s="337"/>
    </row>
    <row r="63" spans="1:21">
      <c r="A63" s="166"/>
      <c r="C63" s="125"/>
      <c r="D63" s="127"/>
      <c r="E63" s="127"/>
      <c r="F63" s="127"/>
      <c r="G63" s="387"/>
      <c r="I63" s="125"/>
      <c r="J63" s="127"/>
      <c r="K63" s="127"/>
      <c r="L63" s="127"/>
      <c r="M63" s="128"/>
      <c r="N63" s="128"/>
      <c r="U63" s="337"/>
    </row>
    <row r="64" spans="1:21">
      <c r="A64" s="322" t="s">
        <v>2558</v>
      </c>
      <c r="C64" s="125"/>
      <c r="D64" s="127"/>
      <c r="E64" s="127"/>
      <c r="F64" s="127"/>
      <c r="G64" s="387"/>
      <c r="I64" s="125"/>
      <c r="J64" s="127"/>
      <c r="K64" s="127"/>
      <c r="L64" s="127"/>
      <c r="M64" s="128"/>
      <c r="N64" s="128"/>
      <c r="U64" s="337"/>
    </row>
    <row r="65" spans="1:21">
      <c r="A65" s="323" t="s">
        <v>912</v>
      </c>
      <c r="C65" s="125">
        <f>'C-8 Lighting'!M60</f>
        <v>2880173</v>
      </c>
      <c r="D65" s="135">
        <v>7.7789999999999998E-2</v>
      </c>
      <c r="E65" s="127" t="s">
        <v>2560</v>
      </c>
      <c r="F65" s="127"/>
      <c r="G65" s="385">
        <f>C65*D65</f>
        <v>224048.65766999999</v>
      </c>
      <c r="I65" s="125">
        <v>2463640.5986070824</v>
      </c>
      <c r="J65" s="135">
        <v>8.5000000000000006E-2</v>
      </c>
      <c r="K65" s="127" t="s">
        <v>2560</v>
      </c>
      <c r="L65" s="127"/>
      <c r="M65" s="334">
        <v>209409.45088160201</v>
      </c>
      <c r="N65" s="128"/>
      <c r="O65" s="128">
        <v>17762.84871595708</v>
      </c>
      <c r="P65" s="128"/>
      <c r="Q65" s="130">
        <v>9.2685434999999997E-2</v>
      </c>
      <c r="U65" s="337"/>
    </row>
    <row r="66" spans="1:21">
      <c r="A66" s="166"/>
      <c r="C66" s="125"/>
      <c r="D66" s="127"/>
      <c r="F66" s="127"/>
      <c r="G66" s="387"/>
      <c r="I66" s="125"/>
      <c r="J66" s="127"/>
      <c r="K66" s="127"/>
      <c r="L66" s="127"/>
      <c r="M66" s="128"/>
      <c r="N66" s="128"/>
      <c r="U66" s="337"/>
    </row>
    <row r="67" spans="1:21">
      <c r="A67" s="322" t="s">
        <v>2615</v>
      </c>
      <c r="C67" s="125"/>
      <c r="D67" s="127"/>
      <c r="F67" s="127"/>
      <c r="G67" s="387"/>
      <c r="I67" s="125"/>
      <c r="J67" s="127"/>
      <c r="K67" s="127"/>
      <c r="L67" s="127"/>
      <c r="M67" s="128"/>
      <c r="N67" s="128"/>
      <c r="U67" s="337"/>
    </row>
    <row r="68" spans="1:21">
      <c r="A68" s="323" t="s">
        <v>890</v>
      </c>
      <c r="C68" s="125">
        <v>0</v>
      </c>
      <c r="D68" s="127">
        <v>1.55</v>
      </c>
      <c r="E68" s="127" t="s">
        <v>2557</v>
      </c>
      <c r="F68" s="127"/>
      <c r="G68" s="385">
        <v>0</v>
      </c>
      <c r="I68" s="125">
        <v>0</v>
      </c>
      <c r="J68" s="127">
        <v>1.78</v>
      </c>
      <c r="K68" s="127" t="s">
        <v>2557</v>
      </c>
      <c r="L68" s="127"/>
      <c r="M68" s="334">
        <v>0</v>
      </c>
      <c r="N68" s="128"/>
      <c r="O68" s="128">
        <v>0</v>
      </c>
      <c r="P68" s="128"/>
      <c r="Q68" s="130">
        <v>0</v>
      </c>
      <c r="U68" s="337"/>
    </row>
    <row r="69" spans="1:21">
      <c r="A69" s="323" t="s">
        <v>891</v>
      </c>
      <c r="C69" s="125">
        <v>0</v>
      </c>
      <c r="D69" s="127">
        <v>2.2200000000000002</v>
      </c>
      <c r="E69" s="127" t="s">
        <v>2557</v>
      </c>
      <c r="F69" s="127"/>
      <c r="G69" s="385">
        <v>0</v>
      </c>
      <c r="I69" s="125">
        <v>0</v>
      </c>
      <c r="J69" s="127">
        <v>2.5499999999999998</v>
      </c>
      <c r="K69" s="127" t="s">
        <v>2557</v>
      </c>
      <c r="L69" s="127"/>
      <c r="M69" s="334">
        <v>0</v>
      </c>
      <c r="N69" s="128"/>
      <c r="O69" s="128">
        <v>0</v>
      </c>
      <c r="P69" s="128"/>
      <c r="Q69" s="130">
        <v>0</v>
      </c>
      <c r="U69" s="337"/>
    </row>
    <row r="70" spans="1:21">
      <c r="A70" s="323" t="s">
        <v>892</v>
      </c>
      <c r="C70" s="125">
        <v>0</v>
      </c>
      <c r="D70" s="127">
        <v>3.1</v>
      </c>
      <c r="E70" s="127" t="s">
        <v>2557</v>
      </c>
      <c r="F70" s="127"/>
      <c r="G70" s="385">
        <v>0</v>
      </c>
      <c r="I70" s="125">
        <v>0</v>
      </c>
      <c r="J70" s="127">
        <v>3.57</v>
      </c>
      <c r="K70" s="127" t="s">
        <v>2557</v>
      </c>
      <c r="L70" s="127"/>
      <c r="M70" s="334">
        <v>0</v>
      </c>
      <c r="N70" s="128"/>
      <c r="O70" s="128">
        <v>0</v>
      </c>
      <c r="P70" s="128"/>
      <c r="Q70" s="130">
        <v>0</v>
      </c>
      <c r="U70" s="337"/>
    </row>
    <row r="71" spans="1:21">
      <c r="A71" s="323" t="s">
        <v>893</v>
      </c>
      <c r="C71" s="125">
        <v>0</v>
      </c>
      <c r="D71" s="127">
        <v>4.4400000000000004</v>
      </c>
      <c r="E71" s="127" t="s">
        <v>2557</v>
      </c>
      <c r="F71" s="127"/>
      <c r="G71" s="385">
        <v>0</v>
      </c>
      <c r="I71" s="125">
        <v>0</v>
      </c>
      <c r="J71" s="127">
        <v>5.1100000000000003</v>
      </c>
      <c r="K71" s="127" t="s">
        <v>2557</v>
      </c>
      <c r="L71" s="127"/>
      <c r="M71" s="334">
        <v>0</v>
      </c>
      <c r="N71" s="128"/>
      <c r="O71" s="128">
        <v>0</v>
      </c>
      <c r="P71" s="128"/>
      <c r="Q71" s="130">
        <v>0</v>
      </c>
      <c r="U71" s="337"/>
    </row>
    <row r="72" spans="1:21">
      <c r="A72" s="323" t="s">
        <v>894</v>
      </c>
      <c r="C72" s="125">
        <v>0</v>
      </c>
      <c r="D72" s="127">
        <v>6.66</v>
      </c>
      <c r="E72" s="127" t="s">
        <v>2557</v>
      </c>
      <c r="F72" s="127"/>
      <c r="G72" s="385">
        <v>0</v>
      </c>
      <c r="I72" s="125">
        <v>0</v>
      </c>
      <c r="J72" s="127">
        <v>7.66</v>
      </c>
      <c r="K72" s="127" t="s">
        <v>2557</v>
      </c>
      <c r="L72" s="127"/>
      <c r="M72" s="334">
        <v>0</v>
      </c>
      <c r="N72" s="128"/>
      <c r="O72" s="128">
        <v>0</v>
      </c>
      <c r="P72" s="128"/>
      <c r="Q72" s="130">
        <v>0</v>
      </c>
      <c r="U72" s="337"/>
    </row>
    <row r="73" spans="1:21">
      <c r="A73" s="323" t="s">
        <v>895</v>
      </c>
      <c r="C73" s="125">
        <v>0</v>
      </c>
      <c r="D73" s="127">
        <v>8.32</v>
      </c>
      <c r="E73" s="127" t="s">
        <v>2557</v>
      </c>
      <c r="F73" s="127"/>
      <c r="G73" s="385">
        <v>0</v>
      </c>
      <c r="I73" s="125">
        <v>0</v>
      </c>
      <c r="J73" s="127">
        <v>9.57</v>
      </c>
      <c r="K73" s="127" t="s">
        <v>2557</v>
      </c>
      <c r="L73" s="127"/>
      <c r="M73" s="334">
        <v>0</v>
      </c>
      <c r="N73" s="128"/>
      <c r="O73" s="128">
        <v>0</v>
      </c>
      <c r="P73" s="128"/>
      <c r="Q73" s="130">
        <v>0</v>
      </c>
      <c r="U73" s="337"/>
    </row>
    <row r="74" spans="1:21">
      <c r="A74" s="323" t="s">
        <v>896</v>
      </c>
      <c r="C74" s="125">
        <v>0</v>
      </c>
      <c r="D74" s="127">
        <v>12.76</v>
      </c>
      <c r="E74" s="127" t="s">
        <v>2557</v>
      </c>
      <c r="F74" s="127"/>
      <c r="G74" s="385">
        <v>0</v>
      </c>
      <c r="I74" s="125">
        <v>0</v>
      </c>
      <c r="J74" s="127">
        <v>14.67</v>
      </c>
      <c r="K74" s="127" t="s">
        <v>2557</v>
      </c>
      <c r="L74" s="127"/>
      <c r="M74" s="334">
        <v>0</v>
      </c>
      <c r="N74" s="128"/>
      <c r="O74" s="128">
        <v>0</v>
      </c>
      <c r="P74" s="128"/>
      <c r="Q74" s="130">
        <v>0</v>
      </c>
      <c r="U74" s="337"/>
    </row>
    <row r="75" spans="1:21">
      <c r="A75" s="323" t="s">
        <v>913</v>
      </c>
      <c r="C75" s="125">
        <v>0</v>
      </c>
      <c r="D75" s="127">
        <v>7.7789999999999998E-2</v>
      </c>
      <c r="E75" s="127" t="s">
        <v>2560</v>
      </c>
      <c r="F75" s="127"/>
      <c r="G75" s="385">
        <v>0</v>
      </c>
      <c r="I75" s="125">
        <v>0</v>
      </c>
      <c r="J75" s="127">
        <v>8.9459999999999998E-2</v>
      </c>
      <c r="K75" s="127" t="s">
        <v>2560</v>
      </c>
      <c r="L75" s="127"/>
      <c r="M75" s="334">
        <v>0</v>
      </c>
      <c r="N75" s="128"/>
      <c r="O75" s="128">
        <v>0</v>
      </c>
      <c r="P75" s="128"/>
      <c r="Q75" s="130">
        <v>0</v>
      </c>
      <c r="U75" s="337"/>
    </row>
    <row r="76" spans="1:21" s="137" customFormat="1" ht="13.5" thickBot="1">
      <c r="A76" s="338" t="s">
        <v>914</v>
      </c>
      <c r="C76" s="138">
        <v>201</v>
      </c>
      <c r="D76" s="167"/>
      <c r="F76" s="167"/>
      <c r="G76" s="388">
        <f>SUM(G62:G75)</f>
        <v>237548.65766999999</v>
      </c>
      <c r="I76" s="138">
        <v>201</v>
      </c>
      <c r="J76" s="167"/>
      <c r="L76" s="167"/>
      <c r="M76" s="339">
        <v>223278.45088160201</v>
      </c>
      <c r="N76" s="140"/>
      <c r="O76" s="140">
        <v>19571.84871595708</v>
      </c>
      <c r="P76" s="140"/>
      <c r="Q76" s="142">
        <v>9.6078618000000005E-2</v>
      </c>
      <c r="U76" s="340"/>
    </row>
    <row r="77" spans="1:21" ht="13.5" thickTop="1">
      <c r="A77" s="166"/>
      <c r="C77" s="125"/>
      <c r="D77" s="127"/>
      <c r="F77" s="127"/>
      <c r="G77" s="128"/>
      <c r="I77" s="125"/>
      <c r="J77" s="127"/>
      <c r="L77" s="127"/>
      <c r="M77" s="128"/>
      <c r="N77" s="128"/>
      <c r="U77" s="337"/>
    </row>
    <row r="78" spans="1:21">
      <c r="A78" s="333" t="s">
        <v>2621</v>
      </c>
      <c r="C78" s="125"/>
      <c r="D78" s="127"/>
      <c r="F78" s="127"/>
      <c r="G78" s="128"/>
      <c r="I78" s="125"/>
      <c r="J78" s="127"/>
      <c r="L78" s="127"/>
      <c r="M78" s="128"/>
      <c r="N78" s="128"/>
      <c r="U78" s="337"/>
    </row>
    <row r="79" spans="1:21">
      <c r="A79" s="341"/>
      <c r="C79" s="125"/>
      <c r="D79" s="127"/>
      <c r="F79" s="127"/>
      <c r="G79" s="128"/>
      <c r="I79" s="125"/>
      <c r="J79" s="127"/>
      <c r="L79" s="127"/>
      <c r="M79" s="128"/>
      <c r="N79" s="128"/>
      <c r="U79" s="337"/>
    </row>
    <row r="80" spans="1:21">
      <c r="A80" s="133" t="s">
        <v>2622</v>
      </c>
      <c r="C80" s="125"/>
      <c r="D80" s="127"/>
      <c r="F80" s="127"/>
      <c r="G80" s="128"/>
      <c r="I80" s="125"/>
      <c r="J80" s="127"/>
      <c r="L80" s="127"/>
      <c r="M80" s="128"/>
      <c r="N80" s="128"/>
      <c r="U80" s="337"/>
    </row>
    <row r="81" spans="1:21">
      <c r="A81" s="322" t="s">
        <v>2615</v>
      </c>
      <c r="C81" s="125"/>
      <c r="D81" s="127"/>
      <c r="F81" s="127"/>
      <c r="G81" s="128"/>
      <c r="I81" s="125"/>
      <c r="J81" s="127"/>
      <c r="L81" s="127"/>
      <c r="M81" s="128"/>
      <c r="N81" s="128"/>
      <c r="U81" s="337"/>
    </row>
    <row r="82" spans="1:21">
      <c r="A82" s="323" t="s">
        <v>890</v>
      </c>
      <c r="C82" s="125">
        <f>'C-8 Lighting'!M77</f>
        <v>131</v>
      </c>
      <c r="D82" s="127">
        <v>8.9499999999999993</v>
      </c>
      <c r="E82" s="127" t="s">
        <v>2557</v>
      </c>
      <c r="F82" s="127"/>
      <c r="G82" s="385">
        <f t="shared" ref="G82:G87" si="2">C82*D82*12</f>
        <v>14069.399999999998</v>
      </c>
      <c r="I82" s="125">
        <v>140</v>
      </c>
      <c r="J82" s="127">
        <v>10.29</v>
      </c>
      <c r="K82" s="127">
        <v>0</v>
      </c>
      <c r="L82" s="127"/>
      <c r="M82" s="334">
        <v>17287.199999999997</v>
      </c>
      <c r="N82" s="128"/>
      <c r="O82" s="128">
        <v>2251.1999999999971</v>
      </c>
      <c r="P82" s="128"/>
      <c r="Q82" s="130">
        <v>0.14972067</v>
      </c>
      <c r="U82" s="337"/>
    </row>
    <row r="83" spans="1:21">
      <c r="A83" s="323" t="s">
        <v>891</v>
      </c>
      <c r="C83" s="125">
        <f>'C-8 Lighting'!M78</f>
        <v>191</v>
      </c>
      <c r="D83" s="127">
        <v>9.32</v>
      </c>
      <c r="E83" s="127" t="s">
        <v>2557</v>
      </c>
      <c r="F83" s="127"/>
      <c r="G83" s="385">
        <f t="shared" si="2"/>
        <v>21361.440000000002</v>
      </c>
      <c r="I83" s="125">
        <v>205</v>
      </c>
      <c r="J83" s="127">
        <v>10.72</v>
      </c>
      <c r="K83" s="127">
        <v>0</v>
      </c>
      <c r="L83" s="127"/>
      <c r="M83" s="334">
        <v>26371.199999999997</v>
      </c>
      <c r="N83" s="128"/>
      <c r="O83" s="128">
        <v>3443.9999999999964</v>
      </c>
      <c r="P83" s="128"/>
      <c r="Q83" s="130">
        <v>0.15021459200000001</v>
      </c>
      <c r="U83" s="337"/>
    </row>
    <row r="84" spans="1:21">
      <c r="A84" s="323" t="s">
        <v>892</v>
      </c>
      <c r="C84" s="125">
        <f>'C-8 Lighting'!M79</f>
        <v>655</v>
      </c>
      <c r="D84" s="127">
        <v>10.1</v>
      </c>
      <c r="E84" s="127" t="s">
        <v>2557</v>
      </c>
      <c r="F84" s="127"/>
      <c r="G84" s="385">
        <f t="shared" si="2"/>
        <v>79386</v>
      </c>
      <c r="I84" s="125">
        <v>727</v>
      </c>
      <c r="J84" s="127">
        <v>11.62</v>
      </c>
      <c r="K84" s="127">
        <v>0</v>
      </c>
      <c r="L84" s="127"/>
      <c r="M84" s="334">
        <v>101372.88</v>
      </c>
      <c r="N84" s="128"/>
      <c r="O84" s="128">
        <v>13260.48000000001</v>
      </c>
      <c r="P84" s="128"/>
      <c r="Q84" s="130">
        <v>0.15049504999999999</v>
      </c>
      <c r="U84" s="337"/>
    </row>
    <row r="85" spans="1:21">
      <c r="A85" s="323" t="s">
        <v>893</v>
      </c>
      <c r="C85" s="125">
        <f>'C-8 Lighting'!M80</f>
        <v>11</v>
      </c>
      <c r="D85" s="127">
        <v>10.89</v>
      </c>
      <c r="E85" s="127" t="s">
        <v>2557</v>
      </c>
      <c r="F85" s="127"/>
      <c r="G85" s="385">
        <f t="shared" si="2"/>
        <v>1437.48</v>
      </c>
      <c r="I85" s="125">
        <v>14</v>
      </c>
      <c r="J85" s="127">
        <v>12.52</v>
      </c>
      <c r="K85" s="127">
        <v>0</v>
      </c>
      <c r="L85" s="127"/>
      <c r="M85" s="334">
        <v>2103.36</v>
      </c>
      <c r="N85" s="128"/>
      <c r="O85" s="128">
        <v>273.84000000000015</v>
      </c>
      <c r="P85" s="128"/>
      <c r="Q85" s="130">
        <v>0.14967860399999999</v>
      </c>
      <c r="U85" s="337"/>
    </row>
    <row r="86" spans="1:21">
      <c r="A86" s="323" t="s">
        <v>894</v>
      </c>
      <c r="C86" s="125">
        <f>'C-8 Lighting'!M81</f>
        <v>120</v>
      </c>
      <c r="D86" s="127">
        <v>13.16</v>
      </c>
      <c r="E86" s="127" t="s">
        <v>2557</v>
      </c>
      <c r="F86" s="127"/>
      <c r="G86" s="385">
        <f t="shared" si="2"/>
        <v>18950.400000000001</v>
      </c>
      <c r="I86" s="125">
        <v>130</v>
      </c>
      <c r="J86" s="127">
        <v>15.13</v>
      </c>
      <c r="K86" s="127">
        <v>0</v>
      </c>
      <c r="L86" s="127"/>
      <c r="M86" s="334">
        <v>23602.800000000003</v>
      </c>
      <c r="N86" s="128"/>
      <c r="O86" s="128">
        <v>3073.2000000000044</v>
      </c>
      <c r="P86" s="128"/>
      <c r="Q86" s="130">
        <v>0.149696049</v>
      </c>
      <c r="U86" s="337"/>
    </row>
    <row r="87" spans="1:21">
      <c r="A87" s="323" t="s">
        <v>895</v>
      </c>
      <c r="C87" s="125">
        <f>'C-8 Lighting'!M82</f>
        <v>1</v>
      </c>
      <c r="D87" s="127">
        <v>14.32</v>
      </c>
      <c r="E87" s="127" t="s">
        <v>2557</v>
      </c>
      <c r="F87" s="127"/>
      <c r="G87" s="385">
        <f t="shared" si="2"/>
        <v>171.84</v>
      </c>
      <c r="I87" s="125">
        <v>1</v>
      </c>
      <c r="J87" s="127">
        <v>16.47</v>
      </c>
      <c r="K87" s="127">
        <v>0</v>
      </c>
      <c r="L87" s="127"/>
      <c r="M87" s="334">
        <v>197.64</v>
      </c>
      <c r="N87" s="128"/>
      <c r="O87" s="128">
        <v>25.799999999999983</v>
      </c>
      <c r="P87" s="128"/>
      <c r="Q87" s="130">
        <v>0.15013966500000001</v>
      </c>
      <c r="U87" s="337"/>
    </row>
    <row r="88" spans="1:21">
      <c r="A88" s="323"/>
      <c r="C88" s="125"/>
      <c r="D88" s="127"/>
      <c r="F88" s="127"/>
      <c r="G88" s="387"/>
      <c r="I88" s="125"/>
      <c r="J88" s="127"/>
      <c r="L88" s="127"/>
      <c r="M88" s="128"/>
      <c r="N88" s="128"/>
      <c r="U88" s="337"/>
    </row>
    <row r="89" spans="1:21">
      <c r="A89" s="133" t="s">
        <v>2623</v>
      </c>
      <c r="C89" s="125"/>
      <c r="D89" s="127"/>
      <c r="F89" s="127"/>
      <c r="G89" s="387" t="s">
        <v>7</v>
      </c>
      <c r="I89" s="125"/>
      <c r="J89" s="127"/>
      <c r="L89" s="127"/>
      <c r="M89" s="128"/>
      <c r="N89" s="128"/>
      <c r="U89" s="337"/>
    </row>
    <row r="90" spans="1:21">
      <c r="A90" s="322" t="s">
        <v>2615</v>
      </c>
      <c r="C90" s="125"/>
      <c r="D90" s="127"/>
      <c r="F90" s="127"/>
      <c r="G90" s="387"/>
      <c r="I90" s="125"/>
      <c r="J90" s="127"/>
      <c r="L90" s="127"/>
      <c r="M90" s="128"/>
      <c r="N90" s="128"/>
      <c r="U90" s="337"/>
    </row>
    <row r="91" spans="1:21">
      <c r="A91" s="323" t="s">
        <v>920</v>
      </c>
      <c r="C91" s="125">
        <f>'C-8 Lighting'!M86</f>
        <v>1182</v>
      </c>
      <c r="D91" s="127">
        <v>5.78</v>
      </c>
      <c r="E91" s="127" t="s">
        <v>2557</v>
      </c>
      <c r="F91" s="127"/>
      <c r="G91" s="385">
        <f>C91*D91*12</f>
        <v>81983.520000000004</v>
      </c>
      <c r="I91" s="125">
        <v>1282</v>
      </c>
      <c r="J91" s="127">
        <v>6.65</v>
      </c>
      <c r="K91" s="127" t="s">
        <v>2557</v>
      </c>
      <c r="L91" s="127"/>
      <c r="M91" s="334">
        <v>102303.6</v>
      </c>
      <c r="N91" s="128"/>
      <c r="O91" s="128">
        <v>13384.080000000002</v>
      </c>
      <c r="P91" s="128"/>
      <c r="Q91" s="130">
        <v>0.150519031</v>
      </c>
      <c r="U91" s="337"/>
    </row>
    <row r="92" spans="1:21" s="137" customFormat="1" ht="13.5" thickBot="1">
      <c r="A92" s="338" t="s">
        <v>2624</v>
      </c>
      <c r="C92" s="138">
        <f>SUM(C82:C91)</f>
        <v>2291</v>
      </c>
      <c r="D92" s="167"/>
      <c r="F92" s="167"/>
      <c r="G92" s="388">
        <f>SUM(G82:G91)</f>
        <v>217360.08000000002</v>
      </c>
      <c r="I92" s="138">
        <v>2499</v>
      </c>
      <c r="J92" s="167"/>
      <c r="L92" s="167"/>
      <c r="M92" s="339">
        <v>273238.68000000005</v>
      </c>
      <c r="N92" s="140"/>
      <c r="O92" s="140">
        <v>35712.600000000035</v>
      </c>
      <c r="P92" s="140"/>
      <c r="Q92" s="142">
        <v>0.15035233200000001</v>
      </c>
      <c r="U92" s="340"/>
    </row>
    <row r="93" spans="1:21" ht="13.5" thickTop="1">
      <c r="A93" s="166"/>
      <c r="C93" s="125"/>
      <c r="D93" s="127"/>
      <c r="F93" s="127"/>
      <c r="G93" s="387"/>
      <c r="I93" s="125"/>
      <c r="J93" s="127"/>
      <c r="L93" s="127"/>
      <c r="M93" s="128"/>
      <c r="N93" s="128"/>
      <c r="U93" s="337"/>
    </row>
    <row r="94" spans="1:21">
      <c r="A94" s="333" t="s">
        <v>922</v>
      </c>
      <c r="C94" s="125"/>
      <c r="D94" s="127"/>
      <c r="F94" s="127"/>
      <c r="G94" s="387"/>
      <c r="I94" s="125"/>
      <c r="J94" s="127"/>
      <c r="L94" s="127"/>
      <c r="M94" s="128"/>
      <c r="N94" s="128"/>
      <c r="U94" s="337"/>
    </row>
    <row r="95" spans="1:21">
      <c r="A95" s="341"/>
      <c r="C95" s="125"/>
      <c r="D95" s="127"/>
      <c r="F95" s="127"/>
      <c r="G95" s="387"/>
      <c r="I95" s="125"/>
      <c r="J95" s="127"/>
      <c r="L95" s="127"/>
      <c r="M95" s="128"/>
      <c r="N95" s="128"/>
      <c r="U95" s="337"/>
    </row>
    <row r="96" spans="1:21">
      <c r="A96" s="322" t="s">
        <v>2556</v>
      </c>
      <c r="C96" s="125">
        <f>'C-8 Lighting'!M92</f>
        <v>80</v>
      </c>
      <c r="D96" s="127">
        <v>5</v>
      </c>
      <c r="E96" s="127" t="s">
        <v>2557</v>
      </c>
      <c r="F96" s="127"/>
      <c r="G96" s="385">
        <f>C96*D96*12</f>
        <v>4800</v>
      </c>
      <c r="I96" s="125">
        <v>81</v>
      </c>
      <c r="J96" s="127">
        <v>5.75</v>
      </c>
      <c r="K96" s="127" t="s">
        <v>2557</v>
      </c>
      <c r="L96" s="127"/>
      <c r="M96" s="334">
        <v>5589</v>
      </c>
      <c r="N96" s="128"/>
      <c r="O96" s="128">
        <v>729</v>
      </c>
      <c r="P96" s="128"/>
      <c r="Q96" s="130">
        <v>0.15</v>
      </c>
      <c r="U96" s="337"/>
    </row>
    <row r="97" spans="1:21">
      <c r="A97" s="166"/>
      <c r="C97" s="125"/>
      <c r="D97" s="127"/>
      <c r="E97" s="127"/>
      <c r="F97" s="127"/>
      <c r="G97" s="387"/>
      <c r="I97" s="125"/>
      <c r="J97" s="127"/>
      <c r="K97" s="127"/>
      <c r="L97" s="127"/>
      <c r="M97" s="128"/>
      <c r="N97" s="128"/>
      <c r="U97" s="337"/>
    </row>
    <row r="98" spans="1:21">
      <c r="A98" s="322" t="s">
        <v>2558</v>
      </c>
      <c r="C98" s="125"/>
      <c r="D98" s="127"/>
      <c r="E98" s="127"/>
      <c r="F98" s="127"/>
      <c r="G98" s="387"/>
      <c r="I98" s="125"/>
      <c r="J98" s="127"/>
      <c r="K98" s="127"/>
      <c r="L98" s="127"/>
      <c r="M98" s="128"/>
      <c r="N98" s="128"/>
      <c r="U98" s="337"/>
    </row>
    <row r="99" spans="1:21">
      <c r="A99" s="323" t="s">
        <v>912</v>
      </c>
      <c r="C99" s="125">
        <f>'C-8 Lighting'!M94</f>
        <v>757712</v>
      </c>
      <c r="D99" s="127">
        <v>4.5289999999999997E-2</v>
      </c>
      <c r="E99" s="127" t="s">
        <v>2560</v>
      </c>
      <c r="F99" s="127"/>
      <c r="G99" s="385">
        <f>C99*D99</f>
        <v>34316.77648</v>
      </c>
      <c r="I99" s="125">
        <v>1063812.1958532948</v>
      </c>
      <c r="J99" s="127">
        <v>5.2080000000000001E-2</v>
      </c>
      <c r="K99" s="127" t="s">
        <v>2560</v>
      </c>
      <c r="L99" s="127"/>
      <c r="M99" s="334">
        <v>55403.339160039592</v>
      </c>
      <c r="N99" s="128"/>
      <c r="O99" s="128">
        <v>7223.2848098438699</v>
      </c>
      <c r="P99" s="128"/>
      <c r="Q99" s="130">
        <v>0.14992272000000001</v>
      </c>
      <c r="U99" s="337"/>
    </row>
    <row r="100" spans="1:21" s="137" customFormat="1" ht="13.5" thickBot="1">
      <c r="A100" s="338" t="s">
        <v>2625</v>
      </c>
      <c r="C100" s="138">
        <v>81</v>
      </c>
      <c r="D100" s="167"/>
      <c r="F100" s="167"/>
      <c r="G100" s="388">
        <f>SUM(G96:G99)</f>
        <v>39116.77648</v>
      </c>
      <c r="I100" s="138">
        <v>81</v>
      </c>
      <c r="J100" s="167"/>
      <c r="L100" s="167"/>
      <c r="M100" s="339">
        <v>60992.339160039592</v>
      </c>
      <c r="N100" s="140"/>
      <c r="O100" s="140">
        <v>7952.2848098438699</v>
      </c>
      <c r="P100" s="140"/>
      <c r="Q100" s="142">
        <v>0.149929801</v>
      </c>
      <c r="U100" s="340"/>
    </row>
    <row r="101" spans="1:21" ht="13.5" thickTop="1">
      <c r="A101" s="166"/>
      <c r="C101" s="125"/>
      <c r="D101" s="127"/>
      <c r="F101" s="127"/>
      <c r="G101" s="128"/>
      <c r="I101" s="125"/>
      <c r="J101" s="127"/>
      <c r="L101" s="127"/>
      <c r="M101" s="128"/>
      <c r="N101" s="128"/>
      <c r="U101" s="337"/>
    </row>
    <row r="102" spans="1:21">
      <c r="A102" s="333" t="s">
        <v>923</v>
      </c>
      <c r="C102" s="125"/>
      <c r="D102" s="127"/>
      <c r="F102" s="127"/>
      <c r="G102" s="128"/>
      <c r="I102" s="125"/>
      <c r="J102" s="127"/>
      <c r="L102" s="127"/>
      <c r="M102" s="128"/>
      <c r="N102" s="128"/>
      <c r="U102" s="337"/>
    </row>
    <row r="103" spans="1:21">
      <c r="A103" s="166"/>
      <c r="C103" s="125"/>
      <c r="D103" s="127"/>
      <c r="F103" s="127"/>
      <c r="G103" s="128"/>
      <c r="I103" s="125"/>
      <c r="J103" s="127"/>
      <c r="L103" s="127"/>
      <c r="M103" s="128"/>
      <c r="N103" s="128"/>
      <c r="U103" s="337"/>
    </row>
    <row r="104" spans="1:21">
      <c r="A104" s="322" t="s">
        <v>2558</v>
      </c>
      <c r="C104" s="125"/>
      <c r="D104" s="127"/>
      <c r="F104" s="127"/>
      <c r="G104" s="128"/>
      <c r="I104" s="125"/>
      <c r="J104" s="127"/>
      <c r="L104" s="127"/>
      <c r="M104" s="128"/>
      <c r="N104" s="128"/>
      <c r="U104" s="337"/>
    </row>
    <row r="105" spans="1:21">
      <c r="A105" s="323" t="s">
        <v>912</v>
      </c>
      <c r="C105" s="125">
        <f>'C-8 Lighting'!M100</f>
        <v>1519413</v>
      </c>
      <c r="D105" s="127">
        <v>5.9290000000000002E-2</v>
      </c>
      <c r="E105" s="127" t="s">
        <v>2560</v>
      </c>
      <c r="F105" s="127"/>
      <c r="G105" s="385">
        <f>C105*D105</f>
        <v>90085.996769999998</v>
      </c>
      <c r="I105" s="125">
        <v>1201572.4276757075</v>
      </c>
      <c r="J105" s="127">
        <v>6.8180000000000004E-2</v>
      </c>
      <c r="K105" s="127" t="s">
        <v>2560</v>
      </c>
      <c r="L105" s="127"/>
      <c r="M105" s="334">
        <v>81923.208118929746</v>
      </c>
      <c r="N105" s="128"/>
      <c r="O105" s="128">
        <v>10681.978882037045</v>
      </c>
      <c r="P105" s="128"/>
      <c r="Q105" s="130">
        <v>0.14994096800000001</v>
      </c>
      <c r="U105" s="337"/>
    </row>
    <row r="106" spans="1:21" s="137" customFormat="1" ht="13.5" thickBot="1">
      <c r="A106" s="338" t="s">
        <v>2626</v>
      </c>
      <c r="C106" s="138">
        <f>C105</f>
        <v>1519413</v>
      </c>
      <c r="D106" s="167"/>
      <c r="F106" s="167"/>
      <c r="G106" s="388">
        <f>SUM(G105)</f>
        <v>90085.996769999998</v>
      </c>
      <c r="I106" s="138">
        <v>1201572.4276757075</v>
      </c>
      <c r="J106" s="167"/>
      <c r="L106" s="167"/>
      <c r="M106" s="140">
        <v>81923.208118929746</v>
      </c>
      <c r="N106" s="140"/>
      <c r="O106" s="140">
        <v>10681.978882037045</v>
      </c>
      <c r="P106" s="140"/>
      <c r="Q106" s="142">
        <v>0.14994096800000001</v>
      </c>
      <c r="U106" s="340"/>
    </row>
    <row r="107" spans="1:21" ht="13.5" thickTop="1">
      <c r="A107" s="166"/>
      <c r="C107" s="125"/>
      <c r="D107" s="127"/>
      <c r="F107" s="127"/>
      <c r="G107" s="128"/>
      <c r="I107" s="125"/>
      <c r="J107" s="127"/>
      <c r="L107" s="127"/>
      <c r="M107" s="128"/>
      <c r="N107" s="128"/>
      <c r="U107" s="337"/>
    </row>
    <row r="108" spans="1:21">
      <c r="A108" s="333" t="s">
        <v>924</v>
      </c>
      <c r="C108" s="125"/>
      <c r="D108" s="127"/>
      <c r="F108" s="127"/>
      <c r="G108" s="128"/>
      <c r="I108" s="125"/>
      <c r="J108" s="127"/>
      <c r="L108" s="127"/>
      <c r="M108" s="128"/>
      <c r="N108" s="128"/>
      <c r="U108" s="337"/>
    </row>
    <row r="109" spans="1:21">
      <c r="A109" s="341"/>
      <c r="C109" s="125"/>
      <c r="D109" s="127"/>
      <c r="F109" s="127"/>
      <c r="G109" s="128"/>
      <c r="I109" s="125"/>
      <c r="J109" s="127"/>
      <c r="L109" s="127"/>
      <c r="M109" s="128"/>
      <c r="N109" s="128"/>
      <c r="U109" s="337"/>
    </row>
    <row r="110" spans="1:21">
      <c r="A110" s="322" t="s">
        <v>2556</v>
      </c>
      <c r="C110" s="125">
        <f>'C-8 Lighting'!M105</f>
        <v>1035</v>
      </c>
      <c r="D110" s="127">
        <v>5</v>
      </c>
      <c r="E110" s="127" t="s">
        <v>2557</v>
      </c>
      <c r="F110" s="127"/>
      <c r="G110" s="385">
        <f>C110*D110*12</f>
        <v>62100</v>
      </c>
      <c r="I110" s="125">
        <v>1030</v>
      </c>
      <c r="J110" s="127">
        <v>5.75</v>
      </c>
      <c r="K110" s="127" t="s">
        <v>2557</v>
      </c>
      <c r="L110" s="127"/>
      <c r="M110" s="334">
        <v>71070</v>
      </c>
      <c r="N110" s="128"/>
      <c r="O110" s="128">
        <v>9270</v>
      </c>
      <c r="P110" s="128"/>
      <c r="Q110" s="130">
        <v>0.15</v>
      </c>
      <c r="U110" s="337"/>
    </row>
    <row r="111" spans="1:21">
      <c r="A111" s="166"/>
      <c r="C111" s="125"/>
      <c r="D111" s="127"/>
      <c r="E111" s="127"/>
      <c r="F111" s="127"/>
      <c r="G111" s="387"/>
      <c r="I111" s="125"/>
      <c r="J111" s="127"/>
      <c r="K111" s="127"/>
      <c r="L111" s="127"/>
      <c r="M111" s="128"/>
      <c r="N111" s="128"/>
      <c r="U111" s="337"/>
    </row>
    <row r="112" spans="1:21">
      <c r="A112" s="322" t="s">
        <v>2558</v>
      </c>
      <c r="C112" s="125"/>
      <c r="D112" s="127"/>
      <c r="E112" s="127"/>
      <c r="F112" s="127"/>
      <c r="G112" s="387"/>
      <c r="I112" s="125"/>
      <c r="J112" s="127"/>
      <c r="K112" s="127"/>
      <c r="L112" s="127"/>
      <c r="M112" s="128"/>
      <c r="N112" s="128"/>
      <c r="U112" s="337"/>
    </row>
    <row r="113" spans="1:21">
      <c r="A113" s="323" t="s">
        <v>912</v>
      </c>
      <c r="C113" s="125">
        <f>'C-8 Lighting'!M107</f>
        <v>13869596</v>
      </c>
      <c r="D113" s="127">
        <v>4.5289999999999997E-2</v>
      </c>
      <c r="E113" s="127" t="s">
        <v>2560</v>
      </c>
      <c r="F113" s="127"/>
      <c r="G113" s="385">
        <f>C113*D113</f>
        <v>628154.00283999997</v>
      </c>
      <c r="I113" s="125">
        <v>8724645.2835892718</v>
      </c>
      <c r="J113" s="127">
        <v>5.2080000000000001E-2</v>
      </c>
      <c r="K113" s="127" t="s">
        <v>2560</v>
      </c>
      <c r="L113" s="127"/>
      <c r="M113" s="334">
        <v>454379.52636932931</v>
      </c>
      <c r="N113" s="128"/>
      <c r="O113" s="128">
        <v>59240.341475571215</v>
      </c>
      <c r="P113" s="128"/>
      <c r="Q113" s="130">
        <v>0.14992272000000001</v>
      </c>
      <c r="U113" s="337"/>
    </row>
    <row r="114" spans="1:21" s="137" customFormat="1" ht="13.5" thickBot="1">
      <c r="A114" s="338" t="s">
        <v>2627</v>
      </c>
      <c r="C114" s="138">
        <v>1030</v>
      </c>
      <c r="D114" s="167"/>
      <c r="F114" s="167"/>
      <c r="G114" s="388">
        <f>SUM(G110:G113)</f>
        <v>690254.00283999997</v>
      </c>
      <c r="I114" s="138">
        <v>1030</v>
      </c>
      <c r="J114" s="167"/>
      <c r="L114" s="167"/>
      <c r="M114" s="339">
        <v>525449.52636932931</v>
      </c>
      <c r="N114" s="140"/>
      <c r="O114" s="140">
        <v>68510.341475571215</v>
      </c>
      <c r="P114" s="140"/>
      <c r="Q114" s="142">
        <v>0.149933172</v>
      </c>
      <c r="U114" s="340"/>
    </row>
    <row r="115" spans="1:21" ht="13.5" thickTop="1">
      <c r="A115" s="166"/>
      <c r="C115" s="125"/>
      <c r="D115" s="127"/>
      <c r="F115" s="127"/>
      <c r="G115" s="387"/>
      <c r="I115" s="125"/>
      <c r="J115" s="127"/>
      <c r="L115" s="127"/>
      <c r="M115" s="128"/>
      <c r="N115" s="128"/>
      <c r="U115" s="337"/>
    </row>
    <row r="116" spans="1:21">
      <c r="A116" s="333" t="s">
        <v>2628</v>
      </c>
      <c r="C116" s="125"/>
      <c r="D116" s="127"/>
      <c r="F116" s="127"/>
      <c r="G116" s="387"/>
      <c r="I116" s="125"/>
      <c r="J116" s="127"/>
      <c r="L116" s="127"/>
      <c r="M116" s="128"/>
      <c r="N116" s="128"/>
      <c r="U116" s="337"/>
    </row>
    <row r="117" spans="1:21">
      <c r="A117" s="166"/>
      <c r="C117" s="125"/>
      <c r="D117" s="127"/>
      <c r="F117" s="127"/>
      <c r="G117" s="387"/>
      <c r="I117" s="125"/>
      <c r="J117" s="127"/>
      <c r="L117" s="127"/>
      <c r="M117" s="128"/>
      <c r="N117" s="128"/>
      <c r="U117" s="337"/>
    </row>
    <row r="118" spans="1:21">
      <c r="A118" s="322" t="s">
        <v>2615</v>
      </c>
      <c r="C118" s="125">
        <f>'C-8 Lighting'!M111</f>
        <v>12</v>
      </c>
      <c r="D118" s="127">
        <v>1.51</v>
      </c>
      <c r="E118" s="127" t="s">
        <v>2629</v>
      </c>
      <c r="F118" s="127"/>
      <c r="G118" s="385">
        <f>C118*D118*12</f>
        <v>217.44</v>
      </c>
      <c r="I118" s="125">
        <v>1</v>
      </c>
      <c r="J118" s="127">
        <v>1.74</v>
      </c>
      <c r="K118" s="127" t="s">
        <v>2629</v>
      </c>
      <c r="L118" s="127"/>
      <c r="M118" s="334">
        <v>20.88</v>
      </c>
      <c r="N118" s="128"/>
      <c r="O118" s="128">
        <v>2.759999999999998</v>
      </c>
      <c r="P118" s="128"/>
      <c r="Q118" s="130">
        <v>0.15231788099999999</v>
      </c>
      <c r="U118" s="337"/>
    </row>
    <row r="119" spans="1:21" s="137" customFormat="1" ht="13.5" thickBot="1">
      <c r="A119" s="338" t="s">
        <v>2630</v>
      </c>
      <c r="C119" s="138">
        <v>1</v>
      </c>
      <c r="D119" s="167"/>
      <c r="F119" s="167"/>
      <c r="G119" s="388">
        <f>SUM(G118)</f>
        <v>217.44</v>
      </c>
      <c r="I119" s="138">
        <v>1</v>
      </c>
      <c r="J119" s="167"/>
      <c r="L119" s="167"/>
      <c r="M119" s="140">
        <v>20.88</v>
      </c>
      <c r="N119" s="140"/>
      <c r="O119" s="140">
        <v>2.759999999999998</v>
      </c>
      <c r="P119" s="140"/>
      <c r="Q119" s="142">
        <v>0.15231788099999999</v>
      </c>
      <c r="U119" s="340"/>
    </row>
    <row r="120" spans="1:21" ht="13.5" thickTop="1">
      <c r="A120" s="166"/>
      <c r="C120" s="125"/>
      <c r="D120" s="127"/>
      <c r="F120" s="127"/>
      <c r="G120" s="387"/>
      <c r="I120" s="125"/>
      <c r="J120" s="127"/>
      <c r="L120" s="127"/>
      <c r="M120" s="128"/>
      <c r="N120" s="128"/>
      <c r="U120" s="337"/>
    </row>
    <row r="121" spans="1:21">
      <c r="A121" s="333" t="s">
        <v>2631</v>
      </c>
      <c r="C121" s="125"/>
      <c r="D121" s="127"/>
      <c r="F121" s="127"/>
      <c r="G121" s="387"/>
      <c r="I121" s="125"/>
      <c r="J121" s="127"/>
      <c r="L121" s="127"/>
      <c r="M121" s="128"/>
      <c r="N121" s="128"/>
      <c r="U121" s="337"/>
    </row>
    <row r="122" spans="1:21">
      <c r="A122" s="166"/>
      <c r="C122" s="125"/>
      <c r="D122" s="127"/>
      <c r="F122" s="127"/>
      <c r="G122" s="387"/>
      <c r="I122" s="125"/>
      <c r="J122" s="127"/>
      <c r="L122" s="127"/>
      <c r="M122" s="128"/>
      <c r="N122" s="128"/>
      <c r="U122" s="337"/>
    </row>
    <row r="123" spans="1:21">
      <c r="A123" s="322" t="s">
        <v>2615</v>
      </c>
      <c r="C123" s="125">
        <f>'C-8 Lighting'!M115</f>
        <v>26</v>
      </c>
      <c r="D123" s="127">
        <v>7.51</v>
      </c>
      <c r="E123" s="127" t="s">
        <v>2632</v>
      </c>
      <c r="F123" s="127"/>
      <c r="G123" s="385">
        <f>C123*D123*12</f>
        <v>2343.12</v>
      </c>
      <c r="I123" s="125">
        <v>26</v>
      </c>
      <c r="J123" s="127">
        <v>8.64</v>
      </c>
      <c r="K123" s="127" t="s">
        <v>2632</v>
      </c>
      <c r="L123" s="127"/>
      <c r="M123" s="334">
        <v>2695.6800000000003</v>
      </c>
      <c r="N123" s="128"/>
      <c r="O123" s="128">
        <v>352.5600000000004</v>
      </c>
      <c r="P123" s="128"/>
      <c r="Q123" s="130">
        <v>0.15046604499999999</v>
      </c>
      <c r="U123" s="337"/>
    </row>
    <row r="124" spans="1:21" s="137" customFormat="1" ht="13.5" thickBot="1">
      <c r="A124" s="338" t="s">
        <v>2633</v>
      </c>
      <c r="C124" s="138">
        <v>26</v>
      </c>
      <c r="D124" s="167"/>
      <c r="F124" s="167"/>
      <c r="G124" s="388">
        <f>SUM(G123)</f>
        <v>2343.12</v>
      </c>
      <c r="I124" s="138">
        <v>26</v>
      </c>
      <c r="J124" s="167"/>
      <c r="L124" s="167"/>
      <c r="M124" s="339">
        <v>2695.6800000000003</v>
      </c>
      <c r="N124" s="140"/>
      <c r="O124" s="140">
        <v>352.5600000000004</v>
      </c>
      <c r="P124" s="140"/>
      <c r="Q124" s="142">
        <v>0.15046604499999999</v>
      </c>
      <c r="U124" s="340"/>
    </row>
    <row r="125" spans="1:21" ht="13.5" thickTop="1">
      <c r="A125" s="166"/>
      <c r="C125" s="125"/>
      <c r="D125" s="127"/>
      <c r="F125" s="127"/>
      <c r="G125" s="387"/>
      <c r="I125" s="125"/>
      <c r="J125" s="127"/>
      <c r="L125" s="127"/>
      <c r="M125" s="128"/>
      <c r="N125" s="128"/>
      <c r="U125" s="337"/>
    </row>
    <row r="126" spans="1:21">
      <c r="A126" s="333" t="s">
        <v>2634</v>
      </c>
      <c r="C126" s="125"/>
      <c r="D126" s="127"/>
      <c r="G126" s="387"/>
      <c r="I126" s="125"/>
      <c r="J126" s="127"/>
      <c r="M126" s="128"/>
      <c r="U126" s="337"/>
    </row>
    <row r="127" spans="1:21">
      <c r="A127" s="133"/>
      <c r="C127" s="125"/>
      <c r="D127" s="127"/>
      <c r="G127" s="387"/>
      <c r="I127" s="125"/>
      <c r="J127" s="127"/>
      <c r="M127" s="128"/>
      <c r="U127" s="337"/>
    </row>
    <row r="128" spans="1:21">
      <c r="A128" s="322" t="s">
        <v>2615</v>
      </c>
      <c r="C128" s="125">
        <f>'C-8 Lighting'!M119</f>
        <v>37</v>
      </c>
      <c r="D128" s="127">
        <v>2</v>
      </c>
      <c r="E128" s="132" t="s">
        <v>2635</v>
      </c>
      <c r="G128" s="385">
        <f>C128*D128*12</f>
        <v>888</v>
      </c>
      <c r="I128" s="125">
        <v>37</v>
      </c>
      <c r="J128" s="132">
        <v>2.2999999999999998</v>
      </c>
      <c r="K128" s="132" t="s">
        <v>2635</v>
      </c>
      <c r="M128" s="334">
        <v>1021.1999999999999</v>
      </c>
      <c r="O128" s="128">
        <v>133.19999999999993</v>
      </c>
      <c r="P128" s="128"/>
      <c r="Q128" s="130">
        <v>0.15</v>
      </c>
      <c r="U128" s="337"/>
    </row>
    <row r="129" spans="1:21" s="137" customFormat="1" ht="13.5" thickBot="1">
      <c r="A129" s="338" t="s">
        <v>2636</v>
      </c>
      <c r="C129" s="138">
        <v>37</v>
      </c>
      <c r="D129" s="167"/>
      <c r="F129" s="167"/>
      <c r="G129" s="388">
        <f>SUM(G128)</f>
        <v>888</v>
      </c>
      <c r="I129" s="138">
        <v>37</v>
      </c>
      <c r="J129" s="167"/>
      <c r="L129" s="167"/>
      <c r="M129" s="339">
        <v>1021.1999999999999</v>
      </c>
      <c r="N129" s="140"/>
      <c r="O129" s="140">
        <v>133.19999999999993</v>
      </c>
      <c r="P129" s="140"/>
      <c r="Q129" s="142">
        <v>0.15</v>
      </c>
      <c r="U129" s="340"/>
    </row>
    <row r="130" spans="1:21" ht="14.25" thickTop="1" thickBot="1">
      <c r="A130" s="166"/>
      <c r="C130" s="125"/>
      <c r="D130" s="127"/>
      <c r="F130" s="127"/>
      <c r="G130" s="128"/>
      <c r="I130" s="125"/>
      <c r="J130" s="127"/>
      <c r="L130" s="127"/>
      <c r="M130" s="128"/>
      <c r="N130" s="128"/>
      <c r="U130" s="337"/>
    </row>
    <row r="131" spans="1:21" ht="14.25" thickTop="1" thickBot="1">
      <c r="A131" s="342"/>
      <c r="B131" s="342"/>
      <c r="C131" s="342"/>
      <c r="D131" s="342"/>
      <c r="E131" s="342"/>
      <c r="F131" s="342"/>
      <c r="G131" s="342"/>
      <c r="H131" s="342"/>
      <c r="I131" s="342"/>
      <c r="J131" s="342"/>
      <c r="K131" s="342"/>
      <c r="L131" s="342"/>
      <c r="M131" s="342"/>
      <c r="N131" s="342"/>
      <c r="O131" s="342"/>
      <c r="P131" s="342"/>
      <c r="Q131" s="342"/>
      <c r="R131" s="342"/>
      <c r="S131" s="342"/>
    </row>
    <row r="132" spans="1:21" ht="14.25" thickTop="1" thickBot="1">
      <c r="A132" s="331" t="s">
        <v>2637</v>
      </c>
      <c r="B132" s="325"/>
      <c r="C132" s="343" t="s">
        <v>2638</v>
      </c>
      <c r="D132" s="327"/>
      <c r="E132" s="327"/>
      <c r="F132" s="327"/>
      <c r="G132" s="328">
        <f>SUM(G129,G124,G119,G114,G106,G100,G92,G76,G58)</f>
        <v>60756125.713759989</v>
      </c>
      <c r="H132" s="325"/>
      <c r="I132" s="326"/>
      <c r="J132" s="332"/>
      <c r="K132" s="327"/>
      <c r="L132" s="327"/>
      <c r="M132" s="328">
        <v>61836959.464529894</v>
      </c>
      <c r="N132" s="344"/>
      <c r="O132" s="344">
        <v>116098.99388340861</v>
      </c>
      <c r="P132" s="344"/>
      <c r="Q132" s="343" t="s">
        <v>2638</v>
      </c>
      <c r="R132" s="342"/>
      <c r="S132" s="342"/>
    </row>
    <row r="133" spans="1:21" ht="13.5" thickTop="1"/>
    <row r="134" spans="1:21">
      <c r="A134" s="119" t="s">
        <v>2639</v>
      </c>
      <c r="C134" s="128">
        <v>3155301.4942746386</v>
      </c>
      <c r="G134" s="128">
        <f>SUM(G132,G11)</f>
        <v>61048890.656449288</v>
      </c>
      <c r="M134" s="128">
        <v>62152489.464529894</v>
      </c>
    </row>
    <row r="136" spans="1:21">
      <c r="C136" s="128">
        <v>8411284.7164107226</v>
      </c>
      <c r="D136" s="119" t="s">
        <v>2640</v>
      </c>
    </row>
    <row r="138" spans="1:21">
      <c r="C138" s="319">
        <v>14130875883.481594</v>
      </c>
    </row>
  </sheetData>
  <conditionalFormatting sqref="I6:I7">
    <cfRule type="cellIs" dxfId="145" priority="3" operator="equal">
      <formula>C6</formula>
    </cfRule>
  </conditionalFormatting>
  <conditionalFormatting sqref="I6:Q8 I9:L10 N9:Q10 J11:Q19">
    <cfRule type="expression" dxfId="144"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143" priority="31">
      <formula>HideProposed</formula>
    </cfRule>
  </conditionalFormatting>
  <conditionalFormatting sqref="J68:L76">
    <cfRule type="expression" dxfId="142" priority="30">
      <formula>HideProposed</formula>
    </cfRule>
  </conditionalFormatting>
  <conditionalFormatting sqref="J91:L92">
    <cfRule type="expression" dxfId="141" priority="29">
      <formula>HideProposed</formula>
    </cfRule>
  </conditionalFormatting>
  <conditionalFormatting sqref="J99:L100">
    <cfRule type="expression" dxfId="140" priority="28">
      <formula>HideProposed</formula>
    </cfRule>
  </conditionalFormatting>
  <conditionalFormatting sqref="J113:L114 J115:Q117 J118:L118 N118 J120:Q122 J125:Q127">
    <cfRule type="expression" dxfId="139" priority="25">
      <formula>HideProposed</formula>
    </cfRule>
  </conditionalFormatting>
  <conditionalFormatting sqref="J123:L124">
    <cfRule type="expression" dxfId="138" priority="23">
      <formula>HideProposed</formula>
    </cfRule>
  </conditionalFormatting>
  <conditionalFormatting sqref="J128:L129">
    <cfRule type="expression" dxfId="137" priority="22">
      <formula>HideProposed</formula>
    </cfRule>
  </conditionalFormatting>
  <conditionalFormatting sqref="J106:N106">
    <cfRule type="expression" dxfId="136" priority="26">
      <formula>HideProposed</formula>
    </cfRule>
  </conditionalFormatting>
  <conditionalFormatting sqref="J119:N119">
    <cfRule type="expression" dxfId="135" priority="24">
      <formula>HideProposed</formula>
    </cfRule>
  </conditionalFormatting>
  <conditionalFormatting sqref="J37:Q46">
    <cfRule type="expression" dxfId="134" priority="1">
      <formula>HideProposed</formula>
    </cfRule>
  </conditionalFormatting>
  <conditionalFormatting sqref="J101:Q104 J105:L105 N105">
    <cfRule type="expression" dxfId="133" priority="27">
      <formula>HideProposed</formula>
    </cfRule>
  </conditionalFormatting>
  <conditionalFormatting sqref="J130:Q131">
    <cfRule type="expression" dxfId="132" priority="2">
      <formula>HideProposed</formula>
    </cfRule>
  </conditionalFormatting>
  <conditionalFormatting sqref="N20:Q26">
    <cfRule type="expression" dxfId="131" priority="21">
      <formula>HideProposed</formula>
    </cfRule>
  </conditionalFormatting>
  <conditionalFormatting sqref="N30:Q36 N38:Q43">
    <cfRule type="expression" dxfId="130" priority="20">
      <formula>HideProposed</formula>
    </cfRule>
  </conditionalFormatting>
  <conditionalFormatting sqref="N47:Q51">
    <cfRule type="expression" dxfId="129" priority="19">
      <formula>HideProposed</formula>
    </cfRule>
  </conditionalFormatting>
  <conditionalFormatting sqref="N54:Q58">
    <cfRule type="expression" dxfId="128" priority="18">
      <formula>HideProposed</formula>
    </cfRule>
  </conditionalFormatting>
  <conditionalFormatting sqref="N62:Q62">
    <cfRule type="expression" dxfId="127" priority="17">
      <formula>HideProposed</formula>
    </cfRule>
  </conditionalFormatting>
  <conditionalFormatting sqref="N65:Q65">
    <cfRule type="expression" dxfId="126" priority="16">
      <formula>HideProposed</formula>
    </cfRule>
  </conditionalFormatting>
  <conditionalFormatting sqref="N68:Q76">
    <cfRule type="expression" dxfId="125" priority="15">
      <formula>HideProposed</formula>
    </cfRule>
  </conditionalFormatting>
  <conditionalFormatting sqref="N82:Q87">
    <cfRule type="expression" dxfId="124" priority="14">
      <formula>HideProposed</formula>
    </cfRule>
  </conditionalFormatting>
  <conditionalFormatting sqref="N91:Q92">
    <cfRule type="expression" dxfId="123" priority="13">
      <formula>HideProposed</formula>
    </cfRule>
  </conditionalFormatting>
  <conditionalFormatting sqref="N96:Q96">
    <cfRule type="expression" dxfId="122" priority="12">
      <formula>HideProposed</formula>
    </cfRule>
  </conditionalFormatting>
  <conditionalFormatting sqref="N99:Q100">
    <cfRule type="expression" dxfId="121" priority="11">
      <formula>HideProposed</formula>
    </cfRule>
  </conditionalFormatting>
  <conditionalFormatting sqref="N110:Q110">
    <cfRule type="expression" dxfId="120" priority="9">
      <formula>HideProposed</formula>
    </cfRule>
  </conditionalFormatting>
  <conditionalFormatting sqref="N113:Q114">
    <cfRule type="expression" dxfId="119" priority="8">
      <formula>HideProposed</formula>
    </cfRule>
  </conditionalFormatting>
  <conditionalFormatting sqref="N123:Q124">
    <cfRule type="expression" dxfId="118" priority="6">
      <formula>HideProposed</formula>
    </cfRule>
  </conditionalFormatting>
  <conditionalFormatting sqref="N128:Q129">
    <cfRule type="expression" dxfId="117" priority="5">
      <formula>HideProposed</formula>
    </cfRule>
  </conditionalFormatting>
  <conditionalFormatting sqref="O105:Q106">
    <cfRule type="expression" dxfId="116" priority="10">
      <formula>HideProposed</formula>
    </cfRule>
  </conditionalFormatting>
  <conditionalFormatting sqref="O118:Q119">
    <cfRule type="expression" dxfId="115" priority="7">
      <formula>HideProposed</formula>
    </cfRule>
  </conditionalFormatting>
  <pageMargins left="0.7" right="0.7" top="0.75" bottom="0.75" header="0.3" footer="0.3"/>
  <pageSetup scale="82" orientation="portrait" horizontalDpi="1200" verticalDpi="1200" r:id="rId1"/>
  <headerFooter>
    <oddHeader>&amp;LPuerto Rico Electric Power Authority 
Rate Review (NEPR-AP-2023-0003)
Consumer Analysis at Present Rates&amp;RSchedule E-2.2 Lighting FY2027
Page &amp;P of &amp;N</oddHeader>
  </headerFooter>
  <rowBreaks count="2" manualBreakCount="2">
    <brk id="59" max="17" man="1"/>
    <brk id="114" max="17" man="1"/>
  </rowBreaks>
  <colBreaks count="1" manualBreakCount="1">
    <brk id="18" max="137" man="1"/>
  </colBreak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871E-AD0A-4317-B638-4689FE80635C}">
  <sheetPr>
    <tabColor theme="8" tint="0.79998168889431442"/>
  </sheetPr>
  <dimension ref="A2:U138"/>
  <sheetViews>
    <sheetView workbookViewId="0"/>
    <sheetView workbookViewId="1"/>
    <sheetView workbookViewId="2"/>
  </sheetViews>
  <sheetFormatPr defaultColWidth="8.140625" defaultRowHeight="12.75"/>
  <cols>
    <col min="1" max="1" width="36.5703125" style="119" customWidth="1"/>
    <col min="2" max="2" width="11.85546875" style="119" customWidth="1"/>
    <col min="3" max="3" width="16" style="119" customWidth="1"/>
    <col min="4" max="4" width="10.42578125" style="119" customWidth="1"/>
    <col min="5" max="5" width="8" style="119" customWidth="1"/>
    <col min="6" max="6" width="1.5703125" style="119" customWidth="1"/>
    <col min="7" max="7" width="14.5703125" style="119" customWidth="1"/>
    <col min="8" max="8" width="1.5703125" style="119" customWidth="1"/>
    <col min="9" max="9" width="12.140625" style="119" hidden="1" customWidth="1"/>
    <col min="10" max="10" width="10.42578125" style="119" hidden="1" customWidth="1"/>
    <col min="11" max="11" width="8.85546875" style="119" hidden="1" customWidth="1"/>
    <col min="12" max="12" width="1.5703125" style="119" hidden="1" customWidth="1"/>
    <col min="13" max="13" width="18.42578125" style="119" hidden="1" customWidth="1"/>
    <col min="14" max="14" width="1.5703125" style="119" hidden="1" customWidth="1"/>
    <col min="15" max="15" width="13" style="119" hidden="1" customWidth="1"/>
    <col min="16" max="16" width="2.140625" style="119" hidden="1" customWidth="1"/>
    <col min="17" max="17" width="12.140625" style="119" hidden="1" customWidth="1"/>
    <col min="18" max="18" width="2.140625" style="119" customWidth="1"/>
    <col min="19" max="19" width="9.140625" style="119" customWidth="1"/>
    <col min="20" max="16384" width="8.140625" style="119"/>
  </cols>
  <sheetData>
    <row r="2" spans="1:17">
      <c r="C2" s="120" t="s">
        <v>2612</v>
      </c>
      <c r="I2" s="120" t="s">
        <v>2613</v>
      </c>
      <c r="O2" s="118" t="s">
        <v>2547</v>
      </c>
      <c r="P2" s="118"/>
      <c r="Q2" s="118"/>
    </row>
    <row r="3" spans="1:17">
      <c r="B3" s="120"/>
      <c r="C3" s="120" t="s">
        <v>2548</v>
      </c>
      <c r="D3" s="120" t="s">
        <v>2503</v>
      </c>
      <c r="E3" s="120"/>
      <c r="F3" s="120"/>
      <c r="G3" s="120" t="s">
        <v>2503</v>
      </c>
      <c r="H3" s="120"/>
      <c r="I3" s="120" t="s">
        <v>2548</v>
      </c>
      <c r="J3" s="120" t="s">
        <v>2546</v>
      </c>
      <c r="K3" s="120"/>
      <c r="L3" s="120"/>
      <c r="M3" s="120" t="s">
        <v>2546</v>
      </c>
      <c r="N3" s="120"/>
      <c r="O3" s="118" t="s">
        <v>2549</v>
      </c>
      <c r="P3" s="118"/>
      <c r="Q3" s="118"/>
    </row>
    <row r="4" spans="1:17">
      <c r="A4" s="121" t="s">
        <v>2550</v>
      </c>
      <c r="B4" s="122"/>
      <c r="C4" s="122" t="s">
        <v>2551</v>
      </c>
      <c r="D4" s="122" t="s">
        <v>2552</v>
      </c>
      <c r="E4" s="122"/>
      <c r="F4" s="122"/>
      <c r="G4" s="122" t="s">
        <v>2506</v>
      </c>
      <c r="H4" s="122"/>
      <c r="I4" s="122" t="s">
        <v>2551</v>
      </c>
      <c r="J4" s="122" t="s">
        <v>2552</v>
      </c>
      <c r="K4" s="122"/>
      <c r="L4" s="122"/>
      <c r="M4" s="122" t="s">
        <v>2506</v>
      </c>
      <c r="N4" s="122"/>
      <c r="O4" s="122" t="s">
        <v>2553</v>
      </c>
      <c r="P4" s="122"/>
      <c r="Q4" s="122" t="s">
        <v>2554</v>
      </c>
    </row>
    <row r="5" spans="1:17">
      <c r="B5" s="120"/>
      <c r="C5" s="120"/>
      <c r="D5" s="120"/>
      <c r="E5" s="120"/>
      <c r="F5" s="120"/>
      <c r="G5" s="120"/>
      <c r="H5" s="120"/>
      <c r="I5" s="120"/>
      <c r="J5" s="120"/>
      <c r="K5" s="120"/>
      <c r="L5" s="120"/>
      <c r="M5" s="120"/>
      <c r="N5" s="120"/>
      <c r="O5" s="120"/>
      <c r="P5" s="120"/>
      <c r="Q5" s="120"/>
    </row>
    <row r="6" spans="1:17" s="321" customFormat="1">
      <c r="A6" s="123" t="s">
        <v>882</v>
      </c>
      <c r="B6" s="123"/>
      <c r="C6" s="119"/>
      <c r="D6" s="119"/>
      <c r="E6" s="119"/>
      <c r="F6" s="119"/>
      <c r="G6" s="119"/>
      <c r="H6" s="119"/>
      <c r="I6" s="124"/>
      <c r="J6" s="119"/>
      <c r="K6" s="119"/>
      <c r="L6" s="119"/>
      <c r="M6" s="119"/>
      <c r="N6" s="119"/>
      <c r="O6" s="119"/>
      <c r="P6" s="119"/>
      <c r="Q6" s="119"/>
    </row>
    <row r="7" spans="1:17" s="321" customFormat="1">
      <c r="A7" s="119"/>
      <c r="B7" s="119"/>
      <c r="C7" s="119"/>
      <c r="D7" s="119"/>
      <c r="E7" s="119"/>
      <c r="F7" s="119"/>
      <c r="G7" s="119"/>
      <c r="H7" s="119"/>
      <c r="I7" s="124"/>
      <c r="J7" s="119"/>
      <c r="K7" s="119"/>
      <c r="L7" s="119"/>
      <c r="M7" s="119"/>
      <c r="N7" s="119"/>
      <c r="O7" s="119"/>
      <c r="P7" s="119"/>
      <c r="Q7" s="119"/>
    </row>
    <row r="8" spans="1:17" s="321" customFormat="1">
      <c r="A8" s="322" t="s">
        <v>2558</v>
      </c>
      <c r="B8" s="119"/>
      <c r="C8" s="125"/>
      <c r="D8" s="132"/>
      <c r="E8" s="119"/>
      <c r="F8" s="119"/>
      <c r="G8" s="119"/>
      <c r="H8" s="119"/>
      <c r="I8" s="131"/>
      <c r="J8" s="132"/>
      <c r="K8" s="119"/>
      <c r="L8" s="119"/>
      <c r="M8" s="119"/>
      <c r="N8" s="119"/>
      <c r="O8" s="119"/>
      <c r="P8" s="119"/>
      <c r="Q8" s="119"/>
    </row>
    <row r="9" spans="1:17" s="321" customFormat="1">
      <c r="A9" s="323" t="s">
        <v>883</v>
      </c>
      <c r="B9" s="119"/>
      <c r="C9" s="125">
        <f>'C-8 Lighting'!M8</f>
        <v>1981200</v>
      </c>
      <c r="D9" s="134">
        <v>9.7790000000000002E-2</v>
      </c>
      <c r="E9" s="135" t="s">
        <v>2560</v>
      </c>
      <c r="F9" s="119"/>
      <c r="G9" s="128">
        <f>D9*C9</f>
        <v>193741.54800000001</v>
      </c>
      <c r="H9" s="119"/>
      <c r="I9" s="125">
        <v>3155301.4942746386</v>
      </c>
      <c r="J9" s="134">
        <v>0.1</v>
      </c>
      <c r="K9" s="135" t="s">
        <v>2560</v>
      </c>
      <c r="L9" s="119"/>
      <c r="M9" s="128">
        <v>315530</v>
      </c>
      <c r="N9" s="119"/>
      <c r="O9" s="128">
        <v>6973</v>
      </c>
      <c r="P9" s="128"/>
      <c r="Q9" s="130">
        <v>2.2598742000000002E-2</v>
      </c>
    </row>
    <row r="10" spans="1:17" s="321" customFormat="1" ht="13.5" thickBot="1">
      <c r="A10" s="324" t="s">
        <v>884</v>
      </c>
      <c r="B10" s="325"/>
      <c r="C10" s="326">
        <f>'C-8 Lighting'!M9</f>
        <v>1127957.5656600648</v>
      </c>
      <c r="D10" s="327">
        <v>8.7790000000000007E-2</v>
      </c>
      <c r="E10" s="327" t="s">
        <v>2560</v>
      </c>
      <c r="F10" s="327"/>
      <c r="G10" s="328">
        <f>D10*C10</f>
        <v>99023.3946892971</v>
      </c>
      <c r="H10" s="325"/>
      <c r="I10" s="326">
        <v>0</v>
      </c>
      <c r="J10" s="329">
        <v>9.5000000000000001E-2</v>
      </c>
      <c r="K10" s="327" t="s">
        <v>2560</v>
      </c>
      <c r="L10" s="327"/>
      <c r="M10" s="328">
        <v>0</v>
      </c>
      <c r="N10" s="328"/>
      <c r="O10" s="328">
        <v>0</v>
      </c>
      <c r="P10" s="328"/>
      <c r="Q10" s="330">
        <v>0</v>
      </c>
    </row>
    <row r="11" spans="1:17" s="321" customFormat="1" ht="14.25" thickTop="1" thickBot="1">
      <c r="A11" s="331" t="s">
        <v>885</v>
      </c>
      <c r="B11" s="325"/>
      <c r="C11" s="326">
        <f>SUM(C9:C10)</f>
        <v>3109157.565660065</v>
      </c>
      <c r="D11" s="327"/>
      <c r="E11" s="327"/>
      <c r="F11" s="327"/>
      <c r="G11" s="326">
        <f>SUM(G9:G10)</f>
        <v>292764.94268929714</v>
      </c>
      <c r="H11" s="325"/>
      <c r="I11" s="326">
        <v>3155301.4942746386</v>
      </c>
      <c r="J11" s="332"/>
      <c r="K11" s="327"/>
      <c r="L11" s="327"/>
      <c r="M11" s="328">
        <v>315530</v>
      </c>
      <c r="N11" s="328"/>
      <c r="O11" s="328">
        <v>6973</v>
      </c>
      <c r="P11" s="328"/>
      <c r="Q11" s="330">
        <v>2.2598742000000002E-2</v>
      </c>
    </row>
    <row r="12" spans="1:17" s="321" customFormat="1" ht="13.5" thickTop="1">
      <c r="A12" s="166"/>
      <c r="B12" s="119"/>
      <c r="C12" s="125"/>
      <c r="D12" s="135"/>
      <c r="E12" s="135"/>
      <c r="F12" s="135"/>
      <c r="G12" s="128"/>
      <c r="H12" s="119"/>
      <c r="I12" s="125"/>
      <c r="J12" s="132"/>
      <c r="K12" s="135"/>
      <c r="L12" s="135"/>
      <c r="M12" s="128"/>
      <c r="N12" s="128"/>
      <c r="O12" s="128"/>
      <c r="P12" s="128"/>
      <c r="Q12" s="130"/>
    </row>
    <row r="14" spans="1:17">
      <c r="A14" s="123" t="s">
        <v>2614</v>
      </c>
    </row>
    <row r="15" spans="1:17">
      <c r="A15" s="123"/>
    </row>
    <row r="16" spans="1:17">
      <c r="A16" s="333" t="s">
        <v>887</v>
      </c>
    </row>
    <row r="17" spans="1:17">
      <c r="A17" s="123"/>
    </row>
    <row r="18" spans="1:17">
      <c r="A18" s="133" t="s">
        <v>888</v>
      </c>
    </row>
    <row r="19" spans="1:17">
      <c r="A19" s="322" t="s">
        <v>2615</v>
      </c>
    </row>
    <row r="20" spans="1:17">
      <c r="A20" s="323" t="s">
        <v>890</v>
      </c>
      <c r="C20" s="386">
        <f>'C-8 Lighting'!M17</f>
        <v>11</v>
      </c>
      <c r="D20" s="334">
        <v>5.9</v>
      </c>
      <c r="E20" s="119" t="s">
        <v>2557</v>
      </c>
      <c r="G20" s="385">
        <f t="shared" ref="G20:G26" si="0">C20*D20*12</f>
        <v>778.80000000000007</v>
      </c>
      <c r="I20" s="131">
        <v>11</v>
      </c>
      <c r="J20" s="334">
        <v>6.79</v>
      </c>
      <c r="K20" s="334" t="s">
        <v>2557</v>
      </c>
      <c r="M20" s="334">
        <v>896.28</v>
      </c>
      <c r="O20" s="128">
        <v>117.4799999999999</v>
      </c>
      <c r="P20" s="128"/>
      <c r="Q20" s="130">
        <v>0.15084745799999999</v>
      </c>
    </row>
    <row r="21" spans="1:17">
      <c r="A21" s="323" t="s">
        <v>891</v>
      </c>
      <c r="C21" s="386">
        <f>'C-8 Lighting'!M18</f>
        <v>10011</v>
      </c>
      <c r="D21" s="334">
        <v>6.32</v>
      </c>
      <c r="E21" s="119" t="s">
        <v>2557</v>
      </c>
      <c r="G21" s="385">
        <f t="shared" si="0"/>
        <v>759234.24</v>
      </c>
      <c r="I21" s="131">
        <v>10656</v>
      </c>
      <c r="J21" s="334">
        <v>7.27</v>
      </c>
      <c r="K21" s="334" t="s">
        <v>2557</v>
      </c>
      <c r="M21" s="334">
        <v>929629.44</v>
      </c>
      <c r="O21" s="128">
        <v>121478.39999999991</v>
      </c>
      <c r="P21" s="128"/>
      <c r="Q21" s="130">
        <v>0.15031645599999999</v>
      </c>
    </row>
    <row r="22" spans="1:17">
      <c r="A22" s="323" t="s">
        <v>892</v>
      </c>
      <c r="C22" s="386">
        <f>'C-8 Lighting'!M19</f>
        <v>74170</v>
      </c>
      <c r="D22" s="334">
        <v>7.05</v>
      </c>
      <c r="E22" s="119" t="s">
        <v>2557</v>
      </c>
      <c r="G22" s="385">
        <f t="shared" si="0"/>
        <v>6274782</v>
      </c>
      <c r="I22" s="131">
        <v>74372</v>
      </c>
      <c r="J22" s="334">
        <v>8.11</v>
      </c>
      <c r="K22" s="334" t="s">
        <v>2557</v>
      </c>
      <c r="M22" s="334">
        <v>7237883.0399999991</v>
      </c>
      <c r="O22" s="128">
        <v>946011.83999999985</v>
      </c>
      <c r="P22" s="128"/>
      <c r="Q22" s="130">
        <v>0.15035461</v>
      </c>
    </row>
    <row r="23" spans="1:17">
      <c r="A23" s="323" t="s">
        <v>893</v>
      </c>
      <c r="C23" s="386">
        <f>'C-8 Lighting'!M20</f>
        <v>610</v>
      </c>
      <c r="D23" s="334">
        <v>7.89</v>
      </c>
      <c r="E23" s="119" t="s">
        <v>2557</v>
      </c>
      <c r="G23" s="385">
        <f t="shared" si="0"/>
        <v>57754.799999999996</v>
      </c>
      <c r="I23" s="131">
        <v>610</v>
      </c>
      <c r="J23" s="334">
        <v>9.07</v>
      </c>
      <c r="K23" s="334" t="s">
        <v>2557</v>
      </c>
      <c r="M23" s="334">
        <v>66392.399999999994</v>
      </c>
      <c r="O23" s="128">
        <v>8637.5999999999985</v>
      </c>
      <c r="P23" s="128"/>
      <c r="Q23" s="130">
        <v>0.14955640100000001</v>
      </c>
    </row>
    <row r="24" spans="1:17">
      <c r="A24" s="323" t="s">
        <v>894</v>
      </c>
      <c r="C24" s="386">
        <f>'C-8 Lighting'!M21</f>
        <v>18448</v>
      </c>
      <c r="D24" s="334">
        <v>12.16</v>
      </c>
      <c r="E24" s="119" t="s">
        <v>2557</v>
      </c>
      <c r="G24" s="385">
        <f t="shared" si="0"/>
        <v>2691932.1600000001</v>
      </c>
      <c r="I24" s="131">
        <v>18474</v>
      </c>
      <c r="J24" s="334">
        <v>13.98</v>
      </c>
      <c r="K24" s="334" t="s">
        <v>2557</v>
      </c>
      <c r="M24" s="334">
        <v>3099198.24</v>
      </c>
      <c r="O24" s="128">
        <v>403472.16000000015</v>
      </c>
      <c r="P24" s="128"/>
      <c r="Q24" s="130">
        <v>0.149671053</v>
      </c>
    </row>
    <row r="25" spans="1:17">
      <c r="A25" s="323" t="s">
        <v>895</v>
      </c>
      <c r="C25" s="386">
        <f>'C-8 Lighting'!M22</f>
        <v>746</v>
      </c>
      <c r="D25" s="334">
        <v>13.32</v>
      </c>
      <c r="E25" s="119" t="s">
        <v>2557</v>
      </c>
      <c r="G25" s="385">
        <f t="shared" si="0"/>
        <v>119240.63999999998</v>
      </c>
      <c r="I25" s="131">
        <v>746</v>
      </c>
      <c r="J25" s="334">
        <v>15.32</v>
      </c>
      <c r="K25" s="334" t="s">
        <v>2557</v>
      </c>
      <c r="M25" s="334">
        <v>137144.63999999998</v>
      </c>
      <c r="O25" s="128">
        <v>17904</v>
      </c>
      <c r="P25" s="128"/>
      <c r="Q25" s="130">
        <v>0.15015015000000001</v>
      </c>
    </row>
    <row r="26" spans="1:17">
      <c r="A26" s="323" t="s">
        <v>896</v>
      </c>
      <c r="C26" s="386">
        <f>'C-8 Lighting'!M23</f>
        <v>1136</v>
      </c>
      <c r="D26" s="334">
        <v>18.16</v>
      </c>
      <c r="E26" s="119" t="s">
        <v>2557</v>
      </c>
      <c r="G26" s="385">
        <f t="shared" si="0"/>
        <v>247557.12</v>
      </c>
      <c r="I26" s="131">
        <v>1136</v>
      </c>
      <c r="J26" s="334">
        <v>20.88</v>
      </c>
      <c r="K26" s="334" t="s">
        <v>2557</v>
      </c>
      <c r="M26" s="334">
        <v>284636.16000000003</v>
      </c>
      <c r="O26" s="128">
        <v>37079.040000000037</v>
      </c>
      <c r="P26" s="128"/>
      <c r="Q26" s="130">
        <v>0.149779736</v>
      </c>
    </row>
    <row r="27" spans="1:17">
      <c r="A27" s="335"/>
      <c r="C27" s="336"/>
      <c r="D27" s="334"/>
      <c r="E27" s="166"/>
      <c r="G27" s="334"/>
      <c r="J27" s="334"/>
      <c r="K27" s="166"/>
      <c r="M27" s="334"/>
    </row>
    <row r="28" spans="1:17">
      <c r="A28" s="133" t="s">
        <v>897</v>
      </c>
      <c r="C28" s="336"/>
      <c r="D28" s="334"/>
      <c r="E28" s="166"/>
      <c r="G28" s="334"/>
      <c r="J28" s="334"/>
      <c r="K28" s="166"/>
      <c r="M28" s="334"/>
    </row>
    <row r="29" spans="1:17">
      <c r="A29" s="322" t="s">
        <v>2615</v>
      </c>
      <c r="C29" s="336"/>
      <c r="D29" s="334"/>
      <c r="E29" s="166"/>
      <c r="G29" s="334"/>
      <c r="J29" s="334"/>
      <c r="K29" s="166"/>
      <c r="M29" s="334"/>
    </row>
    <row r="30" spans="1:17">
      <c r="A30" s="323" t="s">
        <v>890</v>
      </c>
      <c r="C30" s="386">
        <f>'C-8 Lighting'!M27</f>
        <v>35</v>
      </c>
      <c r="D30" s="334">
        <v>8.9499999999999993</v>
      </c>
      <c r="E30" s="334" t="s">
        <v>2557</v>
      </c>
      <c r="G30" s="385">
        <f t="shared" ref="G30:G35" si="1">C30*D30*12</f>
        <v>3759</v>
      </c>
      <c r="I30" s="131">
        <v>35</v>
      </c>
      <c r="J30" s="334">
        <v>10.29</v>
      </c>
      <c r="K30" s="334" t="s">
        <v>2557</v>
      </c>
      <c r="M30" s="334">
        <v>4321.7999999999993</v>
      </c>
      <c r="O30" s="128">
        <v>562.79999999999927</v>
      </c>
      <c r="P30" s="128"/>
      <c r="Q30" s="130">
        <v>0.14972067</v>
      </c>
    </row>
    <row r="31" spans="1:17">
      <c r="A31" s="323" t="s">
        <v>891</v>
      </c>
      <c r="C31" s="386">
        <f>'C-8 Lighting'!M28</f>
        <v>57291</v>
      </c>
      <c r="D31" s="334">
        <v>9.32</v>
      </c>
      <c r="E31" s="334" t="s">
        <v>2557</v>
      </c>
      <c r="G31" s="385">
        <f t="shared" si="1"/>
        <v>6407425.4399999995</v>
      </c>
      <c r="I31" s="131">
        <v>48238</v>
      </c>
      <c r="J31" s="334">
        <v>10.72</v>
      </c>
      <c r="K31" s="334" t="s">
        <v>2557</v>
      </c>
      <c r="M31" s="334">
        <v>6205336.3200000003</v>
      </c>
      <c r="O31" s="128">
        <v>-308001.59999999963</v>
      </c>
      <c r="P31" s="128"/>
      <c r="Q31" s="130">
        <v>-4.7287826999999998E-2</v>
      </c>
    </row>
    <row r="32" spans="1:17">
      <c r="A32" s="323" t="s">
        <v>892</v>
      </c>
      <c r="C32" s="386">
        <f>'C-8 Lighting'!M29</f>
        <v>262102</v>
      </c>
      <c r="D32" s="334">
        <v>10.1</v>
      </c>
      <c r="E32" s="334" t="s">
        <v>2557</v>
      </c>
      <c r="G32" s="385">
        <f t="shared" si="1"/>
        <v>31766762.399999999</v>
      </c>
      <c r="I32" s="131">
        <v>239243</v>
      </c>
      <c r="J32" s="334">
        <v>11.62</v>
      </c>
      <c r="K32" s="334" t="s">
        <v>2557</v>
      </c>
      <c r="M32" s="334">
        <v>33360043.919999994</v>
      </c>
      <c r="O32" s="128">
        <v>727792.31999999657</v>
      </c>
      <c r="P32" s="128"/>
      <c r="Q32" s="130">
        <v>2.2302853000000001E-2</v>
      </c>
    </row>
    <row r="33" spans="1:21">
      <c r="A33" s="323" t="s">
        <v>893</v>
      </c>
      <c r="C33" s="386">
        <f>'C-8 Lighting'!M30</f>
        <v>736</v>
      </c>
      <c r="D33" s="334">
        <v>10.89</v>
      </c>
      <c r="E33" s="334" t="s">
        <v>2557</v>
      </c>
      <c r="G33" s="385">
        <f t="shared" si="1"/>
        <v>96180.48000000001</v>
      </c>
      <c r="I33" s="131">
        <v>736</v>
      </c>
      <c r="J33" s="334">
        <v>12.52</v>
      </c>
      <c r="K33" s="334" t="s">
        <v>2557</v>
      </c>
      <c r="M33" s="334">
        <v>110576.63999999998</v>
      </c>
      <c r="O33" s="128">
        <v>14396.159999999974</v>
      </c>
      <c r="P33" s="128"/>
      <c r="Q33" s="130">
        <v>0.14967860399999999</v>
      </c>
    </row>
    <row r="34" spans="1:21">
      <c r="A34" s="323" t="s">
        <v>894</v>
      </c>
      <c r="C34" s="386">
        <f>'C-8 Lighting'!M31</f>
        <v>36502</v>
      </c>
      <c r="D34" s="334">
        <v>13.16</v>
      </c>
      <c r="E34" s="334" t="s">
        <v>2557</v>
      </c>
      <c r="G34" s="385">
        <f t="shared" si="1"/>
        <v>5764395.8399999999</v>
      </c>
      <c r="I34" s="131">
        <v>37430</v>
      </c>
      <c r="J34" s="334">
        <v>15.13</v>
      </c>
      <c r="K34" s="334" t="s">
        <v>2557</v>
      </c>
      <c r="M34" s="334">
        <v>6795790.8000000007</v>
      </c>
      <c r="O34" s="128">
        <v>884845.20000000112</v>
      </c>
      <c r="P34" s="128"/>
      <c r="Q34" s="130">
        <v>0.149696049</v>
      </c>
    </row>
    <row r="35" spans="1:21">
      <c r="A35" s="323" t="s">
        <v>895</v>
      </c>
      <c r="C35" s="386">
        <f>'C-8 Lighting'!M32</f>
        <v>139</v>
      </c>
      <c r="D35" s="334">
        <v>14.32</v>
      </c>
      <c r="E35" s="334" t="s">
        <v>2557</v>
      </c>
      <c r="G35" s="385">
        <f t="shared" si="1"/>
        <v>23885.760000000002</v>
      </c>
      <c r="I35" s="131">
        <v>90</v>
      </c>
      <c r="J35" s="334">
        <v>16.47</v>
      </c>
      <c r="K35" s="334" t="s">
        <v>2557</v>
      </c>
      <c r="M35" s="334">
        <v>17787.599999999999</v>
      </c>
      <c r="O35" s="128">
        <v>2322</v>
      </c>
      <c r="P35" s="128"/>
      <c r="Q35" s="130">
        <v>0.15013966500000001</v>
      </c>
    </row>
    <row r="36" spans="1:21">
      <c r="A36" s="323"/>
      <c r="C36" s="336"/>
      <c r="D36" s="334"/>
      <c r="E36" s="334"/>
      <c r="G36" s="334"/>
      <c r="I36" s="131"/>
      <c r="J36" s="334"/>
      <c r="K36" s="334"/>
      <c r="M36" s="334"/>
      <c r="O36" s="128"/>
      <c r="P36" s="128"/>
      <c r="Q36" s="130"/>
    </row>
    <row r="37" spans="1:21">
      <c r="A37" s="133" t="s">
        <v>2616</v>
      </c>
      <c r="C37" s="336"/>
      <c r="D37" s="334"/>
      <c r="E37" s="166"/>
      <c r="G37" s="334"/>
      <c r="J37" s="334"/>
      <c r="K37" s="166"/>
      <c r="M37" s="334"/>
    </row>
    <row r="38" spans="1:21">
      <c r="A38" s="322" t="s">
        <v>2615</v>
      </c>
      <c r="C38" s="125"/>
      <c r="D38" s="127"/>
      <c r="G38" s="128"/>
      <c r="I38" s="125"/>
      <c r="J38" s="127"/>
      <c r="M38" s="128"/>
      <c r="U38" s="337"/>
    </row>
    <row r="39" spans="1:21">
      <c r="A39" s="322" t="s">
        <v>899</v>
      </c>
      <c r="C39" s="125">
        <v>0</v>
      </c>
      <c r="D39" s="127">
        <v>0</v>
      </c>
      <c r="E39" s="119" t="s">
        <v>2557</v>
      </c>
      <c r="G39" s="128">
        <v>0</v>
      </c>
      <c r="I39" s="125">
        <v>16982</v>
      </c>
      <c r="J39" s="126">
        <v>5.25</v>
      </c>
      <c r="K39" s="126" t="s">
        <v>2557</v>
      </c>
      <c r="M39" s="128">
        <v>89155.5</v>
      </c>
      <c r="O39" s="128">
        <v>89155.5</v>
      </c>
      <c r="Q39" s="130">
        <v>0</v>
      </c>
      <c r="U39" s="337"/>
    </row>
    <row r="40" spans="1:21">
      <c r="A40" s="322" t="s">
        <v>900</v>
      </c>
      <c r="C40" s="125">
        <v>0</v>
      </c>
      <c r="D40" s="127">
        <v>0</v>
      </c>
      <c r="E40" s="119" t="s">
        <v>2557</v>
      </c>
      <c r="G40" s="128">
        <v>0</v>
      </c>
      <c r="I40" s="125">
        <v>25000</v>
      </c>
      <c r="J40" s="126">
        <v>7</v>
      </c>
      <c r="K40" s="126" t="s">
        <v>2557</v>
      </c>
      <c r="M40" s="128">
        <v>175000</v>
      </c>
      <c r="O40" s="128">
        <v>175000</v>
      </c>
      <c r="Q40" s="130">
        <v>0</v>
      </c>
      <c r="U40" s="337"/>
    </row>
    <row r="41" spans="1:21">
      <c r="A41" s="322" t="s">
        <v>901</v>
      </c>
      <c r="C41" s="125">
        <v>0</v>
      </c>
      <c r="D41" s="127">
        <v>0</v>
      </c>
      <c r="E41" s="119" t="s">
        <v>2557</v>
      </c>
      <c r="G41" s="128">
        <v>0</v>
      </c>
      <c r="I41" s="125">
        <v>75000</v>
      </c>
      <c r="J41" s="126">
        <v>8.35</v>
      </c>
      <c r="K41" s="126" t="s">
        <v>2557</v>
      </c>
      <c r="M41" s="128">
        <v>626250</v>
      </c>
      <c r="O41" s="128">
        <v>626250</v>
      </c>
      <c r="Q41" s="130">
        <v>0</v>
      </c>
      <c r="U41" s="337"/>
    </row>
    <row r="42" spans="1:21">
      <c r="A42" s="322"/>
      <c r="C42" s="125"/>
      <c r="D42" s="127">
        <v>0</v>
      </c>
      <c r="E42" s="119" t="s">
        <v>2557</v>
      </c>
      <c r="G42" s="128">
        <v>0</v>
      </c>
      <c r="I42" s="125"/>
      <c r="J42" s="126">
        <v>0</v>
      </c>
      <c r="K42" s="126" t="s">
        <v>2557</v>
      </c>
      <c r="M42" s="128">
        <v>0</v>
      </c>
      <c r="O42" s="128">
        <v>0</v>
      </c>
      <c r="Q42" s="130">
        <v>0</v>
      </c>
      <c r="U42" s="337"/>
    </row>
    <row r="43" spans="1:21">
      <c r="A43" s="322"/>
      <c r="C43" s="125"/>
      <c r="D43" s="127">
        <v>0</v>
      </c>
      <c r="E43" s="119" t="s">
        <v>2557</v>
      </c>
      <c r="G43" s="128">
        <v>0</v>
      </c>
      <c r="I43" s="125"/>
      <c r="J43" s="126">
        <v>0</v>
      </c>
      <c r="K43" s="126" t="s">
        <v>2557</v>
      </c>
      <c r="M43" s="128">
        <v>0</v>
      </c>
      <c r="O43" s="128">
        <v>0</v>
      </c>
      <c r="P43" s="128"/>
      <c r="Q43" s="130">
        <v>0</v>
      </c>
      <c r="U43" s="337"/>
    </row>
    <row r="44" spans="1:21">
      <c r="A44" s="323"/>
      <c r="C44" s="336"/>
      <c r="D44" s="334"/>
      <c r="E44" s="166"/>
      <c r="G44" s="334"/>
      <c r="J44" s="334"/>
      <c r="K44" s="166"/>
      <c r="M44" s="334"/>
    </row>
    <row r="45" spans="1:21">
      <c r="A45" s="133" t="s">
        <v>902</v>
      </c>
      <c r="C45" s="336"/>
      <c r="D45" s="334"/>
      <c r="E45" s="166"/>
      <c r="G45" s="334"/>
      <c r="J45" s="334"/>
      <c r="K45" s="166"/>
      <c r="M45" s="334"/>
    </row>
    <row r="46" spans="1:21">
      <c r="A46" s="322" t="s">
        <v>2617</v>
      </c>
      <c r="C46" s="336"/>
      <c r="D46" s="334"/>
      <c r="E46" s="166"/>
      <c r="G46" s="334"/>
      <c r="J46" s="334"/>
      <c r="K46" s="166"/>
      <c r="M46" s="334"/>
    </row>
    <row r="47" spans="1:21">
      <c r="A47" s="323" t="s">
        <v>904</v>
      </c>
      <c r="C47" s="336">
        <f>'C-8 Lighting'!M42</f>
        <v>731</v>
      </c>
      <c r="D47" s="334">
        <v>5.82</v>
      </c>
      <c r="E47" s="334" t="s">
        <v>2557</v>
      </c>
      <c r="G47" s="385">
        <f>C47*D47*12</f>
        <v>51053.04</v>
      </c>
      <c r="I47" s="131">
        <v>0</v>
      </c>
      <c r="J47" s="334">
        <v>6.69</v>
      </c>
      <c r="K47" s="334" t="s">
        <v>2557</v>
      </c>
      <c r="M47" s="334">
        <v>0</v>
      </c>
      <c r="O47" s="128">
        <v>0</v>
      </c>
      <c r="P47" s="128"/>
      <c r="Q47" s="130">
        <v>-1</v>
      </c>
    </row>
    <row r="48" spans="1:21">
      <c r="A48" s="323" t="s">
        <v>905</v>
      </c>
      <c r="C48" s="336">
        <f>'C-8 Lighting'!M43</f>
        <v>25809</v>
      </c>
      <c r="D48" s="334">
        <v>7.83</v>
      </c>
      <c r="E48" s="334" t="s">
        <v>2557</v>
      </c>
      <c r="G48" s="385">
        <f>C48*D48*12</f>
        <v>2425013.64</v>
      </c>
      <c r="I48" s="131">
        <v>4275</v>
      </c>
      <c r="J48" s="334">
        <v>9</v>
      </c>
      <c r="K48" s="334" t="s">
        <v>2557</v>
      </c>
      <c r="M48" s="334">
        <v>461700</v>
      </c>
      <c r="O48" s="128">
        <v>-1963971.3599999999</v>
      </c>
      <c r="P48" s="128"/>
      <c r="Q48" s="130">
        <v>-0.80966094300000002</v>
      </c>
    </row>
    <row r="49" spans="1:21">
      <c r="A49" s="323" t="s">
        <v>906</v>
      </c>
      <c r="C49" s="336">
        <f>'C-8 Lighting'!M44</f>
        <v>3380</v>
      </c>
      <c r="D49" s="334">
        <v>13.41</v>
      </c>
      <c r="E49" s="334" t="s">
        <v>2557</v>
      </c>
      <c r="G49" s="385">
        <f>C49*D49*12</f>
        <v>543909.60000000009</v>
      </c>
      <c r="I49" s="131">
        <v>1380</v>
      </c>
      <c r="J49" s="334">
        <v>15.42</v>
      </c>
      <c r="K49" s="334" t="s">
        <v>2557</v>
      </c>
      <c r="M49" s="334">
        <v>255355.19999999998</v>
      </c>
      <c r="O49" s="128">
        <v>-288554.40000000014</v>
      </c>
      <c r="P49" s="128"/>
      <c r="Q49" s="130">
        <v>-0.530519042</v>
      </c>
    </row>
    <row r="50" spans="1:21">
      <c r="A50" s="323" t="s">
        <v>907</v>
      </c>
      <c r="C50" s="336">
        <f>'C-8 Lighting'!M45</f>
        <v>2223</v>
      </c>
      <c r="D50" s="334">
        <v>28.03</v>
      </c>
      <c r="E50" s="334" t="s">
        <v>2557</v>
      </c>
      <c r="G50" s="385">
        <f>C50*D50*12</f>
        <v>747728.28</v>
      </c>
      <c r="I50" s="131">
        <v>523</v>
      </c>
      <c r="J50" s="334">
        <v>32.229999999999997</v>
      </c>
      <c r="K50" s="334" t="s">
        <v>2557</v>
      </c>
      <c r="M50" s="334">
        <v>202275.47999999998</v>
      </c>
      <c r="O50" s="128">
        <v>-545452.80000000005</v>
      </c>
      <c r="P50" s="128"/>
      <c r="Q50" s="130">
        <v>-0.72947996599999998</v>
      </c>
    </row>
    <row r="51" spans="1:21">
      <c r="A51" s="323" t="s">
        <v>908</v>
      </c>
      <c r="C51" s="336">
        <f>'C-8 Lighting'!M46</f>
        <v>4</v>
      </c>
      <c r="D51" s="334">
        <v>25.03</v>
      </c>
      <c r="E51" s="334" t="s">
        <v>2557</v>
      </c>
      <c r="G51" s="385">
        <f>C51*D51*12</f>
        <v>1201.44</v>
      </c>
      <c r="I51" s="131">
        <v>4</v>
      </c>
      <c r="J51" s="334">
        <v>28.78</v>
      </c>
      <c r="K51" s="334" t="s">
        <v>2557</v>
      </c>
      <c r="M51" s="334">
        <v>1381.44</v>
      </c>
      <c r="O51" s="128">
        <v>180</v>
      </c>
      <c r="P51" s="128"/>
      <c r="Q51" s="130">
        <v>0.14982021600000001</v>
      </c>
    </row>
    <row r="52" spans="1:21">
      <c r="A52" s="323"/>
      <c r="C52" s="336"/>
      <c r="D52" s="334"/>
      <c r="E52" s="166"/>
      <c r="G52" s="334"/>
      <c r="J52" s="334"/>
      <c r="K52" s="166"/>
      <c r="M52" s="334"/>
    </row>
    <row r="53" spans="1:21">
      <c r="A53" s="322" t="s">
        <v>2618</v>
      </c>
      <c r="C53" s="336"/>
      <c r="D53" s="334"/>
      <c r="E53" s="166"/>
      <c r="G53" s="334"/>
      <c r="J53" s="334"/>
      <c r="K53" s="166"/>
      <c r="M53" s="334"/>
    </row>
    <row r="54" spans="1:21">
      <c r="A54" s="323" t="s">
        <v>904</v>
      </c>
      <c r="C54" s="336">
        <f>'C-8 Lighting'!M49</f>
        <v>9860</v>
      </c>
      <c r="D54" s="334">
        <v>4.22</v>
      </c>
      <c r="E54" s="334" t="s">
        <v>2557</v>
      </c>
      <c r="G54" s="385">
        <f>C54*D54*12</f>
        <v>499310.39999999997</v>
      </c>
      <c r="I54" s="131">
        <v>2860</v>
      </c>
      <c r="J54" s="334">
        <v>4.8499999999999996</v>
      </c>
      <c r="K54" s="334" t="s">
        <v>2557</v>
      </c>
      <c r="M54" s="334">
        <v>166451.99999999997</v>
      </c>
      <c r="O54" s="128">
        <v>-332858.40000000002</v>
      </c>
      <c r="P54" s="128"/>
      <c r="Q54" s="130">
        <v>-0.66663622499999997</v>
      </c>
    </row>
    <row r="55" spans="1:21">
      <c r="A55" s="323" t="s">
        <v>905</v>
      </c>
      <c r="C55" s="336">
        <f>'C-8 Lighting'!M50</f>
        <v>11308</v>
      </c>
      <c r="D55" s="334">
        <v>6.18</v>
      </c>
      <c r="E55" s="334" t="s">
        <v>2557</v>
      </c>
      <c r="G55" s="385">
        <f>C55*D55*12</f>
        <v>838601.28</v>
      </c>
      <c r="I55" s="131">
        <v>4205</v>
      </c>
      <c r="J55" s="334">
        <v>7.11</v>
      </c>
      <c r="K55" s="334" t="s">
        <v>2557</v>
      </c>
      <c r="M55" s="334">
        <v>358770.60000000003</v>
      </c>
      <c r="O55" s="128">
        <v>-516688.1999999999</v>
      </c>
      <c r="P55" s="128"/>
      <c r="Q55" s="130">
        <v>-0.59019133700000004</v>
      </c>
    </row>
    <row r="56" spans="1:21">
      <c r="A56" s="323" t="s">
        <v>906</v>
      </c>
      <c r="C56" s="336">
        <f>'C-8 Lighting'!M51</f>
        <v>876</v>
      </c>
      <c r="D56" s="334">
        <v>8.31</v>
      </c>
      <c r="E56" s="334" t="s">
        <v>2557</v>
      </c>
      <c r="G56" s="385">
        <f>C56*D56*12</f>
        <v>87354.72</v>
      </c>
      <c r="I56" s="131">
        <v>500</v>
      </c>
      <c r="J56" s="334">
        <v>9.56</v>
      </c>
      <c r="K56" s="334" t="s">
        <v>2557</v>
      </c>
      <c r="M56" s="334">
        <v>57360</v>
      </c>
      <c r="O56" s="128">
        <v>-29994.720000000001</v>
      </c>
      <c r="P56" s="128"/>
      <c r="Q56" s="130">
        <v>-0.343366907</v>
      </c>
    </row>
    <row r="57" spans="1:21">
      <c r="A57" s="323" t="s">
        <v>907</v>
      </c>
      <c r="C57" s="336">
        <f>'C-8 Lighting'!M52</f>
        <v>486</v>
      </c>
      <c r="D57" s="334">
        <v>12.08</v>
      </c>
      <c r="E57" s="334" t="s">
        <v>2557</v>
      </c>
      <c r="G57" s="385">
        <f>C57*D57*12</f>
        <v>70450.559999999998</v>
      </c>
      <c r="I57" s="131">
        <v>150</v>
      </c>
      <c r="J57" s="334">
        <v>13.89</v>
      </c>
      <c r="K57" s="334" t="s">
        <v>2557</v>
      </c>
      <c r="M57" s="334">
        <v>25002</v>
      </c>
      <c r="O57" s="128">
        <v>-45448.56</v>
      </c>
      <c r="P57" s="128"/>
      <c r="Q57" s="130">
        <v>-0.64511282800000003</v>
      </c>
    </row>
    <row r="58" spans="1:21" s="137" customFormat="1" ht="13.5" thickBot="1">
      <c r="A58" s="338" t="s">
        <v>2619</v>
      </c>
      <c r="C58" s="138">
        <f>SUM(C20:C57)</f>
        <v>516614</v>
      </c>
      <c r="D58" s="167"/>
      <c r="F58" s="167"/>
      <c r="G58" s="389">
        <f>SUM(G20:G57)</f>
        <v>59478311.639999986</v>
      </c>
      <c r="I58" s="138">
        <v>562656</v>
      </c>
      <c r="J58" s="167"/>
      <c r="L58" s="167"/>
      <c r="M58" s="339">
        <v>60668339.499999993</v>
      </c>
      <c r="N58" s="140"/>
      <c r="O58" s="140">
        <v>-26818.579999998212</v>
      </c>
      <c r="P58" s="140"/>
      <c r="Q58" s="142">
        <v>-4.4185699999999998E-4</v>
      </c>
      <c r="U58" s="340"/>
    </row>
    <row r="59" spans="1:21" ht="13.5" thickTop="1">
      <c r="A59" s="166"/>
      <c r="C59" s="125"/>
      <c r="D59" s="127"/>
      <c r="F59" s="127"/>
      <c r="G59" s="387"/>
      <c r="I59" s="125"/>
      <c r="J59" s="127"/>
      <c r="L59" s="127"/>
      <c r="M59" s="128"/>
      <c r="N59" s="128"/>
      <c r="U59" s="337"/>
    </row>
    <row r="60" spans="1:21">
      <c r="A60" s="333" t="s">
        <v>2620</v>
      </c>
      <c r="C60" s="125"/>
      <c r="D60" s="127"/>
      <c r="F60" s="127"/>
      <c r="G60" s="387"/>
      <c r="I60" s="125"/>
      <c r="J60" s="127"/>
      <c r="L60" s="127"/>
      <c r="M60" s="128"/>
      <c r="N60" s="128"/>
      <c r="U60" s="337"/>
    </row>
    <row r="61" spans="1:21">
      <c r="A61" s="341"/>
      <c r="C61" s="125"/>
      <c r="D61" s="127"/>
      <c r="F61" s="127"/>
      <c r="G61" s="387"/>
      <c r="I61" s="125"/>
      <c r="J61" s="127"/>
      <c r="L61" s="127"/>
      <c r="M61" s="128"/>
      <c r="N61" s="128"/>
      <c r="U61" s="337"/>
    </row>
    <row r="62" spans="1:21">
      <c r="A62" s="322" t="s">
        <v>2556</v>
      </c>
      <c r="C62" s="125">
        <f>'C-8 Lighting'!M58</f>
        <v>225</v>
      </c>
      <c r="D62" s="127">
        <v>5</v>
      </c>
      <c r="E62" s="127" t="s">
        <v>2557</v>
      </c>
      <c r="F62" s="127"/>
      <c r="G62" s="385">
        <f>C62*D62*12</f>
        <v>13500</v>
      </c>
      <c r="I62" s="125">
        <v>201</v>
      </c>
      <c r="J62" s="127">
        <v>5.75</v>
      </c>
      <c r="K62" s="127" t="s">
        <v>2557</v>
      </c>
      <c r="L62" s="127"/>
      <c r="M62" s="334">
        <v>13869</v>
      </c>
      <c r="N62" s="128"/>
      <c r="O62" s="128">
        <v>1809</v>
      </c>
      <c r="P62" s="128"/>
      <c r="Q62" s="130">
        <v>0.15</v>
      </c>
      <c r="U62" s="337"/>
    </row>
    <row r="63" spans="1:21">
      <c r="A63" s="166"/>
      <c r="C63" s="125"/>
      <c r="D63" s="127"/>
      <c r="E63" s="127"/>
      <c r="F63" s="127"/>
      <c r="G63" s="387"/>
      <c r="I63" s="125"/>
      <c r="J63" s="127"/>
      <c r="K63" s="127"/>
      <c r="L63" s="127"/>
      <c r="M63" s="128"/>
      <c r="N63" s="128"/>
      <c r="U63" s="337"/>
    </row>
    <row r="64" spans="1:21">
      <c r="A64" s="322" t="s">
        <v>2558</v>
      </c>
      <c r="C64" s="125"/>
      <c r="D64" s="127"/>
      <c r="E64" s="127"/>
      <c r="F64" s="127"/>
      <c r="G64" s="387"/>
      <c r="I64" s="125"/>
      <c r="J64" s="127"/>
      <c r="K64" s="127"/>
      <c r="L64" s="127"/>
      <c r="M64" s="128"/>
      <c r="N64" s="128"/>
      <c r="U64" s="337"/>
    </row>
    <row r="65" spans="1:21">
      <c r="A65" s="323" t="s">
        <v>912</v>
      </c>
      <c r="C65" s="125">
        <f>'C-8 Lighting'!M60</f>
        <v>2880173</v>
      </c>
      <c r="D65" s="135">
        <v>7.7789999999999998E-2</v>
      </c>
      <c r="E65" s="127" t="s">
        <v>2560</v>
      </c>
      <c r="F65" s="127"/>
      <c r="G65" s="385">
        <f>C65*D65</f>
        <v>224048.65766999999</v>
      </c>
      <c r="I65" s="125">
        <v>2463640.5986070824</v>
      </c>
      <c r="J65" s="135">
        <v>8.5000000000000006E-2</v>
      </c>
      <c r="K65" s="127" t="s">
        <v>2560</v>
      </c>
      <c r="L65" s="127"/>
      <c r="M65" s="334">
        <v>209409.45088160201</v>
      </c>
      <c r="N65" s="128"/>
      <c r="O65" s="128">
        <v>17762.84871595708</v>
      </c>
      <c r="P65" s="128"/>
      <c r="Q65" s="130">
        <v>9.2685434999999997E-2</v>
      </c>
      <c r="U65" s="337"/>
    </row>
    <row r="66" spans="1:21">
      <c r="A66" s="166"/>
      <c r="C66" s="125"/>
      <c r="D66" s="127"/>
      <c r="F66" s="127"/>
      <c r="G66" s="387"/>
      <c r="I66" s="125"/>
      <c r="J66" s="127"/>
      <c r="K66" s="127"/>
      <c r="L66" s="127"/>
      <c r="M66" s="128"/>
      <c r="N66" s="128"/>
      <c r="U66" s="337"/>
    </row>
    <row r="67" spans="1:21">
      <c r="A67" s="322" t="s">
        <v>2615</v>
      </c>
      <c r="C67" s="125"/>
      <c r="D67" s="127"/>
      <c r="F67" s="127"/>
      <c r="G67" s="387"/>
      <c r="I67" s="125"/>
      <c r="J67" s="127"/>
      <c r="K67" s="127"/>
      <c r="L67" s="127"/>
      <c r="M67" s="128"/>
      <c r="N67" s="128"/>
      <c r="U67" s="337"/>
    </row>
    <row r="68" spans="1:21">
      <c r="A68" s="323" t="s">
        <v>890</v>
      </c>
      <c r="C68" s="125">
        <v>0</v>
      </c>
      <c r="D68" s="127">
        <v>1.55</v>
      </c>
      <c r="E68" s="127" t="s">
        <v>2557</v>
      </c>
      <c r="F68" s="127"/>
      <c r="G68" s="385">
        <v>0</v>
      </c>
      <c r="I68" s="125">
        <v>0</v>
      </c>
      <c r="J68" s="127">
        <v>1.78</v>
      </c>
      <c r="K68" s="127" t="s">
        <v>2557</v>
      </c>
      <c r="L68" s="127"/>
      <c r="M68" s="334">
        <v>0</v>
      </c>
      <c r="N68" s="128"/>
      <c r="O68" s="128">
        <v>0</v>
      </c>
      <c r="P68" s="128"/>
      <c r="Q68" s="130">
        <v>0</v>
      </c>
      <c r="U68" s="337"/>
    </row>
    <row r="69" spans="1:21">
      <c r="A69" s="323" t="s">
        <v>891</v>
      </c>
      <c r="C69" s="125">
        <v>0</v>
      </c>
      <c r="D69" s="127">
        <v>2.2200000000000002</v>
      </c>
      <c r="E69" s="127" t="s">
        <v>2557</v>
      </c>
      <c r="F69" s="127"/>
      <c r="G69" s="385">
        <v>0</v>
      </c>
      <c r="I69" s="125">
        <v>0</v>
      </c>
      <c r="J69" s="127">
        <v>2.5499999999999998</v>
      </c>
      <c r="K69" s="127" t="s">
        <v>2557</v>
      </c>
      <c r="L69" s="127"/>
      <c r="M69" s="334">
        <v>0</v>
      </c>
      <c r="N69" s="128"/>
      <c r="O69" s="128">
        <v>0</v>
      </c>
      <c r="P69" s="128"/>
      <c r="Q69" s="130">
        <v>0</v>
      </c>
      <c r="U69" s="337"/>
    </row>
    <row r="70" spans="1:21">
      <c r="A70" s="323" t="s">
        <v>892</v>
      </c>
      <c r="C70" s="125">
        <v>0</v>
      </c>
      <c r="D70" s="127">
        <v>3.1</v>
      </c>
      <c r="E70" s="127" t="s">
        <v>2557</v>
      </c>
      <c r="F70" s="127"/>
      <c r="G70" s="385">
        <v>0</v>
      </c>
      <c r="I70" s="125">
        <v>0</v>
      </c>
      <c r="J70" s="127">
        <v>3.57</v>
      </c>
      <c r="K70" s="127" t="s">
        <v>2557</v>
      </c>
      <c r="L70" s="127"/>
      <c r="M70" s="334">
        <v>0</v>
      </c>
      <c r="N70" s="128"/>
      <c r="O70" s="128">
        <v>0</v>
      </c>
      <c r="P70" s="128"/>
      <c r="Q70" s="130">
        <v>0</v>
      </c>
      <c r="U70" s="337"/>
    </row>
    <row r="71" spans="1:21">
      <c r="A71" s="323" t="s">
        <v>893</v>
      </c>
      <c r="C71" s="125">
        <v>0</v>
      </c>
      <c r="D71" s="127">
        <v>4.4400000000000004</v>
      </c>
      <c r="E71" s="127" t="s">
        <v>2557</v>
      </c>
      <c r="F71" s="127"/>
      <c r="G71" s="385">
        <v>0</v>
      </c>
      <c r="I71" s="125">
        <v>0</v>
      </c>
      <c r="J71" s="127">
        <v>5.1100000000000003</v>
      </c>
      <c r="K71" s="127" t="s">
        <v>2557</v>
      </c>
      <c r="L71" s="127"/>
      <c r="M71" s="334">
        <v>0</v>
      </c>
      <c r="N71" s="128"/>
      <c r="O71" s="128">
        <v>0</v>
      </c>
      <c r="P71" s="128"/>
      <c r="Q71" s="130">
        <v>0</v>
      </c>
      <c r="U71" s="337"/>
    </row>
    <row r="72" spans="1:21">
      <c r="A72" s="323" t="s">
        <v>894</v>
      </c>
      <c r="C72" s="125">
        <v>0</v>
      </c>
      <c r="D72" s="127">
        <v>6.66</v>
      </c>
      <c r="E72" s="127" t="s">
        <v>2557</v>
      </c>
      <c r="F72" s="127"/>
      <c r="G72" s="385">
        <v>0</v>
      </c>
      <c r="I72" s="125">
        <v>0</v>
      </c>
      <c r="J72" s="127">
        <v>7.66</v>
      </c>
      <c r="K72" s="127" t="s">
        <v>2557</v>
      </c>
      <c r="L72" s="127"/>
      <c r="M72" s="334">
        <v>0</v>
      </c>
      <c r="N72" s="128"/>
      <c r="O72" s="128">
        <v>0</v>
      </c>
      <c r="P72" s="128"/>
      <c r="Q72" s="130">
        <v>0</v>
      </c>
      <c r="U72" s="337"/>
    </row>
    <row r="73" spans="1:21">
      <c r="A73" s="323" t="s">
        <v>895</v>
      </c>
      <c r="C73" s="125">
        <v>0</v>
      </c>
      <c r="D73" s="127">
        <v>8.32</v>
      </c>
      <c r="E73" s="127" t="s">
        <v>2557</v>
      </c>
      <c r="F73" s="127"/>
      <c r="G73" s="385">
        <v>0</v>
      </c>
      <c r="I73" s="125">
        <v>0</v>
      </c>
      <c r="J73" s="127">
        <v>9.57</v>
      </c>
      <c r="K73" s="127" t="s">
        <v>2557</v>
      </c>
      <c r="L73" s="127"/>
      <c r="M73" s="334">
        <v>0</v>
      </c>
      <c r="N73" s="128"/>
      <c r="O73" s="128">
        <v>0</v>
      </c>
      <c r="P73" s="128"/>
      <c r="Q73" s="130">
        <v>0</v>
      </c>
      <c r="U73" s="337"/>
    </row>
    <row r="74" spans="1:21">
      <c r="A74" s="323" t="s">
        <v>896</v>
      </c>
      <c r="C74" s="125">
        <v>0</v>
      </c>
      <c r="D74" s="127">
        <v>12.76</v>
      </c>
      <c r="E74" s="127" t="s">
        <v>2557</v>
      </c>
      <c r="F74" s="127"/>
      <c r="G74" s="385">
        <v>0</v>
      </c>
      <c r="I74" s="125">
        <v>0</v>
      </c>
      <c r="J74" s="127">
        <v>14.67</v>
      </c>
      <c r="K74" s="127" t="s">
        <v>2557</v>
      </c>
      <c r="L74" s="127"/>
      <c r="M74" s="334">
        <v>0</v>
      </c>
      <c r="N74" s="128"/>
      <c r="O74" s="128">
        <v>0</v>
      </c>
      <c r="P74" s="128"/>
      <c r="Q74" s="130">
        <v>0</v>
      </c>
      <c r="U74" s="337"/>
    </row>
    <row r="75" spans="1:21">
      <c r="A75" s="323" t="s">
        <v>913</v>
      </c>
      <c r="C75" s="125">
        <v>0</v>
      </c>
      <c r="D75" s="127">
        <v>7.7789999999999998E-2</v>
      </c>
      <c r="E75" s="127" t="s">
        <v>2560</v>
      </c>
      <c r="F75" s="127"/>
      <c r="G75" s="385">
        <v>0</v>
      </c>
      <c r="I75" s="125">
        <v>0</v>
      </c>
      <c r="J75" s="127">
        <v>8.9459999999999998E-2</v>
      </c>
      <c r="K75" s="127" t="s">
        <v>2560</v>
      </c>
      <c r="L75" s="127"/>
      <c r="M75" s="334">
        <v>0</v>
      </c>
      <c r="N75" s="128"/>
      <c r="O75" s="128">
        <v>0</v>
      </c>
      <c r="P75" s="128"/>
      <c r="Q75" s="130">
        <v>0</v>
      </c>
      <c r="U75" s="337"/>
    </row>
    <row r="76" spans="1:21" s="137" customFormat="1" ht="13.5" thickBot="1">
      <c r="A76" s="338" t="s">
        <v>914</v>
      </c>
      <c r="C76" s="138">
        <v>201</v>
      </c>
      <c r="D76" s="167"/>
      <c r="F76" s="167"/>
      <c r="G76" s="388">
        <f>SUM(G62:G75)</f>
        <v>237548.65766999999</v>
      </c>
      <c r="I76" s="138">
        <v>201</v>
      </c>
      <c r="J76" s="167"/>
      <c r="L76" s="167"/>
      <c r="M76" s="339">
        <v>223278.45088160201</v>
      </c>
      <c r="N76" s="140"/>
      <c r="O76" s="140">
        <v>19571.84871595708</v>
      </c>
      <c r="P76" s="140"/>
      <c r="Q76" s="142">
        <v>9.6078618000000005E-2</v>
      </c>
      <c r="U76" s="340"/>
    </row>
    <row r="77" spans="1:21" ht="13.5" thickTop="1">
      <c r="A77" s="166"/>
      <c r="C77" s="125"/>
      <c r="D77" s="127"/>
      <c r="F77" s="127"/>
      <c r="G77" s="128"/>
      <c r="I77" s="125"/>
      <c r="J77" s="127"/>
      <c r="L77" s="127"/>
      <c r="M77" s="128"/>
      <c r="N77" s="128"/>
      <c r="U77" s="337"/>
    </row>
    <row r="78" spans="1:21">
      <c r="A78" s="333" t="s">
        <v>2621</v>
      </c>
      <c r="C78" s="125"/>
      <c r="D78" s="127"/>
      <c r="F78" s="127"/>
      <c r="G78" s="128"/>
      <c r="I78" s="125"/>
      <c r="J78" s="127"/>
      <c r="L78" s="127"/>
      <c r="M78" s="128"/>
      <c r="N78" s="128"/>
      <c r="U78" s="337"/>
    </row>
    <row r="79" spans="1:21">
      <c r="A79" s="341"/>
      <c r="C79" s="125"/>
      <c r="D79" s="127"/>
      <c r="F79" s="127"/>
      <c r="G79" s="128"/>
      <c r="I79" s="125"/>
      <c r="J79" s="127"/>
      <c r="L79" s="127"/>
      <c r="M79" s="128"/>
      <c r="N79" s="128"/>
      <c r="U79" s="337"/>
    </row>
    <row r="80" spans="1:21">
      <c r="A80" s="133" t="s">
        <v>2622</v>
      </c>
      <c r="C80" s="125"/>
      <c r="D80" s="127"/>
      <c r="F80" s="127"/>
      <c r="G80" s="128"/>
      <c r="I80" s="125"/>
      <c r="J80" s="127"/>
      <c r="L80" s="127"/>
      <c r="M80" s="128"/>
      <c r="N80" s="128"/>
      <c r="U80" s="337"/>
    </row>
    <row r="81" spans="1:21">
      <c r="A81" s="322" t="s">
        <v>2615</v>
      </c>
      <c r="C81" s="125"/>
      <c r="D81" s="127"/>
      <c r="F81" s="127"/>
      <c r="G81" s="128"/>
      <c r="I81" s="125"/>
      <c r="J81" s="127"/>
      <c r="L81" s="127"/>
      <c r="M81" s="128"/>
      <c r="N81" s="128"/>
      <c r="U81" s="337"/>
    </row>
    <row r="82" spans="1:21">
      <c r="A82" s="323" t="s">
        <v>890</v>
      </c>
      <c r="C82" s="125">
        <f>'C-8 Lighting'!M77</f>
        <v>131</v>
      </c>
      <c r="D82" s="127">
        <v>8.9499999999999993</v>
      </c>
      <c r="E82" s="127" t="s">
        <v>2557</v>
      </c>
      <c r="F82" s="127"/>
      <c r="G82" s="385">
        <f t="shared" ref="G82:G87" si="2">C82*D82*12</f>
        <v>14069.399999999998</v>
      </c>
      <c r="I82" s="125">
        <v>140</v>
      </c>
      <c r="J82" s="127">
        <v>10.29</v>
      </c>
      <c r="K82" s="127">
        <v>0</v>
      </c>
      <c r="L82" s="127"/>
      <c r="M82" s="334">
        <v>17287.199999999997</v>
      </c>
      <c r="N82" s="128"/>
      <c r="O82" s="128">
        <v>2251.1999999999971</v>
      </c>
      <c r="P82" s="128"/>
      <c r="Q82" s="130">
        <v>0.14972067</v>
      </c>
      <c r="U82" s="337"/>
    </row>
    <row r="83" spans="1:21">
      <c r="A83" s="323" t="s">
        <v>891</v>
      </c>
      <c r="C83" s="125">
        <f>'C-8 Lighting'!M78</f>
        <v>191</v>
      </c>
      <c r="D83" s="127">
        <v>9.32</v>
      </c>
      <c r="E83" s="127" t="s">
        <v>2557</v>
      </c>
      <c r="F83" s="127"/>
      <c r="G83" s="385">
        <f t="shared" si="2"/>
        <v>21361.440000000002</v>
      </c>
      <c r="I83" s="125">
        <v>205</v>
      </c>
      <c r="J83" s="127">
        <v>10.72</v>
      </c>
      <c r="K83" s="127">
        <v>0</v>
      </c>
      <c r="L83" s="127"/>
      <c r="M83" s="334">
        <v>26371.199999999997</v>
      </c>
      <c r="N83" s="128"/>
      <c r="O83" s="128">
        <v>3443.9999999999964</v>
      </c>
      <c r="P83" s="128"/>
      <c r="Q83" s="130">
        <v>0.15021459200000001</v>
      </c>
      <c r="U83" s="337"/>
    </row>
    <row r="84" spans="1:21">
      <c r="A84" s="323" t="s">
        <v>892</v>
      </c>
      <c r="C84" s="125">
        <f>'C-8 Lighting'!M79</f>
        <v>655</v>
      </c>
      <c r="D84" s="127">
        <v>10.1</v>
      </c>
      <c r="E84" s="127" t="s">
        <v>2557</v>
      </c>
      <c r="F84" s="127"/>
      <c r="G84" s="385">
        <f t="shared" si="2"/>
        <v>79386</v>
      </c>
      <c r="I84" s="125">
        <v>727</v>
      </c>
      <c r="J84" s="127">
        <v>11.62</v>
      </c>
      <c r="K84" s="127">
        <v>0</v>
      </c>
      <c r="L84" s="127"/>
      <c r="M84" s="334">
        <v>101372.88</v>
      </c>
      <c r="N84" s="128"/>
      <c r="O84" s="128">
        <v>13260.48000000001</v>
      </c>
      <c r="P84" s="128"/>
      <c r="Q84" s="130">
        <v>0.15049504999999999</v>
      </c>
      <c r="U84" s="337"/>
    </row>
    <row r="85" spans="1:21">
      <c r="A85" s="323" t="s">
        <v>893</v>
      </c>
      <c r="C85" s="125">
        <f>'C-8 Lighting'!M80</f>
        <v>11</v>
      </c>
      <c r="D85" s="127">
        <v>10.89</v>
      </c>
      <c r="E85" s="127" t="s">
        <v>2557</v>
      </c>
      <c r="F85" s="127"/>
      <c r="G85" s="385">
        <f t="shared" si="2"/>
        <v>1437.48</v>
      </c>
      <c r="I85" s="125">
        <v>14</v>
      </c>
      <c r="J85" s="127">
        <v>12.52</v>
      </c>
      <c r="K85" s="127">
        <v>0</v>
      </c>
      <c r="L85" s="127"/>
      <c r="M85" s="334">
        <v>2103.36</v>
      </c>
      <c r="N85" s="128"/>
      <c r="O85" s="128">
        <v>273.84000000000015</v>
      </c>
      <c r="P85" s="128"/>
      <c r="Q85" s="130">
        <v>0.14967860399999999</v>
      </c>
      <c r="U85" s="337"/>
    </row>
    <row r="86" spans="1:21">
      <c r="A86" s="323" t="s">
        <v>894</v>
      </c>
      <c r="C86" s="125">
        <f>'C-8 Lighting'!M81</f>
        <v>120</v>
      </c>
      <c r="D86" s="127">
        <v>13.16</v>
      </c>
      <c r="E86" s="127" t="s">
        <v>2557</v>
      </c>
      <c r="F86" s="127"/>
      <c r="G86" s="385">
        <f t="shared" si="2"/>
        <v>18950.400000000001</v>
      </c>
      <c r="I86" s="125">
        <v>130</v>
      </c>
      <c r="J86" s="127">
        <v>15.13</v>
      </c>
      <c r="K86" s="127">
        <v>0</v>
      </c>
      <c r="L86" s="127"/>
      <c r="M86" s="334">
        <v>23602.800000000003</v>
      </c>
      <c r="N86" s="128"/>
      <c r="O86" s="128">
        <v>3073.2000000000044</v>
      </c>
      <c r="P86" s="128"/>
      <c r="Q86" s="130">
        <v>0.149696049</v>
      </c>
      <c r="U86" s="337"/>
    </row>
    <row r="87" spans="1:21">
      <c r="A87" s="323" t="s">
        <v>895</v>
      </c>
      <c r="C87" s="125">
        <f>'C-8 Lighting'!M82</f>
        <v>1</v>
      </c>
      <c r="D87" s="127">
        <v>14.32</v>
      </c>
      <c r="E87" s="127" t="s">
        <v>2557</v>
      </c>
      <c r="F87" s="127"/>
      <c r="G87" s="385">
        <f t="shared" si="2"/>
        <v>171.84</v>
      </c>
      <c r="I87" s="125">
        <v>1</v>
      </c>
      <c r="J87" s="127">
        <v>16.47</v>
      </c>
      <c r="K87" s="127">
        <v>0</v>
      </c>
      <c r="L87" s="127"/>
      <c r="M87" s="334">
        <v>197.64</v>
      </c>
      <c r="N87" s="128"/>
      <c r="O87" s="128">
        <v>25.799999999999983</v>
      </c>
      <c r="P87" s="128"/>
      <c r="Q87" s="130">
        <v>0.15013966500000001</v>
      </c>
      <c r="U87" s="337"/>
    </row>
    <row r="88" spans="1:21">
      <c r="A88" s="323"/>
      <c r="C88" s="125"/>
      <c r="D88" s="127"/>
      <c r="F88" s="127"/>
      <c r="G88" s="387"/>
      <c r="I88" s="125"/>
      <c r="J88" s="127"/>
      <c r="L88" s="127"/>
      <c r="M88" s="128"/>
      <c r="N88" s="128"/>
      <c r="U88" s="337"/>
    </row>
    <row r="89" spans="1:21">
      <c r="A89" s="133" t="s">
        <v>2623</v>
      </c>
      <c r="C89" s="125"/>
      <c r="D89" s="127"/>
      <c r="F89" s="127"/>
      <c r="G89" s="387" t="s">
        <v>7</v>
      </c>
      <c r="I89" s="125"/>
      <c r="J89" s="127"/>
      <c r="L89" s="127"/>
      <c r="M89" s="128"/>
      <c r="N89" s="128"/>
      <c r="U89" s="337"/>
    </row>
    <row r="90" spans="1:21">
      <c r="A90" s="322" t="s">
        <v>2615</v>
      </c>
      <c r="C90" s="125"/>
      <c r="D90" s="127"/>
      <c r="F90" s="127"/>
      <c r="G90" s="387"/>
      <c r="I90" s="125"/>
      <c r="J90" s="127"/>
      <c r="L90" s="127"/>
      <c r="M90" s="128"/>
      <c r="N90" s="128"/>
      <c r="U90" s="337"/>
    </row>
    <row r="91" spans="1:21">
      <c r="A91" s="323" t="s">
        <v>920</v>
      </c>
      <c r="C91" s="125">
        <f>'C-8 Lighting'!M86</f>
        <v>1182</v>
      </c>
      <c r="D91" s="127">
        <v>5.78</v>
      </c>
      <c r="E91" s="127" t="s">
        <v>2557</v>
      </c>
      <c r="F91" s="127"/>
      <c r="G91" s="385">
        <f>C91*D91*12</f>
        <v>81983.520000000004</v>
      </c>
      <c r="I91" s="125">
        <v>1282</v>
      </c>
      <c r="J91" s="127">
        <v>6.65</v>
      </c>
      <c r="K91" s="127" t="s">
        <v>2557</v>
      </c>
      <c r="L91" s="127"/>
      <c r="M91" s="334">
        <v>102303.6</v>
      </c>
      <c r="N91" s="128"/>
      <c r="O91" s="128">
        <v>13384.080000000002</v>
      </c>
      <c r="P91" s="128"/>
      <c r="Q91" s="130">
        <v>0.150519031</v>
      </c>
      <c r="U91" s="337"/>
    </row>
    <row r="92" spans="1:21" s="137" customFormat="1" ht="13.5" thickBot="1">
      <c r="A92" s="338" t="s">
        <v>2624</v>
      </c>
      <c r="C92" s="138">
        <f>SUM(C82:C91)</f>
        <v>2291</v>
      </c>
      <c r="D92" s="167"/>
      <c r="F92" s="167"/>
      <c r="G92" s="388">
        <f>SUM(G82:G91)</f>
        <v>217360.08000000002</v>
      </c>
      <c r="I92" s="138">
        <v>2499</v>
      </c>
      <c r="J92" s="167"/>
      <c r="L92" s="167"/>
      <c r="M92" s="339">
        <v>273238.68000000005</v>
      </c>
      <c r="N92" s="140"/>
      <c r="O92" s="140">
        <v>35712.600000000035</v>
      </c>
      <c r="P92" s="140"/>
      <c r="Q92" s="142">
        <v>0.15035233200000001</v>
      </c>
      <c r="U92" s="340"/>
    </row>
    <row r="93" spans="1:21" ht="13.5" thickTop="1">
      <c r="A93" s="166"/>
      <c r="C93" s="125"/>
      <c r="D93" s="127"/>
      <c r="F93" s="127"/>
      <c r="G93" s="387"/>
      <c r="I93" s="125"/>
      <c r="J93" s="127"/>
      <c r="L93" s="127"/>
      <c r="M93" s="128"/>
      <c r="N93" s="128"/>
      <c r="U93" s="337"/>
    </row>
    <row r="94" spans="1:21">
      <c r="A94" s="333" t="s">
        <v>922</v>
      </c>
      <c r="C94" s="125"/>
      <c r="D94" s="127"/>
      <c r="F94" s="127"/>
      <c r="G94" s="387"/>
      <c r="I94" s="125"/>
      <c r="J94" s="127"/>
      <c r="L94" s="127"/>
      <c r="M94" s="128"/>
      <c r="N94" s="128"/>
      <c r="U94" s="337"/>
    </row>
    <row r="95" spans="1:21">
      <c r="A95" s="341"/>
      <c r="C95" s="125"/>
      <c r="D95" s="127"/>
      <c r="F95" s="127"/>
      <c r="G95" s="387"/>
      <c r="I95" s="125"/>
      <c r="J95" s="127"/>
      <c r="L95" s="127"/>
      <c r="M95" s="128"/>
      <c r="N95" s="128"/>
      <c r="U95" s="337"/>
    </row>
    <row r="96" spans="1:21">
      <c r="A96" s="322" t="s">
        <v>2556</v>
      </c>
      <c r="C96" s="125">
        <f>'C-8 Lighting'!M92</f>
        <v>80</v>
      </c>
      <c r="D96" s="127">
        <v>5</v>
      </c>
      <c r="E96" s="127" t="s">
        <v>2557</v>
      </c>
      <c r="F96" s="127"/>
      <c r="G96" s="385">
        <f>C96*D96*12</f>
        <v>4800</v>
      </c>
      <c r="I96" s="125">
        <v>81</v>
      </c>
      <c r="J96" s="127">
        <v>5.75</v>
      </c>
      <c r="K96" s="127" t="s">
        <v>2557</v>
      </c>
      <c r="L96" s="127"/>
      <c r="M96" s="334">
        <v>5589</v>
      </c>
      <c r="N96" s="128"/>
      <c r="O96" s="128">
        <v>729</v>
      </c>
      <c r="P96" s="128"/>
      <c r="Q96" s="130">
        <v>0.15</v>
      </c>
      <c r="U96" s="337"/>
    </row>
    <row r="97" spans="1:21">
      <c r="A97" s="166"/>
      <c r="C97" s="125"/>
      <c r="D97" s="127"/>
      <c r="E97" s="127"/>
      <c r="F97" s="127"/>
      <c r="G97" s="387"/>
      <c r="I97" s="125"/>
      <c r="J97" s="127"/>
      <c r="K97" s="127"/>
      <c r="L97" s="127"/>
      <c r="M97" s="128"/>
      <c r="N97" s="128"/>
      <c r="U97" s="337"/>
    </row>
    <row r="98" spans="1:21">
      <c r="A98" s="322" t="s">
        <v>2558</v>
      </c>
      <c r="C98" s="125"/>
      <c r="D98" s="127"/>
      <c r="E98" s="127"/>
      <c r="F98" s="127"/>
      <c r="G98" s="387"/>
      <c r="I98" s="125"/>
      <c r="J98" s="127"/>
      <c r="K98" s="127"/>
      <c r="L98" s="127"/>
      <c r="M98" s="128"/>
      <c r="N98" s="128"/>
      <c r="U98" s="337"/>
    </row>
    <row r="99" spans="1:21">
      <c r="A99" s="323" t="s">
        <v>912</v>
      </c>
      <c r="C99" s="125">
        <f>'C-8 Lighting'!M94</f>
        <v>757712</v>
      </c>
      <c r="D99" s="127">
        <v>4.5289999999999997E-2</v>
      </c>
      <c r="E99" s="127" t="s">
        <v>2560</v>
      </c>
      <c r="F99" s="127"/>
      <c r="G99" s="385">
        <f>C99*D99</f>
        <v>34316.77648</v>
      </c>
      <c r="I99" s="125">
        <v>1063812.1958532948</v>
      </c>
      <c r="J99" s="127">
        <v>5.2080000000000001E-2</v>
      </c>
      <c r="K99" s="127" t="s">
        <v>2560</v>
      </c>
      <c r="L99" s="127"/>
      <c r="M99" s="334">
        <v>55403.339160039592</v>
      </c>
      <c r="N99" s="128"/>
      <c r="O99" s="128">
        <v>7223.2848098438699</v>
      </c>
      <c r="P99" s="128"/>
      <c r="Q99" s="130">
        <v>0.14992272000000001</v>
      </c>
      <c r="U99" s="337"/>
    </row>
    <row r="100" spans="1:21" s="137" customFormat="1" ht="13.5" thickBot="1">
      <c r="A100" s="338" t="s">
        <v>2625</v>
      </c>
      <c r="C100" s="138">
        <v>81</v>
      </c>
      <c r="D100" s="167"/>
      <c r="F100" s="167"/>
      <c r="G100" s="388">
        <f>SUM(G96:G99)</f>
        <v>39116.77648</v>
      </c>
      <c r="I100" s="138">
        <v>81</v>
      </c>
      <c r="J100" s="167"/>
      <c r="L100" s="167"/>
      <c r="M100" s="339">
        <v>60992.339160039592</v>
      </c>
      <c r="N100" s="140"/>
      <c r="O100" s="140">
        <v>7952.2848098438699</v>
      </c>
      <c r="P100" s="140"/>
      <c r="Q100" s="142">
        <v>0.149929801</v>
      </c>
      <c r="U100" s="340"/>
    </row>
    <row r="101" spans="1:21" ht="13.5" thickTop="1">
      <c r="A101" s="166"/>
      <c r="C101" s="125"/>
      <c r="D101" s="127"/>
      <c r="F101" s="127"/>
      <c r="G101" s="128"/>
      <c r="I101" s="125"/>
      <c r="J101" s="127"/>
      <c r="L101" s="127"/>
      <c r="M101" s="128"/>
      <c r="N101" s="128"/>
      <c r="U101" s="337"/>
    </row>
    <row r="102" spans="1:21">
      <c r="A102" s="333" t="s">
        <v>923</v>
      </c>
      <c r="C102" s="125"/>
      <c r="D102" s="127"/>
      <c r="F102" s="127"/>
      <c r="G102" s="128"/>
      <c r="I102" s="125"/>
      <c r="J102" s="127"/>
      <c r="L102" s="127"/>
      <c r="M102" s="128"/>
      <c r="N102" s="128"/>
      <c r="U102" s="337"/>
    </row>
    <row r="103" spans="1:21">
      <c r="A103" s="166"/>
      <c r="C103" s="125"/>
      <c r="D103" s="127"/>
      <c r="F103" s="127"/>
      <c r="G103" s="128"/>
      <c r="I103" s="125"/>
      <c r="J103" s="127"/>
      <c r="L103" s="127"/>
      <c r="M103" s="128"/>
      <c r="N103" s="128"/>
      <c r="U103" s="337"/>
    </row>
    <row r="104" spans="1:21">
      <c r="A104" s="322" t="s">
        <v>2558</v>
      </c>
      <c r="C104" s="125"/>
      <c r="D104" s="127"/>
      <c r="F104" s="127"/>
      <c r="G104" s="128"/>
      <c r="I104" s="125"/>
      <c r="J104" s="127"/>
      <c r="L104" s="127"/>
      <c r="M104" s="128"/>
      <c r="N104" s="128"/>
      <c r="U104" s="337"/>
    </row>
    <row r="105" spans="1:21">
      <c r="A105" s="323" t="s">
        <v>912</v>
      </c>
      <c r="C105" s="125">
        <f>'C-8 Lighting'!M100</f>
        <v>1519413</v>
      </c>
      <c r="D105" s="127">
        <v>5.9290000000000002E-2</v>
      </c>
      <c r="E105" s="127" t="s">
        <v>2560</v>
      </c>
      <c r="F105" s="127"/>
      <c r="G105" s="385">
        <f>C105*D105</f>
        <v>90085.996769999998</v>
      </c>
      <c r="I105" s="125">
        <v>1201572.4276757075</v>
      </c>
      <c r="J105" s="127">
        <v>6.8180000000000004E-2</v>
      </c>
      <c r="K105" s="127" t="s">
        <v>2560</v>
      </c>
      <c r="L105" s="127"/>
      <c r="M105" s="334">
        <v>81923.208118929746</v>
      </c>
      <c r="N105" s="128"/>
      <c r="O105" s="128">
        <v>10681.978882037045</v>
      </c>
      <c r="P105" s="128"/>
      <c r="Q105" s="130">
        <v>0.14994096800000001</v>
      </c>
      <c r="U105" s="337"/>
    </row>
    <row r="106" spans="1:21" s="137" customFormat="1" ht="13.5" thickBot="1">
      <c r="A106" s="338" t="s">
        <v>2626</v>
      </c>
      <c r="C106" s="138">
        <f>C105</f>
        <v>1519413</v>
      </c>
      <c r="D106" s="167"/>
      <c r="F106" s="167"/>
      <c r="G106" s="388">
        <f>SUM(G105)</f>
        <v>90085.996769999998</v>
      </c>
      <c r="I106" s="138">
        <v>1201572.4276757075</v>
      </c>
      <c r="J106" s="167"/>
      <c r="L106" s="167"/>
      <c r="M106" s="140">
        <v>81923.208118929746</v>
      </c>
      <c r="N106" s="140"/>
      <c r="O106" s="140">
        <v>10681.978882037045</v>
      </c>
      <c r="P106" s="140"/>
      <c r="Q106" s="142">
        <v>0.14994096800000001</v>
      </c>
      <c r="U106" s="340"/>
    </row>
    <row r="107" spans="1:21" ht="13.5" thickTop="1">
      <c r="A107" s="166"/>
      <c r="C107" s="125"/>
      <c r="D107" s="127"/>
      <c r="F107" s="127"/>
      <c r="G107" s="128"/>
      <c r="I107" s="125"/>
      <c r="J107" s="127"/>
      <c r="L107" s="127"/>
      <c r="M107" s="128"/>
      <c r="N107" s="128"/>
      <c r="U107" s="337"/>
    </row>
    <row r="108" spans="1:21">
      <c r="A108" s="333" t="s">
        <v>924</v>
      </c>
      <c r="C108" s="125"/>
      <c r="D108" s="127"/>
      <c r="F108" s="127"/>
      <c r="G108" s="128"/>
      <c r="I108" s="125"/>
      <c r="J108" s="127"/>
      <c r="L108" s="127"/>
      <c r="M108" s="128"/>
      <c r="N108" s="128"/>
      <c r="U108" s="337"/>
    </row>
    <row r="109" spans="1:21">
      <c r="A109" s="341"/>
      <c r="C109" s="125"/>
      <c r="D109" s="127"/>
      <c r="F109" s="127"/>
      <c r="G109" s="128"/>
      <c r="I109" s="125"/>
      <c r="J109" s="127"/>
      <c r="L109" s="127"/>
      <c r="M109" s="128"/>
      <c r="N109" s="128"/>
      <c r="U109" s="337"/>
    </row>
    <row r="110" spans="1:21">
      <c r="A110" s="322" t="s">
        <v>2556</v>
      </c>
      <c r="C110" s="125">
        <f>'C-8 Lighting'!M105</f>
        <v>1035</v>
      </c>
      <c r="D110" s="127">
        <v>5</v>
      </c>
      <c r="E110" s="127" t="s">
        <v>2557</v>
      </c>
      <c r="F110" s="127"/>
      <c r="G110" s="385">
        <f>C110*D110*12</f>
        <v>62100</v>
      </c>
      <c r="I110" s="125">
        <v>1030</v>
      </c>
      <c r="J110" s="127">
        <v>5.75</v>
      </c>
      <c r="K110" s="127" t="s">
        <v>2557</v>
      </c>
      <c r="L110" s="127"/>
      <c r="M110" s="334">
        <v>71070</v>
      </c>
      <c r="N110" s="128"/>
      <c r="O110" s="128">
        <v>9270</v>
      </c>
      <c r="P110" s="128"/>
      <c r="Q110" s="130">
        <v>0.15</v>
      </c>
      <c r="U110" s="337"/>
    </row>
    <row r="111" spans="1:21">
      <c r="A111" s="166"/>
      <c r="C111" s="125"/>
      <c r="D111" s="127"/>
      <c r="E111" s="127"/>
      <c r="F111" s="127"/>
      <c r="G111" s="387"/>
      <c r="I111" s="125"/>
      <c r="J111" s="127"/>
      <c r="K111" s="127"/>
      <c r="L111" s="127"/>
      <c r="M111" s="128"/>
      <c r="N111" s="128"/>
      <c r="U111" s="337"/>
    </row>
    <row r="112" spans="1:21">
      <c r="A112" s="322" t="s">
        <v>2558</v>
      </c>
      <c r="C112" s="125"/>
      <c r="D112" s="127"/>
      <c r="E112" s="127"/>
      <c r="F112" s="127"/>
      <c r="G112" s="387"/>
      <c r="I112" s="125"/>
      <c r="J112" s="127"/>
      <c r="K112" s="127"/>
      <c r="L112" s="127"/>
      <c r="M112" s="128"/>
      <c r="N112" s="128"/>
      <c r="U112" s="337"/>
    </row>
    <row r="113" spans="1:21">
      <c r="A113" s="323" t="s">
        <v>912</v>
      </c>
      <c r="C113" s="125">
        <f>'C-8 Lighting'!M107</f>
        <v>13869596</v>
      </c>
      <c r="D113" s="127">
        <v>4.5289999999999997E-2</v>
      </c>
      <c r="E113" s="127" t="s">
        <v>2560</v>
      </c>
      <c r="F113" s="127"/>
      <c r="G113" s="385">
        <f>C113*D113</f>
        <v>628154.00283999997</v>
      </c>
      <c r="I113" s="125">
        <v>8724645.2835892718</v>
      </c>
      <c r="J113" s="127">
        <v>5.2080000000000001E-2</v>
      </c>
      <c r="K113" s="127" t="s">
        <v>2560</v>
      </c>
      <c r="L113" s="127"/>
      <c r="M113" s="334">
        <v>454379.52636932931</v>
      </c>
      <c r="N113" s="128"/>
      <c r="O113" s="128">
        <v>59240.341475571215</v>
      </c>
      <c r="P113" s="128"/>
      <c r="Q113" s="130">
        <v>0.14992272000000001</v>
      </c>
      <c r="U113" s="337"/>
    </row>
    <row r="114" spans="1:21" s="137" customFormat="1" ht="13.5" thickBot="1">
      <c r="A114" s="338" t="s">
        <v>2627</v>
      </c>
      <c r="C114" s="138">
        <v>1030</v>
      </c>
      <c r="D114" s="167"/>
      <c r="F114" s="167"/>
      <c r="G114" s="388">
        <f>SUM(G110:G113)</f>
        <v>690254.00283999997</v>
      </c>
      <c r="I114" s="138">
        <v>1030</v>
      </c>
      <c r="J114" s="167"/>
      <c r="L114" s="167"/>
      <c r="M114" s="339">
        <v>525449.52636932931</v>
      </c>
      <c r="N114" s="140"/>
      <c r="O114" s="140">
        <v>68510.341475571215</v>
      </c>
      <c r="P114" s="140"/>
      <c r="Q114" s="142">
        <v>0.149933172</v>
      </c>
      <c r="U114" s="340"/>
    </row>
    <row r="115" spans="1:21" ht="13.5" thickTop="1">
      <c r="A115" s="166"/>
      <c r="C115" s="125"/>
      <c r="D115" s="127"/>
      <c r="F115" s="127"/>
      <c r="G115" s="387"/>
      <c r="I115" s="125"/>
      <c r="J115" s="127"/>
      <c r="L115" s="127"/>
      <c r="M115" s="128"/>
      <c r="N115" s="128"/>
      <c r="U115" s="337"/>
    </row>
    <row r="116" spans="1:21">
      <c r="A116" s="333" t="s">
        <v>2628</v>
      </c>
      <c r="C116" s="125"/>
      <c r="D116" s="127"/>
      <c r="F116" s="127"/>
      <c r="G116" s="387"/>
      <c r="I116" s="125"/>
      <c r="J116" s="127"/>
      <c r="L116" s="127"/>
      <c r="M116" s="128"/>
      <c r="N116" s="128"/>
      <c r="U116" s="337"/>
    </row>
    <row r="117" spans="1:21">
      <c r="A117" s="166"/>
      <c r="C117" s="125"/>
      <c r="D117" s="127"/>
      <c r="F117" s="127"/>
      <c r="G117" s="387"/>
      <c r="I117" s="125"/>
      <c r="J117" s="127"/>
      <c r="L117" s="127"/>
      <c r="M117" s="128"/>
      <c r="N117" s="128"/>
      <c r="U117" s="337"/>
    </row>
    <row r="118" spans="1:21">
      <c r="A118" s="322" t="s">
        <v>2615</v>
      </c>
      <c r="C118" s="125">
        <f>'C-8 Lighting'!M111</f>
        <v>12</v>
      </c>
      <c r="D118" s="127">
        <v>1.51</v>
      </c>
      <c r="E118" s="127" t="s">
        <v>2629</v>
      </c>
      <c r="F118" s="127"/>
      <c r="G118" s="385">
        <f>C118*D118*12</f>
        <v>217.44</v>
      </c>
      <c r="I118" s="125">
        <v>1</v>
      </c>
      <c r="J118" s="127">
        <v>1.74</v>
      </c>
      <c r="K118" s="127" t="s">
        <v>2629</v>
      </c>
      <c r="L118" s="127"/>
      <c r="M118" s="334">
        <v>20.88</v>
      </c>
      <c r="N118" s="128"/>
      <c r="O118" s="128">
        <v>2.759999999999998</v>
      </c>
      <c r="P118" s="128"/>
      <c r="Q118" s="130">
        <v>0.15231788099999999</v>
      </c>
      <c r="U118" s="337"/>
    </row>
    <row r="119" spans="1:21" s="137" customFormat="1" ht="13.5" thickBot="1">
      <c r="A119" s="338" t="s">
        <v>2630</v>
      </c>
      <c r="C119" s="138">
        <v>1</v>
      </c>
      <c r="D119" s="167"/>
      <c r="F119" s="167"/>
      <c r="G119" s="388">
        <f>SUM(G118)</f>
        <v>217.44</v>
      </c>
      <c r="I119" s="138">
        <v>1</v>
      </c>
      <c r="J119" s="167"/>
      <c r="L119" s="167"/>
      <c r="M119" s="140">
        <v>20.88</v>
      </c>
      <c r="N119" s="140"/>
      <c r="O119" s="140">
        <v>2.759999999999998</v>
      </c>
      <c r="P119" s="140"/>
      <c r="Q119" s="142">
        <v>0.15231788099999999</v>
      </c>
      <c r="U119" s="340"/>
    </row>
    <row r="120" spans="1:21" ht="13.5" thickTop="1">
      <c r="A120" s="166"/>
      <c r="C120" s="125"/>
      <c r="D120" s="127"/>
      <c r="F120" s="127"/>
      <c r="G120" s="387"/>
      <c r="I120" s="125"/>
      <c r="J120" s="127"/>
      <c r="L120" s="127"/>
      <c r="M120" s="128"/>
      <c r="N120" s="128"/>
      <c r="U120" s="337"/>
    </row>
    <row r="121" spans="1:21">
      <c r="A121" s="333" t="s">
        <v>2631</v>
      </c>
      <c r="C121" s="125"/>
      <c r="D121" s="127"/>
      <c r="F121" s="127"/>
      <c r="G121" s="387"/>
      <c r="I121" s="125"/>
      <c r="J121" s="127"/>
      <c r="L121" s="127"/>
      <c r="M121" s="128"/>
      <c r="N121" s="128"/>
      <c r="U121" s="337"/>
    </row>
    <row r="122" spans="1:21">
      <c r="A122" s="166"/>
      <c r="C122" s="125"/>
      <c r="D122" s="127"/>
      <c r="F122" s="127"/>
      <c r="G122" s="387"/>
      <c r="I122" s="125"/>
      <c r="J122" s="127"/>
      <c r="L122" s="127"/>
      <c r="M122" s="128"/>
      <c r="N122" s="128"/>
      <c r="U122" s="337"/>
    </row>
    <row r="123" spans="1:21">
      <c r="A123" s="322" t="s">
        <v>2615</v>
      </c>
      <c r="C123" s="125">
        <f>'C-8 Lighting'!M115</f>
        <v>26</v>
      </c>
      <c r="D123" s="127">
        <v>7.51</v>
      </c>
      <c r="E123" s="127" t="s">
        <v>2632</v>
      </c>
      <c r="F123" s="127"/>
      <c r="G123" s="385">
        <f>C123*D123*12</f>
        <v>2343.12</v>
      </c>
      <c r="I123" s="125">
        <v>26</v>
      </c>
      <c r="J123" s="127">
        <v>8.64</v>
      </c>
      <c r="K123" s="127" t="s">
        <v>2632</v>
      </c>
      <c r="L123" s="127"/>
      <c r="M123" s="334">
        <v>2695.6800000000003</v>
      </c>
      <c r="N123" s="128"/>
      <c r="O123" s="128">
        <v>352.5600000000004</v>
      </c>
      <c r="P123" s="128"/>
      <c r="Q123" s="130">
        <v>0.15046604499999999</v>
      </c>
      <c r="U123" s="337"/>
    </row>
    <row r="124" spans="1:21" s="137" customFormat="1" ht="13.5" thickBot="1">
      <c r="A124" s="338" t="s">
        <v>2633</v>
      </c>
      <c r="C124" s="138">
        <v>26</v>
      </c>
      <c r="D124" s="167"/>
      <c r="F124" s="167"/>
      <c r="G124" s="388">
        <f>SUM(G123)</f>
        <v>2343.12</v>
      </c>
      <c r="I124" s="138">
        <v>26</v>
      </c>
      <c r="J124" s="167"/>
      <c r="L124" s="167"/>
      <c r="M124" s="339">
        <v>2695.6800000000003</v>
      </c>
      <c r="N124" s="140"/>
      <c r="O124" s="140">
        <v>352.5600000000004</v>
      </c>
      <c r="P124" s="140"/>
      <c r="Q124" s="142">
        <v>0.15046604499999999</v>
      </c>
      <c r="U124" s="340"/>
    </row>
    <row r="125" spans="1:21" ht="13.5" thickTop="1">
      <c r="A125" s="166"/>
      <c r="C125" s="125"/>
      <c r="D125" s="127"/>
      <c r="F125" s="127"/>
      <c r="G125" s="387"/>
      <c r="I125" s="125"/>
      <c r="J125" s="127"/>
      <c r="L125" s="127"/>
      <c r="M125" s="128"/>
      <c r="N125" s="128"/>
      <c r="U125" s="337"/>
    </row>
    <row r="126" spans="1:21">
      <c r="A126" s="333" t="s">
        <v>2634</v>
      </c>
      <c r="C126" s="125"/>
      <c r="D126" s="127"/>
      <c r="G126" s="387"/>
      <c r="I126" s="125"/>
      <c r="J126" s="127"/>
      <c r="M126" s="128"/>
      <c r="U126" s="337"/>
    </row>
    <row r="127" spans="1:21">
      <c r="A127" s="133"/>
      <c r="C127" s="125"/>
      <c r="D127" s="127"/>
      <c r="G127" s="387"/>
      <c r="I127" s="125"/>
      <c r="J127" s="127"/>
      <c r="M127" s="128"/>
      <c r="U127" s="337"/>
    </row>
    <row r="128" spans="1:21">
      <c r="A128" s="322" t="s">
        <v>2615</v>
      </c>
      <c r="C128" s="125">
        <f>'C-8 Lighting'!M119</f>
        <v>37</v>
      </c>
      <c r="D128" s="127">
        <v>2</v>
      </c>
      <c r="E128" s="132" t="s">
        <v>2635</v>
      </c>
      <c r="G128" s="385">
        <f>C128*D128*12</f>
        <v>888</v>
      </c>
      <c r="I128" s="125">
        <v>37</v>
      </c>
      <c r="J128" s="132">
        <v>2.2999999999999998</v>
      </c>
      <c r="K128" s="132" t="s">
        <v>2635</v>
      </c>
      <c r="M128" s="334">
        <v>1021.1999999999999</v>
      </c>
      <c r="O128" s="128">
        <v>133.19999999999993</v>
      </c>
      <c r="P128" s="128"/>
      <c r="Q128" s="130">
        <v>0.15</v>
      </c>
      <c r="U128" s="337"/>
    </row>
    <row r="129" spans="1:21" s="137" customFormat="1" ht="13.5" thickBot="1">
      <c r="A129" s="338" t="s">
        <v>2636</v>
      </c>
      <c r="C129" s="138">
        <v>37</v>
      </c>
      <c r="D129" s="167"/>
      <c r="F129" s="167"/>
      <c r="G129" s="388">
        <f>SUM(G128)</f>
        <v>888</v>
      </c>
      <c r="I129" s="138">
        <v>37</v>
      </c>
      <c r="J129" s="167"/>
      <c r="L129" s="167"/>
      <c r="M129" s="339">
        <v>1021.1999999999999</v>
      </c>
      <c r="N129" s="140"/>
      <c r="O129" s="140">
        <v>133.19999999999993</v>
      </c>
      <c r="P129" s="140"/>
      <c r="Q129" s="142">
        <v>0.15</v>
      </c>
      <c r="U129" s="340"/>
    </row>
    <row r="130" spans="1:21" ht="14.25" thickTop="1" thickBot="1">
      <c r="A130" s="166"/>
      <c r="C130" s="125"/>
      <c r="D130" s="127"/>
      <c r="F130" s="127"/>
      <c r="G130" s="128"/>
      <c r="I130" s="125"/>
      <c r="J130" s="127"/>
      <c r="L130" s="127"/>
      <c r="M130" s="128"/>
      <c r="N130" s="128"/>
      <c r="U130" s="337"/>
    </row>
    <row r="131" spans="1:21" ht="14.25" thickTop="1" thickBot="1">
      <c r="A131" s="342"/>
      <c r="B131" s="342"/>
      <c r="C131" s="342"/>
      <c r="D131" s="342"/>
      <c r="E131" s="342"/>
      <c r="F131" s="342"/>
      <c r="G131" s="342"/>
      <c r="H131" s="342"/>
      <c r="I131" s="342"/>
      <c r="J131" s="342"/>
      <c r="K131" s="342"/>
      <c r="L131" s="342"/>
      <c r="M131" s="342"/>
      <c r="N131" s="342"/>
      <c r="O131" s="342"/>
      <c r="P131" s="342"/>
      <c r="Q131" s="342"/>
      <c r="R131" s="342"/>
      <c r="S131" s="342"/>
    </row>
    <row r="132" spans="1:21" ht="14.25" thickTop="1" thickBot="1">
      <c r="A132" s="331" t="s">
        <v>2637</v>
      </c>
      <c r="B132" s="325"/>
      <c r="C132" s="343" t="s">
        <v>2638</v>
      </c>
      <c r="D132" s="327"/>
      <c r="E132" s="327"/>
      <c r="F132" s="327"/>
      <c r="G132" s="328">
        <f>SUM(G129,G124,G119,G114,G106,G100,G92,G76,G58)</f>
        <v>60756125.713759989</v>
      </c>
      <c r="H132" s="325"/>
      <c r="I132" s="326"/>
      <c r="J132" s="332"/>
      <c r="K132" s="327"/>
      <c r="L132" s="327"/>
      <c r="M132" s="328">
        <v>61836959.464529894</v>
      </c>
      <c r="N132" s="344"/>
      <c r="O132" s="344">
        <v>116098.99388340861</v>
      </c>
      <c r="P132" s="344"/>
      <c r="Q132" s="343" t="s">
        <v>2638</v>
      </c>
      <c r="R132" s="342"/>
      <c r="S132" s="342"/>
    </row>
    <row r="133" spans="1:21" ht="13.5" thickTop="1"/>
    <row r="134" spans="1:21">
      <c r="A134" s="119" t="s">
        <v>2639</v>
      </c>
      <c r="C134" s="128">
        <v>3155301.4942746386</v>
      </c>
      <c r="G134" s="128">
        <f>SUM(G132,G11)</f>
        <v>61048890.656449288</v>
      </c>
      <c r="M134" s="128">
        <v>62152489.464529894</v>
      </c>
    </row>
    <row r="136" spans="1:21">
      <c r="C136" s="128">
        <v>8411284.7164107226</v>
      </c>
      <c r="D136" s="119" t="s">
        <v>2640</v>
      </c>
    </row>
    <row r="138" spans="1:21">
      <c r="C138" s="319">
        <v>14130875883.481594</v>
      </c>
    </row>
  </sheetData>
  <conditionalFormatting sqref="I6:I7">
    <cfRule type="cellIs" dxfId="114" priority="3" operator="equal">
      <formula>C6</formula>
    </cfRule>
  </conditionalFormatting>
  <conditionalFormatting sqref="I6:Q8 I9:L10 N9:Q10 J11:Q19">
    <cfRule type="expression" dxfId="113"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112" priority="31">
      <formula>HideProposed</formula>
    </cfRule>
  </conditionalFormatting>
  <conditionalFormatting sqref="J68:L76">
    <cfRule type="expression" dxfId="111" priority="30">
      <formula>HideProposed</formula>
    </cfRule>
  </conditionalFormatting>
  <conditionalFormatting sqref="J91:L92">
    <cfRule type="expression" dxfId="110" priority="29">
      <formula>HideProposed</formula>
    </cfRule>
  </conditionalFormatting>
  <conditionalFormatting sqref="J99:L100">
    <cfRule type="expression" dxfId="109" priority="28">
      <formula>HideProposed</formula>
    </cfRule>
  </conditionalFormatting>
  <conditionalFormatting sqref="J113:L114 J115:Q117 J118:L118 N118 J120:Q122 J125:Q127">
    <cfRule type="expression" dxfId="108" priority="25">
      <formula>HideProposed</formula>
    </cfRule>
  </conditionalFormatting>
  <conditionalFormatting sqref="J123:L124">
    <cfRule type="expression" dxfId="107" priority="23">
      <formula>HideProposed</formula>
    </cfRule>
  </conditionalFormatting>
  <conditionalFormatting sqref="J128:L129">
    <cfRule type="expression" dxfId="106" priority="22">
      <formula>HideProposed</formula>
    </cfRule>
  </conditionalFormatting>
  <conditionalFormatting sqref="J106:N106">
    <cfRule type="expression" dxfId="105" priority="26">
      <formula>HideProposed</formula>
    </cfRule>
  </conditionalFormatting>
  <conditionalFormatting sqref="J119:N119">
    <cfRule type="expression" dxfId="104" priority="24">
      <formula>HideProposed</formula>
    </cfRule>
  </conditionalFormatting>
  <conditionalFormatting sqref="J37:Q46">
    <cfRule type="expression" dxfId="103" priority="1">
      <formula>HideProposed</formula>
    </cfRule>
  </conditionalFormatting>
  <conditionalFormatting sqref="J101:Q104 J105:L105 N105">
    <cfRule type="expression" dxfId="102" priority="27">
      <formula>HideProposed</formula>
    </cfRule>
  </conditionalFormatting>
  <conditionalFormatting sqref="J130:Q131">
    <cfRule type="expression" dxfId="101" priority="2">
      <formula>HideProposed</formula>
    </cfRule>
  </conditionalFormatting>
  <conditionalFormatting sqref="N20:Q26">
    <cfRule type="expression" dxfId="100" priority="21">
      <formula>HideProposed</formula>
    </cfRule>
  </conditionalFormatting>
  <conditionalFormatting sqref="N30:Q36 N38:Q43">
    <cfRule type="expression" dxfId="99" priority="20">
      <formula>HideProposed</formula>
    </cfRule>
  </conditionalFormatting>
  <conditionalFormatting sqref="N47:Q51">
    <cfRule type="expression" dxfId="98" priority="19">
      <formula>HideProposed</formula>
    </cfRule>
  </conditionalFormatting>
  <conditionalFormatting sqref="N54:Q58">
    <cfRule type="expression" dxfId="97" priority="18">
      <formula>HideProposed</formula>
    </cfRule>
  </conditionalFormatting>
  <conditionalFormatting sqref="N62:Q62">
    <cfRule type="expression" dxfId="96" priority="17">
      <formula>HideProposed</formula>
    </cfRule>
  </conditionalFormatting>
  <conditionalFormatting sqref="N65:Q65">
    <cfRule type="expression" dxfId="95" priority="16">
      <formula>HideProposed</formula>
    </cfRule>
  </conditionalFormatting>
  <conditionalFormatting sqref="N68:Q76">
    <cfRule type="expression" dxfId="94" priority="15">
      <formula>HideProposed</formula>
    </cfRule>
  </conditionalFormatting>
  <conditionalFormatting sqref="N82:Q87">
    <cfRule type="expression" dxfId="93" priority="14">
      <formula>HideProposed</formula>
    </cfRule>
  </conditionalFormatting>
  <conditionalFormatting sqref="N91:Q92">
    <cfRule type="expression" dxfId="92" priority="13">
      <formula>HideProposed</formula>
    </cfRule>
  </conditionalFormatting>
  <conditionalFormatting sqref="N96:Q96">
    <cfRule type="expression" dxfId="91" priority="12">
      <formula>HideProposed</formula>
    </cfRule>
  </conditionalFormatting>
  <conditionalFormatting sqref="N99:Q100">
    <cfRule type="expression" dxfId="90" priority="11">
      <formula>HideProposed</formula>
    </cfRule>
  </conditionalFormatting>
  <conditionalFormatting sqref="N110:Q110">
    <cfRule type="expression" dxfId="89" priority="9">
      <formula>HideProposed</formula>
    </cfRule>
  </conditionalFormatting>
  <conditionalFormatting sqref="N113:Q114">
    <cfRule type="expression" dxfId="88" priority="8">
      <formula>HideProposed</formula>
    </cfRule>
  </conditionalFormatting>
  <conditionalFormatting sqref="N123:Q124">
    <cfRule type="expression" dxfId="87" priority="6">
      <formula>HideProposed</formula>
    </cfRule>
  </conditionalFormatting>
  <conditionalFormatting sqref="N128:Q129">
    <cfRule type="expression" dxfId="86" priority="5">
      <formula>HideProposed</formula>
    </cfRule>
  </conditionalFormatting>
  <conditionalFormatting sqref="O105:Q106">
    <cfRule type="expression" dxfId="85" priority="10">
      <formula>HideProposed</formula>
    </cfRule>
  </conditionalFormatting>
  <conditionalFormatting sqref="O118:Q119">
    <cfRule type="expression" dxfId="84" priority="7">
      <formula>HideProposed</formula>
    </cfRule>
  </conditionalFormatting>
  <pageMargins left="0.7" right="0.7" top="0.75" bottom="0.75" header="0.3" footer="0.3"/>
  <pageSetup scale="82" orientation="portrait" horizontalDpi="1200" verticalDpi="1200" r:id="rId1"/>
  <headerFooter>
    <oddHeader>&amp;LPuerto Rico Electric Power Authority 
Rate Review (NEPR-AP-2023-0003)
Consumer Analysis at Present Rates&amp;RSchedule E-2.3 Lighting FY2028
Page &amp;P of &amp;N</oddHeader>
  </headerFooter>
  <rowBreaks count="2" manualBreakCount="2">
    <brk id="58" max="17" man="1"/>
    <brk id="114" max="17" man="1"/>
  </rowBreaks>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B0A5-0E14-4E02-A24F-019FF866B121}">
  <sheetPr>
    <tabColor theme="8" tint="0.79998168889431442"/>
  </sheetPr>
  <dimension ref="A1:Q36"/>
  <sheetViews>
    <sheetView workbookViewId="0"/>
    <sheetView workbookViewId="1"/>
    <sheetView workbookViewId="2"/>
  </sheetViews>
  <sheetFormatPr defaultColWidth="8.42578125" defaultRowHeight="12.75"/>
  <cols>
    <col min="1" max="1" width="32.140625" style="318" customWidth="1"/>
    <col min="2" max="2" width="1.5703125" style="318" customWidth="1"/>
    <col min="3" max="3" width="24.5703125" style="318" customWidth="1"/>
    <col min="4" max="4" width="13.42578125" style="318" customWidth="1"/>
    <col min="5" max="5" width="8" style="318" customWidth="1"/>
    <col min="6" max="6" width="1.5703125" style="318" customWidth="1"/>
    <col min="7" max="7" width="15.140625" style="318" customWidth="1"/>
    <col min="8" max="8" width="1.5703125" style="318" customWidth="1"/>
    <col min="9" max="9" width="15.5703125" style="318" customWidth="1"/>
    <col min="10" max="10" width="10.5703125" style="318" hidden="1" customWidth="1"/>
    <col min="11" max="11" width="8" style="318" hidden="1" customWidth="1"/>
    <col min="12" max="12" width="1.5703125" style="318" hidden="1" customWidth="1"/>
    <col min="13" max="13" width="13.140625" style="318" hidden="1" customWidth="1"/>
    <col min="14" max="14" width="1.5703125" style="318" hidden="1" customWidth="1"/>
    <col min="15" max="15" width="13" style="318" hidden="1" customWidth="1"/>
    <col min="16" max="16" width="8.42578125" style="318" hidden="1" customWidth="1"/>
    <col min="17" max="17" width="12.140625" style="318" hidden="1" customWidth="1"/>
    <col min="18" max="16384" width="8.42578125" style="318"/>
  </cols>
  <sheetData>
    <row r="1" spans="1:17" s="393" customFormat="1"/>
    <row r="2" spans="1:17" s="393" customFormat="1">
      <c r="C2" s="397" t="s">
        <v>2612</v>
      </c>
      <c r="I2" s="397"/>
      <c r="O2" s="396" t="s">
        <v>2547</v>
      </c>
      <c r="P2" s="396"/>
      <c r="Q2" s="396"/>
    </row>
    <row r="3" spans="1:17" s="393" customFormat="1">
      <c r="B3" s="397"/>
      <c r="C3" s="397" t="s">
        <v>2548</v>
      </c>
      <c r="D3" s="397" t="s">
        <v>2503</v>
      </c>
      <c r="E3" s="397"/>
      <c r="F3" s="397"/>
      <c r="G3" s="397" t="s">
        <v>2503</v>
      </c>
      <c r="H3" s="397"/>
      <c r="I3" s="397"/>
      <c r="J3" s="397" t="s">
        <v>2546</v>
      </c>
      <c r="K3" s="397"/>
      <c r="L3" s="397"/>
      <c r="M3" s="397" t="s">
        <v>2546</v>
      </c>
      <c r="N3" s="397"/>
      <c r="O3" s="396" t="s">
        <v>2549</v>
      </c>
      <c r="P3" s="396"/>
      <c r="Q3" s="396"/>
    </row>
    <row r="4" spans="1:17" s="393" customFormat="1">
      <c r="A4" s="394" t="s">
        <v>2550</v>
      </c>
      <c r="B4" s="398"/>
      <c r="C4" s="398" t="s">
        <v>2551</v>
      </c>
      <c r="D4" s="398" t="s">
        <v>2552</v>
      </c>
      <c r="E4" s="398"/>
      <c r="F4" s="398"/>
      <c r="G4" s="398" t="s">
        <v>2506</v>
      </c>
      <c r="H4" s="398"/>
      <c r="I4" s="398"/>
      <c r="J4" s="398" t="s">
        <v>2552</v>
      </c>
      <c r="K4" s="398"/>
      <c r="L4" s="398"/>
      <c r="M4" s="398" t="s">
        <v>2506</v>
      </c>
      <c r="N4" s="398"/>
      <c r="O4" s="398" t="s">
        <v>2553</v>
      </c>
      <c r="P4" s="398"/>
      <c r="Q4" s="398" t="s">
        <v>2554</v>
      </c>
    </row>
    <row r="5" spans="1:17" s="393" customFormat="1"/>
    <row r="6" spans="1:17" s="393" customFormat="1">
      <c r="A6" s="123" t="s">
        <v>2641</v>
      </c>
    </row>
    <row r="7" spans="1:17" s="393" customFormat="1">
      <c r="A7" s="123"/>
    </row>
    <row r="8" spans="1:17" s="393" customFormat="1">
      <c r="A8" s="119" t="s">
        <v>2558</v>
      </c>
    </row>
    <row r="9" spans="1:17" s="394" customFormat="1">
      <c r="A9" s="399" t="s">
        <v>912</v>
      </c>
      <c r="C9" s="400">
        <v>16022315675</v>
      </c>
      <c r="D9" s="407">
        <v>0.10678600000000001</v>
      </c>
      <c r="E9" s="402" t="s">
        <v>2560</v>
      </c>
      <c r="F9" s="121"/>
      <c r="G9" s="403">
        <f>ROUND(C9*D9,0)</f>
        <v>1710959002</v>
      </c>
      <c r="H9" s="121"/>
      <c r="I9" s="400"/>
      <c r="J9" s="401"/>
      <c r="K9" s="402" t="s">
        <v>2560</v>
      </c>
      <c r="L9" s="121"/>
      <c r="M9" s="403">
        <f>ROUND(I9*J9,0)</f>
        <v>0</v>
      </c>
      <c r="N9" s="121"/>
      <c r="O9" s="403">
        <f>IF(AND(M9=0,NOT(G9=0)),0,M9-G9)</f>
        <v>0</v>
      </c>
      <c r="P9" s="403"/>
      <c r="Q9" s="404">
        <f>IF(C9=0,0,ROUND((M9-G9)/G9,9))</f>
        <v>-1</v>
      </c>
    </row>
    <row r="10" spans="1:17" s="393" customFormat="1">
      <c r="A10" s="119"/>
    </row>
    <row r="11" spans="1:17" s="393" customFormat="1">
      <c r="A11" s="123" t="s">
        <v>2642</v>
      </c>
    </row>
    <row r="12" spans="1:17" s="393" customFormat="1">
      <c r="A12" s="123"/>
    </row>
    <row r="13" spans="1:17" s="393" customFormat="1">
      <c r="A13" s="119" t="s">
        <v>2558</v>
      </c>
    </row>
    <row r="14" spans="1:17" s="394" customFormat="1">
      <c r="A14" s="399" t="s">
        <v>912</v>
      </c>
      <c r="C14" s="400">
        <f>C9</f>
        <v>16022315675</v>
      </c>
      <c r="D14" s="407">
        <v>4.5296999999999997E-2</v>
      </c>
      <c r="E14" s="402" t="s">
        <v>2560</v>
      </c>
      <c r="F14" s="121"/>
      <c r="G14" s="403">
        <f>ROUND(C14*D14,0)</f>
        <v>725762833</v>
      </c>
      <c r="H14" s="121"/>
      <c r="I14" s="400"/>
      <c r="J14" s="401"/>
      <c r="K14" s="402" t="s">
        <v>2560</v>
      </c>
      <c r="L14" s="121"/>
      <c r="M14" s="403">
        <f>ROUND(I14*J14,0)</f>
        <v>0</v>
      </c>
      <c r="N14" s="121"/>
      <c r="O14" s="403">
        <f>IF(AND(M14=0,NOT(G14=0)),0,M14-G14)</f>
        <v>0</v>
      </c>
      <c r="P14" s="403"/>
      <c r="Q14" s="404">
        <f>IF(C14=0,0,ROUND((M14-G14)/G14,9))</f>
        <v>-1</v>
      </c>
    </row>
    <row r="15" spans="1:17" s="393" customFormat="1">
      <c r="A15" s="119"/>
    </row>
    <row r="16" spans="1:17" s="393" customFormat="1">
      <c r="A16" s="123" t="s">
        <v>2643</v>
      </c>
    </row>
    <row r="17" spans="1:17" s="393" customFormat="1">
      <c r="A17" s="123"/>
    </row>
    <row r="18" spans="1:17" s="393" customFormat="1">
      <c r="A18" s="119" t="s">
        <v>2558</v>
      </c>
    </row>
    <row r="19" spans="1:17" s="394" customFormat="1">
      <c r="A19" s="399" t="s">
        <v>912</v>
      </c>
      <c r="C19" s="400">
        <f>C9</f>
        <v>16022315675</v>
      </c>
      <c r="D19" s="407">
        <v>5.8409999999999998E-3</v>
      </c>
      <c r="E19" s="402" t="s">
        <v>2560</v>
      </c>
      <c r="F19" s="121"/>
      <c r="G19" s="403">
        <f>ROUND(C19*D19,0)</f>
        <v>93586346</v>
      </c>
      <c r="H19" s="121"/>
      <c r="I19" s="400"/>
      <c r="J19" s="401"/>
      <c r="K19" s="402" t="s">
        <v>2560</v>
      </c>
      <c r="L19" s="121"/>
      <c r="M19" s="403">
        <f>ROUND(I19*J19,0)</f>
        <v>0</v>
      </c>
      <c r="N19" s="121"/>
      <c r="O19" s="403">
        <f>IF(AND(M19=0,NOT(G19=0)),0,M19-G19)</f>
        <v>0</v>
      </c>
      <c r="P19" s="403"/>
      <c r="Q19" s="404">
        <f>IF(C19=0,0,ROUND((M19-G19)/G19,9))</f>
        <v>-1</v>
      </c>
    </row>
    <row r="20" spans="1:17" s="393" customFormat="1">
      <c r="A20" s="119"/>
    </row>
    <row r="21" spans="1:17" s="393" customFormat="1">
      <c r="A21" s="123" t="s">
        <v>2644</v>
      </c>
    </row>
    <row r="22" spans="1:17" s="393" customFormat="1">
      <c r="A22" s="123"/>
    </row>
    <row r="23" spans="1:17" s="393" customFormat="1">
      <c r="A23" s="119" t="s">
        <v>2558</v>
      </c>
    </row>
    <row r="24" spans="1:17" s="394" customFormat="1">
      <c r="A24" s="399" t="s">
        <v>912</v>
      </c>
      <c r="C24" s="400">
        <f>C14</f>
        <v>16022315675</v>
      </c>
      <c r="D24" s="407">
        <f>ROUND(172082372/C24,6)</f>
        <v>1.074E-2</v>
      </c>
      <c r="E24" s="402" t="s">
        <v>2560</v>
      </c>
      <c r="F24" s="121"/>
      <c r="G24" s="403">
        <f>ROUND(C24*D24,0)</f>
        <v>172079670</v>
      </c>
      <c r="H24" s="121"/>
      <c r="I24" s="400"/>
      <c r="J24" s="401"/>
      <c r="K24" s="402" t="s">
        <v>2560</v>
      </c>
      <c r="L24" s="121"/>
      <c r="M24" s="403">
        <f>ROUND(I24*J24,0)</f>
        <v>0</v>
      </c>
      <c r="N24" s="121"/>
      <c r="O24" s="403">
        <f>IF(AND(M24=0,NOT(G24=0)),0,M24-G24)</f>
        <v>0</v>
      </c>
      <c r="P24" s="403"/>
      <c r="Q24" s="404">
        <f>IF(C24=0,0,ROUND((M24-G24)/G24,9))</f>
        <v>-1</v>
      </c>
    </row>
    <row r="25" spans="1:17" s="393" customFormat="1">
      <c r="A25" s="119"/>
    </row>
    <row r="26" spans="1:17" s="393" customFormat="1">
      <c r="A26" s="123" t="s">
        <v>2645</v>
      </c>
    </row>
    <row r="27" spans="1:17" s="393" customFormat="1">
      <c r="A27" s="123"/>
    </row>
    <row r="28" spans="1:17" s="393" customFormat="1">
      <c r="A28" s="119" t="s">
        <v>2558</v>
      </c>
    </row>
    <row r="29" spans="1:17" s="394" customFormat="1">
      <c r="A29" s="399" t="s">
        <v>912</v>
      </c>
      <c r="C29" s="400">
        <f>C24</f>
        <v>16022315675</v>
      </c>
      <c r="D29" s="407">
        <v>8.3699999999999996E-4</v>
      </c>
      <c r="E29" s="402" t="s">
        <v>2560</v>
      </c>
      <c r="F29" s="121"/>
      <c r="G29" s="403">
        <f>ROUND(C29*D29,0)</f>
        <v>13410678</v>
      </c>
      <c r="H29" s="121"/>
      <c r="I29" s="400"/>
      <c r="J29" s="401"/>
      <c r="K29" s="402" t="s">
        <v>2560</v>
      </c>
      <c r="L29" s="121"/>
      <c r="M29" s="403">
        <f>ROUND(I29*J29,0)</f>
        <v>0</v>
      </c>
      <c r="N29" s="121"/>
      <c r="O29" s="403">
        <f>IF(AND(M29=0,NOT(G29=0)),0,M29-G29)</f>
        <v>0</v>
      </c>
      <c r="P29" s="403"/>
      <c r="Q29" s="404">
        <f>IF(C29=0,0,ROUND((M29-G29)/G29,9))</f>
        <v>-1</v>
      </c>
    </row>
    <row r="30" spans="1:17" s="393" customFormat="1">
      <c r="A30" s="119"/>
    </row>
    <row r="31" spans="1:17" s="393" customFormat="1">
      <c r="A31" s="123" t="s">
        <v>2646</v>
      </c>
    </row>
    <row r="32" spans="1:17" s="393" customFormat="1">
      <c r="A32" s="123"/>
    </row>
    <row r="33" spans="1:17" s="393" customFormat="1">
      <c r="A33" s="119" t="s">
        <v>2558</v>
      </c>
    </row>
    <row r="34" spans="1:17" s="394" customFormat="1">
      <c r="A34" s="399" t="s">
        <v>912</v>
      </c>
      <c r="C34" s="400">
        <f>C9</f>
        <v>16022315675</v>
      </c>
      <c r="D34" s="407">
        <v>2.5590000000000001E-3</v>
      </c>
      <c r="E34" s="402" t="s">
        <v>2560</v>
      </c>
      <c r="F34" s="121"/>
      <c r="G34" s="403">
        <f>ROUND(C34*D34,0)</f>
        <v>41001106</v>
      </c>
      <c r="H34" s="121"/>
      <c r="I34" s="400"/>
      <c r="J34" s="401"/>
      <c r="K34" s="402" t="s">
        <v>2560</v>
      </c>
      <c r="L34" s="121"/>
      <c r="M34" s="403">
        <f>ROUND(I34*J34,0)</f>
        <v>0</v>
      </c>
      <c r="N34" s="121"/>
      <c r="O34" s="403">
        <f>IF(AND(M34=0,NOT(G34=0)),0,M34-G34)</f>
        <v>0</v>
      </c>
      <c r="P34" s="403"/>
      <c r="Q34" s="404">
        <f>IF(C34=0,0,ROUND((M34-G34)/G34,9))</f>
        <v>-1</v>
      </c>
    </row>
    <row r="35" spans="1:17" s="395" customFormat="1" ht="13.5" thickBot="1">
      <c r="A35" s="137" t="s">
        <v>2647</v>
      </c>
      <c r="C35" s="405"/>
      <c r="G35" s="406">
        <f>SUM(G9,G14,G19,G24,G29,G34)</f>
        <v>2756799635</v>
      </c>
      <c r="I35" s="405">
        <f>SUM(I9,I14,I19,I24,I29,I34)</f>
        <v>0</v>
      </c>
      <c r="M35" s="406" t="e">
        <f>SUM(M9,M14,#REF!,M19,M24,M29,M34)</f>
        <v>#REF!</v>
      </c>
    </row>
    <row r="36" spans="1:17" ht="13.5" thickTop="1">
      <c r="G36" s="320"/>
    </row>
  </sheetData>
  <conditionalFormatting sqref="I9:Q9">
    <cfRule type="expression" dxfId="83" priority="13">
      <formula>HideProposed</formula>
    </cfRule>
  </conditionalFormatting>
  <conditionalFormatting sqref="I14:Q14">
    <cfRule type="expression" dxfId="82" priority="11">
      <formula>HideProposed</formula>
    </cfRule>
  </conditionalFormatting>
  <conditionalFormatting sqref="I19:Q19">
    <cfRule type="expression" dxfId="81" priority="7">
      <formula>HideProposed</formula>
    </cfRule>
  </conditionalFormatting>
  <conditionalFormatting sqref="I24:Q24">
    <cfRule type="expression" dxfId="80" priority="5">
      <formula>HideProposed</formula>
    </cfRule>
  </conditionalFormatting>
  <conditionalFormatting sqref="I29:Q29">
    <cfRule type="expression" dxfId="79" priority="3">
      <formula>HideProposed</formula>
    </cfRule>
  </conditionalFormatting>
  <conditionalFormatting sqref="I34:Q34">
    <cfRule type="expression" dxfId="78" priority="1">
      <formula>HideProposed</formula>
    </cfRule>
  </conditionalFormatting>
  <conditionalFormatting sqref="J5:Q8">
    <cfRule type="expression" dxfId="77" priority="14">
      <formula>HideProposed</formula>
    </cfRule>
  </conditionalFormatting>
  <conditionalFormatting sqref="J12:Q13">
    <cfRule type="expression" dxfId="76" priority="12">
      <formula>HideProposed</formula>
    </cfRule>
  </conditionalFormatting>
  <conditionalFormatting sqref="J17:Q18">
    <cfRule type="expression" dxfId="75" priority="8">
      <formula>HideProposed</formula>
    </cfRule>
  </conditionalFormatting>
  <conditionalFormatting sqref="J22:Q23">
    <cfRule type="expression" dxfId="74" priority="6">
      <formula>HideProposed</formula>
    </cfRule>
  </conditionalFormatting>
  <conditionalFormatting sqref="J27:Q28">
    <cfRule type="expression" dxfId="73" priority="4">
      <formula>HideProposed</formula>
    </cfRule>
  </conditionalFormatting>
  <conditionalFormatting sqref="J32:Q33">
    <cfRule type="expression" dxfId="72" priority="2">
      <formula>HideProposed</formula>
    </cfRule>
  </conditionalFormatting>
  <pageMargins left="0.7" right="0.7" top="0.75" bottom="0.75" header="0.3" footer="0.3"/>
  <pageSetup scale="92" orientation="portrait" horizontalDpi="1200" verticalDpi="1200" r:id="rId1"/>
  <headerFooter>
    <oddHeader>&amp;LPuerto Rico Electric Power Authority 
Rate Review (NEPR-AP-2023-0003)
Consumer Analysis at Present Rates&amp;RSchedule E-2 Riders
Page &amp;P of &amp;N</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768ED-8A75-44BF-971F-DDE3F0C73FF5}">
  <sheetPr>
    <tabColor rgb="FF99CCFF"/>
  </sheetPr>
  <dimension ref="B2:J2"/>
  <sheetViews>
    <sheetView workbookViewId="0"/>
    <sheetView workbookViewId="1"/>
    <sheetView workbookViewId="2"/>
  </sheetViews>
  <sheetFormatPr defaultRowHeight="15"/>
  <cols>
    <col min="2" max="2" width="8.5703125" customWidth="1"/>
    <col min="3" max="3" width="14.5703125" customWidth="1"/>
  </cols>
  <sheetData>
    <row r="2" spans="2:10" ht="39.950000000000003" customHeight="1">
      <c r="B2" s="1203" t="s">
        <v>2648</v>
      </c>
      <c r="C2" s="1203"/>
      <c r="D2" s="1203"/>
      <c r="E2" s="1203"/>
      <c r="F2" s="1203"/>
      <c r="G2" s="1203"/>
      <c r="H2" s="1203"/>
      <c r="I2" s="346"/>
      <c r="J2" s="346"/>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Differences Between Rates
&amp;RSchedule E-3
Page &amp;P of &amp;N</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7889E-4580-4F27-89CE-8EB26E75CF5D}">
  <sheetPr>
    <tabColor rgb="FFFFCCCC"/>
  </sheetPr>
  <dimension ref="B1:BT182"/>
  <sheetViews>
    <sheetView workbookViewId="0"/>
    <sheetView workbookViewId="1"/>
    <sheetView workbookViewId="2"/>
  </sheetViews>
  <sheetFormatPr defaultColWidth="8.5703125" defaultRowHeight="14.25" outlineLevelRow="1" outlineLevelCol="2"/>
  <cols>
    <col min="1" max="1" width="1.5703125" style="1" customWidth="1"/>
    <col min="2" max="2" width="14.42578125" style="230" customWidth="1"/>
    <col min="3" max="3" width="3.5703125" style="1" customWidth="1"/>
    <col min="4" max="4" width="73.140625" style="1" customWidth="1"/>
    <col min="5" max="5" width="15.85546875" style="1" customWidth="1" outlineLevel="1"/>
    <col min="6" max="9" width="15.85546875" style="1" hidden="1" customWidth="1" outlineLevel="2"/>
    <col min="10" max="10" width="15.85546875" style="1" customWidth="1" outlineLevel="1" collapsed="1"/>
    <col min="11" max="14" width="15.85546875" style="1" hidden="1" customWidth="1" outlineLevel="2"/>
    <col min="15" max="15" width="15.85546875" style="1" customWidth="1" outlineLevel="1" collapsed="1"/>
    <col min="16" max="19" width="15.85546875" style="1" hidden="1" customWidth="1" outlineLevel="2"/>
    <col min="20" max="20" width="15.85546875" style="1" customWidth="1" outlineLevel="1" collapsed="1"/>
    <col min="21" max="21" width="15.85546875" style="1" hidden="1" customWidth="1" outlineLevel="2"/>
    <col min="22" max="22" width="19.140625" style="1" hidden="1" customWidth="1" outlineLevel="2"/>
    <col min="23" max="24" width="15.85546875" style="1" hidden="1" customWidth="1" outlineLevel="2"/>
    <col min="25" max="25" width="18.140625" style="1" hidden="1" customWidth="1" outlineLevel="2"/>
    <col min="26" max="26" width="18.140625" style="1" customWidth="1" outlineLevel="1" collapsed="1"/>
    <col min="27" max="27" width="3.85546875" style="1" customWidth="1" outlineLevel="1"/>
    <col min="28" max="28" width="15.85546875" style="1" customWidth="1" outlineLevel="1"/>
    <col min="29" max="32" width="15.85546875" style="1" hidden="1" customWidth="1" outlineLevel="2"/>
    <col min="33" max="33" width="15.85546875" style="1" customWidth="1" outlineLevel="1" collapsed="1"/>
    <col min="34" max="37" width="15.85546875" style="1" hidden="1" customWidth="1" outlineLevel="2"/>
    <col min="38" max="38" width="15.85546875" style="1" customWidth="1" outlineLevel="1" collapsed="1"/>
    <col min="39" max="42" width="15.85546875" style="1" hidden="1" customWidth="1" outlineLevel="2"/>
    <col min="43" max="43" width="15.85546875" style="1" customWidth="1" outlineLevel="1" collapsed="1"/>
    <col min="44" max="44" width="15.85546875" style="1" customWidth="1" outlineLevel="1"/>
    <col min="45" max="45" width="13.85546875" style="1" customWidth="1" outlineLevel="1"/>
    <col min="46" max="46" width="15.85546875" style="1" customWidth="1" outlineLevel="1"/>
    <col min="47" max="47" width="14.140625" style="1" customWidth="1" outlineLevel="1"/>
    <col min="48" max="48" width="15.85546875" style="1" customWidth="1"/>
    <col min="49" max="49" width="11.5703125" style="1" customWidth="1"/>
    <col min="50" max="50" width="3.42578125" style="1" customWidth="1"/>
    <col min="51" max="51" width="15.85546875" style="1" customWidth="1" outlineLevel="1"/>
    <col min="52" max="55" width="15.85546875" style="1" hidden="1" customWidth="1" outlineLevel="2"/>
    <col min="56" max="56" width="15.85546875" style="1" customWidth="1" outlineLevel="1" collapsed="1"/>
    <col min="57" max="60" width="15.85546875" style="1" hidden="1" customWidth="1" outlineLevel="2"/>
    <col min="61" max="61" width="15.85546875" style="1" customWidth="1" outlineLevel="1" collapsed="1"/>
    <col min="62" max="65" width="15.85546875" style="1" hidden="1" customWidth="1" outlineLevel="2"/>
    <col min="66" max="66" width="15.85546875" style="1" customWidth="1" outlineLevel="1" collapsed="1"/>
    <col min="67" max="67" width="13.85546875" style="1" customWidth="1"/>
    <col min="68" max="68" width="13.5703125" style="1" customWidth="1"/>
    <col min="69" max="69" width="11.5703125" style="1" customWidth="1"/>
    <col min="70" max="70" width="12.85546875" style="1" customWidth="1"/>
    <col min="71" max="71" width="12.5703125" style="1" customWidth="1"/>
    <col min="72" max="72" width="15.140625" style="1" customWidth="1"/>
    <col min="73" max="16384" width="8.5703125" style="1"/>
  </cols>
  <sheetData>
    <row r="1" spans="2:72" ht="15">
      <c r="B1" s="181" t="s">
        <v>237</v>
      </c>
      <c r="E1" s="182"/>
      <c r="F1" s="182"/>
      <c r="G1" s="182"/>
      <c r="H1" s="182"/>
      <c r="I1" s="182"/>
      <c r="J1" s="182"/>
      <c r="K1" s="182"/>
      <c r="L1" s="182"/>
      <c r="M1" s="182"/>
      <c r="N1" s="182"/>
      <c r="O1" s="182"/>
      <c r="P1" s="182"/>
      <c r="Q1" s="182"/>
      <c r="R1" s="182"/>
      <c r="S1" s="182"/>
      <c r="T1" s="182"/>
      <c r="U1" s="182"/>
      <c r="V1" s="182"/>
      <c r="W1" s="182"/>
      <c r="X1" s="182"/>
      <c r="Y1" s="182"/>
      <c r="Z1" s="182"/>
      <c r="AB1" s="182"/>
      <c r="AC1" s="182"/>
      <c r="AD1" s="182"/>
      <c r="AE1" s="182"/>
      <c r="AF1" s="182"/>
      <c r="AG1" s="182"/>
      <c r="AH1" s="182"/>
      <c r="AI1" s="182"/>
      <c r="AJ1" s="182"/>
      <c r="AK1" s="182"/>
      <c r="AL1" s="182"/>
      <c r="AM1" s="182"/>
      <c r="AN1" s="182"/>
      <c r="AO1" s="182"/>
      <c r="AP1" s="182"/>
      <c r="AQ1" s="182"/>
      <c r="AR1" s="182"/>
      <c r="AT1" s="78"/>
      <c r="AV1" s="78"/>
      <c r="AW1" s="78"/>
      <c r="AX1" s="78"/>
      <c r="AY1" s="182"/>
      <c r="AZ1" s="182"/>
      <c r="BA1" s="182"/>
      <c r="BB1" s="182"/>
      <c r="BC1" s="182"/>
      <c r="BD1" s="182"/>
      <c r="BE1" s="182"/>
      <c r="BF1" s="182"/>
      <c r="BG1" s="182"/>
      <c r="BH1" s="182"/>
      <c r="BI1" s="182"/>
      <c r="BJ1" s="182"/>
      <c r="BK1" s="182"/>
      <c r="BL1" s="182"/>
      <c r="BM1" s="182"/>
      <c r="BN1" s="182"/>
    </row>
    <row r="2" spans="2:72" ht="15">
      <c r="B2" s="181"/>
      <c r="E2" s="78"/>
      <c r="F2" s="78"/>
      <c r="G2" s="78"/>
      <c r="H2" s="78"/>
      <c r="I2" s="78"/>
      <c r="J2" s="78"/>
      <c r="K2" s="78"/>
      <c r="L2" s="78"/>
      <c r="M2" s="78"/>
      <c r="N2" s="78"/>
      <c r="O2" s="78"/>
      <c r="P2" s="78"/>
      <c r="Q2" s="78"/>
      <c r="R2" s="78"/>
      <c r="S2" s="78"/>
      <c r="T2" s="78"/>
      <c r="U2" s="78"/>
      <c r="V2" s="78"/>
      <c r="W2" s="78"/>
      <c r="X2" s="78"/>
      <c r="Y2" s="78"/>
      <c r="Z2" s="78"/>
      <c r="AB2" s="78"/>
      <c r="AC2" s="78"/>
      <c r="AD2" s="78"/>
      <c r="AE2" s="78"/>
      <c r="AF2" s="78"/>
      <c r="AG2" s="78"/>
      <c r="AH2" s="78"/>
      <c r="AI2" s="78"/>
      <c r="AJ2" s="78"/>
      <c r="AK2" s="78"/>
      <c r="AL2" s="78"/>
      <c r="AM2" s="78"/>
      <c r="AN2" s="78"/>
      <c r="AO2" s="78"/>
      <c r="AP2" s="78"/>
      <c r="AQ2" s="78"/>
      <c r="AR2" s="78"/>
      <c r="AT2" s="78"/>
      <c r="AV2" s="78"/>
      <c r="AW2" s="78"/>
      <c r="AX2" s="78"/>
      <c r="AY2" s="78"/>
      <c r="AZ2" s="78"/>
      <c r="BA2" s="78"/>
      <c r="BB2" s="78"/>
      <c r="BC2" s="78"/>
      <c r="BD2" s="78"/>
      <c r="BE2" s="78"/>
      <c r="BF2" s="78"/>
      <c r="BG2" s="78"/>
      <c r="BH2" s="78"/>
      <c r="BI2" s="78"/>
      <c r="BJ2" s="78"/>
      <c r="BK2" s="78"/>
      <c r="BL2" s="78"/>
      <c r="BM2" s="78"/>
      <c r="BN2" s="78"/>
    </row>
    <row r="3" spans="2:72" ht="15.75" thickBot="1">
      <c r="B3" s="181"/>
      <c r="AW3" s="78"/>
      <c r="AX3" s="78"/>
    </row>
    <row r="4" spans="2:72" ht="15">
      <c r="B4" s="1190" t="s">
        <v>238</v>
      </c>
      <c r="C4" s="1191"/>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1"/>
      <c r="BB4" s="1191"/>
      <c r="BC4" s="1191"/>
      <c r="BD4" s="1191"/>
      <c r="BE4" s="1191"/>
      <c r="BF4" s="1191"/>
      <c r="BG4" s="1191"/>
      <c r="BH4" s="1191"/>
      <c r="BI4" s="1191"/>
      <c r="BJ4" s="1191"/>
      <c r="BK4" s="1191"/>
      <c r="BL4" s="1191"/>
      <c r="BM4" s="1191"/>
      <c r="BN4" s="1191"/>
      <c r="BO4" s="1191"/>
      <c r="BP4" s="1191"/>
      <c r="BQ4" s="1191"/>
      <c r="BR4" s="1191"/>
      <c r="BS4" s="1191"/>
      <c r="BT4" s="1192"/>
    </row>
    <row r="5" spans="2:72" ht="24.95" customHeight="1">
      <c r="B5" s="183"/>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5"/>
      <c r="AX5" s="185"/>
      <c r="AY5" s="184"/>
      <c r="AZ5" s="184"/>
      <c r="BA5" s="184"/>
      <c r="BB5" s="184"/>
      <c r="BC5" s="184"/>
      <c r="BD5" s="184"/>
      <c r="BE5" s="184"/>
      <c r="BF5" s="184"/>
      <c r="BG5" s="184"/>
      <c r="BH5" s="184"/>
      <c r="BI5" s="184"/>
      <c r="BJ5" s="184"/>
      <c r="BK5" s="184"/>
      <c r="BL5" s="184"/>
      <c r="BM5" s="184"/>
      <c r="BN5" s="184"/>
      <c r="BO5" s="184"/>
      <c r="BP5" s="184"/>
      <c r="BQ5" s="184"/>
      <c r="BR5" s="184"/>
      <c r="BS5" s="184"/>
      <c r="BT5" s="186"/>
    </row>
    <row r="6" spans="2:72" ht="18" customHeight="1">
      <c r="B6" s="187"/>
      <c r="C6" s="184"/>
      <c r="D6" s="184"/>
      <c r="E6" s="188"/>
      <c r="F6" s="188"/>
      <c r="G6" s="188"/>
      <c r="H6" s="188"/>
      <c r="I6" s="188"/>
      <c r="J6" s="189"/>
      <c r="K6" s="188"/>
      <c r="L6" s="188"/>
      <c r="M6" s="188"/>
      <c r="N6" s="188"/>
      <c r="O6" s="189"/>
      <c r="P6" s="188"/>
      <c r="Q6" s="188"/>
      <c r="R6" s="188"/>
      <c r="S6" s="188"/>
      <c r="T6" s="189"/>
      <c r="U6" s="188" t="s">
        <v>239</v>
      </c>
      <c r="V6" s="188"/>
      <c r="W6" s="188"/>
      <c r="X6" s="188"/>
      <c r="Y6" s="188"/>
      <c r="Z6" s="188"/>
      <c r="AA6" s="184"/>
      <c r="AB6" s="188"/>
      <c r="AC6" s="188"/>
      <c r="AD6" s="188"/>
      <c r="AE6" s="188"/>
      <c r="AF6" s="188"/>
      <c r="AG6" s="189"/>
      <c r="AH6" s="188"/>
      <c r="AI6" s="188"/>
      <c r="AJ6" s="188"/>
      <c r="AK6" s="188"/>
      <c r="AL6" s="189"/>
      <c r="AM6" s="188"/>
      <c r="AN6" s="188"/>
      <c r="AO6" s="188"/>
      <c r="AP6" s="188"/>
      <c r="AQ6" s="189"/>
      <c r="AR6" s="188" t="s">
        <v>240</v>
      </c>
      <c r="AS6" s="188"/>
      <c r="AT6" s="188"/>
      <c r="AU6" s="188"/>
      <c r="AV6" s="188"/>
      <c r="AW6" s="188"/>
      <c r="AX6" s="185"/>
      <c r="AY6" s="188"/>
      <c r="AZ6" s="188"/>
      <c r="BA6" s="188"/>
      <c r="BB6" s="188"/>
      <c r="BC6" s="188"/>
      <c r="BD6" s="189"/>
      <c r="BE6" s="188"/>
      <c r="BF6" s="188"/>
      <c r="BG6" s="188"/>
      <c r="BH6" s="188"/>
      <c r="BI6" s="189"/>
      <c r="BJ6" s="188"/>
      <c r="BK6" s="188"/>
      <c r="BL6" s="188"/>
      <c r="BM6" s="188"/>
      <c r="BN6" s="189"/>
      <c r="BO6" s="188" t="s">
        <v>241</v>
      </c>
      <c r="BP6" s="188"/>
      <c r="BQ6" s="188"/>
      <c r="BR6" s="188"/>
      <c r="BS6" s="188"/>
      <c r="BT6" s="190"/>
    </row>
    <row r="7" spans="2:72" ht="52.5" customHeight="1">
      <c r="B7" s="191" t="s">
        <v>242</v>
      </c>
      <c r="C7" s="192"/>
      <c r="D7" s="193" t="s">
        <v>5</v>
      </c>
      <c r="E7" s="193" t="s">
        <v>243</v>
      </c>
      <c r="F7" s="193" t="s">
        <v>244</v>
      </c>
      <c r="G7" s="193" t="s">
        <v>245</v>
      </c>
      <c r="H7" s="193" t="s">
        <v>246</v>
      </c>
      <c r="I7" s="193" t="s">
        <v>247</v>
      </c>
      <c r="J7" s="193" t="s">
        <v>248</v>
      </c>
      <c r="K7" s="193" t="s">
        <v>249</v>
      </c>
      <c r="L7" s="193" t="s">
        <v>250</v>
      </c>
      <c r="M7" s="193" t="s">
        <v>251</v>
      </c>
      <c r="N7" s="193" t="s">
        <v>252</v>
      </c>
      <c r="O7" s="193" t="s">
        <v>253</v>
      </c>
      <c r="P7" s="193" t="s">
        <v>254</v>
      </c>
      <c r="Q7" s="193" t="s">
        <v>255</v>
      </c>
      <c r="R7" s="193" t="s">
        <v>256</v>
      </c>
      <c r="S7" s="193" t="s">
        <v>257</v>
      </c>
      <c r="T7" s="193" t="s">
        <v>258</v>
      </c>
      <c r="U7" s="194" t="s">
        <v>259</v>
      </c>
      <c r="V7" s="194" t="s">
        <v>260</v>
      </c>
      <c r="W7" s="194" t="s">
        <v>261</v>
      </c>
      <c r="X7" s="194" t="s">
        <v>262</v>
      </c>
      <c r="Y7" s="194" t="s">
        <v>263</v>
      </c>
      <c r="Z7" s="193" t="s">
        <v>264</v>
      </c>
      <c r="AA7" s="192"/>
      <c r="AB7" s="193" t="s">
        <v>243</v>
      </c>
      <c r="AC7" s="193" t="s">
        <v>244</v>
      </c>
      <c r="AD7" s="193" t="s">
        <v>245</v>
      </c>
      <c r="AE7" s="193" t="s">
        <v>246</v>
      </c>
      <c r="AF7" s="193" t="s">
        <v>247</v>
      </c>
      <c r="AG7" s="193" t="s">
        <v>248</v>
      </c>
      <c r="AH7" s="193" t="s">
        <v>249</v>
      </c>
      <c r="AI7" s="193" t="s">
        <v>250</v>
      </c>
      <c r="AJ7" s="193" t="s">
        <v>251</v>
      </c>
      <c r="AK7" s="193" t="s">
        <v>252</v>
      </c>
      <c r="AL7" s="193" t="s">
        <v>253</v>
      </c>
      <c r="AM7" s="193" t="s">
        <v>254</v>
      </c>
      <c r="AN7" s="193" t="s">
        <v>255</v>
      </c>
      <c r="AO7" s="193" t="s">
        <v>256</v>
      </c>
      <c r="AP7" s="193" t="s">
        <v>257</v>
      </c>
      <c r="AQ7" s="193" t="s">
        <v>258</v>
      </c>
      <c r="AR7" s="194" t="s">
        <v>259</v>
      </c>
      <c r="AS7" s="194" t="s">
        <v>260</v>
      </c>
      <c r="AT7" s="194" t="s">
        <v>261</v>
      </c>
      <c r="AU7" s="194" t="s">
        <v>262</v>
      </c>
      <c r="AV7" s="194" t="s">
        <v>263</v>
      </c>
      <c r="AW7" s="193" t="s">
        <v>264</v>
      </c>
      <c r="AX7" s="184"/>
      <c r="AY7" s="193" t="s">
        <v>243</v>
      </c>
      <c r="AZ7" s="193" t="s">
        <v>244</v>
      </c>
      <c r="BA7" s="193" t="s">
        <v>245</v>
      </c>
      <c r="BB7" s="193" t="s">
        <v>246</v>
      </c>
      <c r="BC7" s="193" t="s">
        <v>247</v>
      </c>
      <c r="BD7" s="193" t="s">
        <v>248</v>
      </c>
      <c r="BE7" s="193" t="s">
        <v>249</v>
      </c>
      <c r="BF7" s="193" t="s">
        <v>250</v>
      </c>
      <c r="BG7" s="193" t="s">
        <v>251</v>
      </c>
      <c r="BH7" s="193" t="s">
        <v>252</v>
      </c>
      <c r="BI7" s="193" t="s">
        <v>253</v>
      </c>
      <c r="BJ7" s="193" t="s">
        <v>254</v>
      </c>
      <c r="BK7" s="193" t="s">
        <v>255</v>
      </c>
      <c r="BL7" s="193" t="s">
        <v>256</v>
      </c>
      <c r="BM7" s="193" t="s">
        <v>257</v>
      </c>
      <c r="BN7" s="193" t="s">
        <v>258</v>
      </c>
      <c r="BO7" s="194" t="s">
        <v>259</v>
      </c>
      <c r="BP7" s="194" t="s">
        <v>260</v>
      </c>
      <c r="BQ7" s="194" t="s">
        <v>261</v>
      </c>
      <c r="BR7" s="194" t="s">
        <v>262</v>
      </c>
      <c r="BS7" s="194" t="s">
        <v>263</v>
      </c>
      <c r="BT7" s="195" t="s">
        <v>264</v>
      </c>
    </row>
    <row r="8" spans="2:72" ht="14.25" customHeight="1">
      <c r="B8" s="196"/>
      <c r="C8" s="184"/>
      <c r="D8" s="184"/>
      <c r="E8" s="185"/>
      <c r="F8" s="185" t="s">
        <v>265</v>
      </c>
      <c r="G8" s="185" t="s">
        <v>266</v>
      </c>
      <c r="H8" s="185" t="s">
        <v>267</v>
      </c>
      <c r="I8" s="185" t="s">
        <v>268</v>
      </c>
      <c r="J8" s="185"/>
      <c r="K8" s="185" t="s">
        <v>269</v>
      </c>
      <c r="L8" s="185" t="s">
        <v>270</v>
      </c>
      <c r="M8" s="185" t="s">
        <v>271</v>
      </c>
      <c r="N8" s="185" t="s">
        <v>272</v>
      </c>
      <c r="O8" s="185"/>
      <c r="P8" s="185" t="s">
        <v>273</v>
      </c>
      <c r="Q8" s="185" t="s">
        <v>274</v>
      </c>
      <c r="R8" s="185" t="s">
        <v>275</v>
      </c>
      <c r="S8" s="185" t="s">
        <v>276</v>
      </c>
      <c r="T8" s="185"/>
      <c r="U8" s="197">
        <v>1</v>
      </c>
      <c r="V8" s="197">
        <v>2</v>
      </c>
      <c r="W8" s="197">
        <v>3</v>
      </c>
      <c r="X8" s="197">
        <v>4</v>
      </c>
      <c r="Y8" s="197">
        <v>5</v>
      </c>
      <c r="Z8" s="185" t="s">
        <v>277</v>
      </c>
      <c r="AA8" s="184"/>
      <c r="AB8" s="185"/>
      <c r="AC8" s="185" t="s">
        <v>265</v>
      </c>
      <c r="AD8" s="185" t="s">
        <v>266</v>
      </c>
      <c r="AE8" s="185" t="s">
        <v>267</v>
      </c>
      <c r="AF8" s="185" t="s">
        <v>268</v>
      </c>
      <c r="AG8" s="185"/>
      <c r="AH8" s="185" t="s">
        <v>269</v>
      </c>
      <c r="AI8" s="185" t="s">
        <v>270</v>
      </c>
      <c r="AJ8" s="185" t="s">
        <v>271</v>
      </c>
      <c r="AK8" s="185" t="s">
        <v>272</v>
      </c>
      <c r="AL8" s="185"/>
      <c r="AM8" s="185" t="s">
        <v>273</v>
      </c>
      <c r="AN8" s="185" t="s">
        <v>274</v>
      </c>
      <c r="AO8" s="185" t="s">
        <v>275</v>
      </c>
      <c r="AP8" s="185" t="s">
        <v>276</v>
      </c>
      <c r="AQ8" s="185"/>
      <c r="AR8" s="197">
        <v>1</v>
      </c>
      <c r="AS8" s="197">
        <v>2</v>
      </c>
      <c r="AT8" s="197">
        <v>3</v>
      </c>
      <c r="AU8" s="197">
        <v>4</v>
      </c>
      <c r="AV8" s="197">
        <v>5</v>
      </c>
      <c r="AW8" s="185" t="s">
        <v>277</v>
      </c>
      <c r="AX8" s="184"/>
      <c r="AY8" s="185"/>
      <c r="AZ8" s="185" t="s">
        <v>265</v>
      </c>
      <c r="BA8" s="185" t="s">
        <v>266</v>
      </c>
      <c r="BB8" s="185" t="s">
        <v>267</v>
      </c>
      <c r="BC8" s="185" t="s">
        <v>268</v>
      </c>
      <c r="BD8" s="185"/>
      <c r="BE8" s="185" t="s">
        <v>269</v>
      </c>
      <c r="BF8" s="185" t="s">
        <v>270</v>
      </c>
      <c r="BG8" s="185" t="s">
        <v>271</v>
      </c>
      <c r="BH8" s="185" t="s">
        <v>272</v>
      </c>
      <c r="BI8" s="185"/>
      <c r="BJ8" s="185" t="s">
        <v>273</v>
      </c>
      <c r="BK8" s="185" t="s">
        <v>274</v>
      </c>
      <c r="BL8" s="185" t="s">
        <v>275</v>
      </c>
      <c r="BM8" s="185" t="s">
        <v>276</v>
      </c>
      <c r="BN8" s="185"/>
      <c r="BO8" s="197">
        <v>1</v>
      </c>
      <c r="BP8" s="197">
        <v>2</v>
      </c>
      <c r="BQ8" s="197">
        <v>3</v>
      </c>
      <c r="BR8" s="197">
        <v>4</v>
      </c>
      <c r="BS8" s="197">
        <v>5</v>
      </c>
      <c r="BT8" s="185" t="s">
        <v>277</v>
      </c>
    </row>
    <row r="9" spans="2:72" ht="14.45" hidden="1" customHeight="1" outlineLevel="1">
      <c r="B9" s="196">
        <v>1</v>
      </c>
      <c r="C9" s="184"/>
      <c r="D9" s="198" t="s">
        <v>278</v>
      </c>
      <c r="E9" s="198" t="s">
        <v>279</v>
      </c>
      <c r="F9" s="198"/>
      <c r="G9" s="198"/>
      <c r="H9" s="198"/>
      <c r="I9" s="198"/>
      <c r="J9" s="198" t="s">
        <v>279</v>
      </c>
      <c r="K9" s="198"/>
      <c r="L9" s="198"/>
      <c r="M9" s="198"/>
      <c r="N9" s="198"/>
      <c r="O9" s="198" t="s">
        <v>279</v>
      </c>
      <c r="P9" s="198"/>
      <c r="Q9" s="198"/>
      <c r="R9" s="198"/>
      <c r="S9" s="198"/>
      <c r="T9" s="198" t="s">
        <v>279</v>
      </c>
      <c r="U9" s="199"/>
      <c r="V9" s="199"/>
      <c r="W9" s="199"/>
      <c r="X9" s="199"/>
      <c r="Y9" s="199"/>
      <c r="Z9" s="198" t="s">
        <v>279</v>
      </c>
      <c r="AA9" s="180"/>
      <c r="AB9" s="198" t="s">
        <v>279</v>
      </c>
      <c r="AC9" s="198"/>
      <c r="AD9" s="198"/>
      <c r="AE9" s="198"/>
      <c r="AF9" s="198"/>
      <c r="AG9" s="198" t="s">
        <v>279</v>
      </c>
      <c r="AH9" s="198"/>
      <c r="AI9" s="198"/>
      <c r="AJ9" s="198"/>
      <c r="AK9" s="198"/>
      <c r="AL9" s="198" t="s">
        <v>279</v>
      </c>
      <c r="AM9" s="198"/>
      <c r="AN9" s="198"/>
      <c r="AO9" s="198"/>
      <c r="AP9" s="198"/>
      <c r="AQ9" s="198" t="s">
        <v>279</v>
      </c>
      <c r="AR9" s="199"/>
      <c r="AS9" s="199"/>
      <c r="AT9" s="199"/>
      <c r="AU9" s="199"/>
      <c r="AV9" s="199"/>
      <c r="AW9" s="198" t="s">
        <v>279</v>
      </c>
      <c r="AX9" s="180"/>
      <c r="AY9" s="198" t="s">
        <v>279</v>
      </c>
      <c r="AZ9" s="198"/>
      <c r="BA9" s="198"/>
      <c r="BB9" s="198"/>
      <c r="BC9" s="198"/>
      <c r="BD9" s="198" t="s">
        <v>279</v>
      </c>
      <c r="BE9" s="198"/>
      <c r="BF9" s="198"/>
      <c r="BG9" s="198"/>
      <c r="BH9" s="198"/>
      <c r="BI9" s="198" t="s">
        <v>279</v>
      </c>
      <c r="BJ9" s="198"/>
      <c r="BK9" s="198"/>
      <c r="BL9" s="198"/>
      <c r="BM9" s="198"/>
      <c r="BN9" s="198" t="s">
        <v>279</v>
      </c>
      <c r="BO9" s="199"/>
      <c r="BP9" s="199"/>
      <c r="BQ9" s="199"/>
      <c r="BR9" s="199"/>
      <c r="BS9" s="199"/>
      <c r="BT9" s="200" t="s">
        <v>279</v>
      </c>
    </row>
    <row r="10" spans="2:72" ht="6.75" hidden="1" customHeight="1" outlineLevel="1">
      <c r="B10" s="196"/>
      <c r="C10" s="184"/>
      <c r="D10" s="198"/>
      <c r="E10" s="201"/>
      <c r="F10" s="201"/>
      <c r="G10" s="201"/>
      <c r="H10" s="201"/>
      <c r="I10" s="201"/>
      <c r="J10" s="201"/>
      <c r="K10" s="201"/>
      <c r="L10" s="201"/>
      <c r="M10" s="201"/>
      <c r="N10" s="201"/>
      <c r="O10" s="201"/>
      <c r="P10" s="201"/>
      <c r="Q10" s="201"/>
      <c r="R10" s="201"/>
      <c r="S10" s="201"/>
      <c r="T10" s="201"/>
      <c r="U10" s="202"/>
      <c r="V10" s="202"/>
      <c r="W10" s="202"/>
      <c r="X10" s="202"/>
      <c r="Y10" s="202"/>
      <c r="Z10" s="201"/>
      <c r="AA10" s="180"/>
      <c r="AB10" s="201"/>
      <c r="AC10" s="201"/>
      <c r="AD10" s="201"/>
      <c r="AE10" s="201"/>
      <c r="AF10" s="201"/>
      <c r="AG10" s="201"/>
      <c r="AH10" s="201"/>
      <c r="AI10" s="201"/>
      <c r="AJ10" s="201"/>
      <c r="AK10" s="201"/>
      <c r="AL10" s="201"/>
      <c r="AM10" s="201"/>
      <c r="AN10" s="201"/>
      <c r="AO10" s="201"/>
      <c r="AP10" s="201"/>
      <c r="AQ10" s="201"/>
      <c r="AR10" s="202"/>
      <c r="AS10" s="202"/>
      <c r="AT10" s="202"/>
      <c r="AU10" s="202"/>
      <c r="AV10" s="202"/>
      <c r="AW10" s="201"/>
      <c r="AX10" s="180"/>
      <c r="AY10" s="201"/>
      <c r="AZ10" s="201"/>
      <c r="BA10" s="201"/>
      <c r="BB10" s="201"/>
      <c r="BC10" s="201"/>
      <c r="BD10" s="201"/>
      <c r="BE10" s="201"/>
      <c r="BF10" s="201"/>
      <c r="BG10" s="201"/>
      <c r="BH10" s="201"/>
      <c r="BI10" s="201"/>
      <c r="BJ10" s="201"/>
      <c r="BK10" s="201"/>
      <c r="BL10" s="201"/>
      <c r="BM10" s="201"/>
      <c r="BN10" s="201"/>
      <c r="BO10" s="202"/>
      <c r="BP10" s="202"/>
      <c r="BQ10" s="202"/>
      <c r="BR10" s="202"/>
      <c r="BS10" s="202"/>
      <c r="BT10" s="203"/>
    </row>
    <row r="11" spans="2:72" ht="14.45" hidden="1" customHeight="1" outlineLevel="1">
      <c r="B11" s="196">
        <f t="shared" ref="B11:B74" si="0">IF(D11&lt;&gt;"",MAX(B8:B10)+1,"")</f>
        <v>2</v>
      </c>
      <c r="C11" s="184"/>
      <c r="D11" s="198" t="s">
        <v>280</v>
      </c>
      <c r="E11" s="204"/>
      <c r="F11" s="204"/>
      <c r="G11" s="204"/>
      <c r="H11" s="204"/>
      <c r="I11" s="204"/>
      <c r="J11" s="204"/>
      <c r="K11" s="204"/>
      <c r="L11" s="204"/>
      <c r="M11" s="204"/>
      <c r="N11" s="204"/>
      <c r="O11" s="204"/>
      <c r="P11" s="204"/>
      <c r="Q11" s="204"/>
      <c r="R11" s="204"/>
      <c r="S11" s="204"/>
      <c r="T11" s="204"/>
      <c r="U11" s="205"/>
      <c r="V11" s="205"/>
      <c r="W11" s="205"/>
      <c r="X11" s="205"/>
      <c r="Y11" s="205"/>
      <c r="Z11" s="204"/>
      <c r="AA11" s="180"/>
      <c r="AB11" s="204"/>
      <c r="AC11" s="204"/>
      <c r="AD11" s="204"/>
      <c r="AE11" s="204"/>
      <c r="AF11" s="204"/>
      <c r="AG11" s="204"/>
      <c r="AH11" s="204"/>
      <c r="AI11" s="204"/>
      <c r="AJ11" s="204"/>
      <c r="AK11" s="204"/>
      <c r="AL11" s="204"/>
      <c r="AM11" s="204"/>
      <c r="AN11" s="204"/>
      <c r="AO11" s="204"/>
      <c r="AP11" s="204"/>
      <c r="AQ11" s="204"/>
      <c r="AR11" s="205"/>
      <c r="AS11" s="205"/>
      <c r="AT11" s="205"/>
      <c r="AU11" s="205"/>
      <c r="AV11" s="205"/>
      <c r="AW11" s="204"/>
      <c r="AX11" s="180"/>
      <c r="AY11" s="204"/>
      <c r="AZ11" s="204"/>
      <c r="BA11" s="204"/>
      <c r="BB11" s="204"/>
      <c r="BC11" s="204"/>
      <c r="BD11" s="204"/>
      <c r="BE11" s="204"/>
      <c r="BF11" s="204"/>
      <c r="BG11" s="204"/>
      <c r="BH11" s="204"/>
      <c r="BI11" s="204"/>
      <c r="BJ11" s="204"/>
      <c r="BK11" s="204"/>
      <c r="BL11" s="204"/>
      <c r="BM11" s="204"/>
      <c r="BN11" s="204"/>
      <c r="BO11" s="205"/>
      <c r="BP11" s="205"/>
      <c r="BQ11" s="205"/>
      <c r="BR11" s="205"/>
      <c r="BS11" s="205"/>
      <c r="BT11" s="206"/>
    </row>
    <row r="12" spans="2:72" ht="14.45" hidden="1" customHeight="1" outlineLevel="1">
      <c r="B12" s="196">
        <f t="shared" si="0"/>
        <v>3</v>
      </c>
      <c r="C12" s="184"/>
      <c r="D12" s="207" t="s">
        <v>281</v>
      </c>
      <c r="E12" s="208">
        <v>0</v>
      </c>
      <c r="F12" s="208">
        <v>0</v>
      </c>
      <c r="G12" s="208">
        <v>0</v>
      </c>
      <c r="H12" s="208">
        <v>0</v>
      </c>
      <c r="I12" s="208">
        <v>0</v>
      </c>
      <c r="J12" s="208">
        <f>SUM(F12:I12)</f>
        <v>0</v>
      </c>
      <c r="K12" s="208">
        <v>0</v>
      </c>
      <c r="L12" s="208">
        <v>0</v>
      </c>
      <c r="M12" s="208">
        <v>0</v>
      </c>
      <c r="N12" s="208">
        <v>0</v>
      </c>
      <c r="O12" s="208">
        <f>SUM(K12:N12)</f>
        <v>0</v>
      </c>
      <c r="P12" s="208">
        <v>0</v>
      </c>
      <c r="Q12" s="208">
        <v>0</v>
      </c>
      <c r="R12" s="208">
        <v>0</v>
      </c>
      <c r="S12" s="208">
        <v>0</v>
      </c>
      <c r="T12" s="208">
        <f>SUM(P12:S12)</f>
        <v>0</v>
      </c>
      <c r="U12" s="209">
        <v>0</v>
      </c>
      <c r="V12" s="209">
        <v>0</v>
      </c>
      <c r="W12" s="209">
        <v>0</v>
      </c>
      <c r="X12" s="209">
        <v>0</v>
      </c>
      <c r="Y12" s="209">
        <v>0</v>
      </c>
      <c r="Z12" s="208">
        <f>SUM(U12:Y12)</f>
        <v>0</v>
      </c>
      <c r="AA12" s="210"/>
      <c r="AB12" s="208">
        <v>0</v>
      </c>
      <c r="AC12" s="208">
        <v>0</v>
      </c>
      <c r="AD12" s="208">
        <v>0</v>
      </c>
      <c r="AE12" s="208">
        <v>0</v>
      </c>
      <c r="AF12" s="208">
        <v>0</v>
      </c>
      <c r="AG12" s="208">
        <f>SUM(AC12:AF12)</f>
        <v>0</v>
      </c>
      <c r="AH12" s="208">
        <v>0</v>
      </c>
      <c r="AI12" s="208">
        <v>0</v>
      </c>
      <c r="AJ12" s="208">
        <v>0</v>
      </c>
      <c r="AK12" s="208">
        <v>0</v>
      </c>
      <c r="AL12" s="208">
        <f>SUM(AH12:AK12)</f>
        <v>0</v>
      </c>
      <c r="AM12" s="208">
        <v>0</v>
      </c>
      <c r="AN12" s="208">
        <v>0</v>
      </c>
      <c r="AO12" s="208">
        <v>0</v>
      </c>
      <c r="AP12" s="208">
        <v>0</v>
      </c>
      <c r="AQ12" s="208">
        <f>SUM(AM12:AP12)</f>
        <v>0</v>
      </c>
      <c r="AR12" s="209">
        <v>0</v>
      </c>
      <c r="AS12" s="209">
        <v>0</v>
      </c>
      <c r="AT12" s="209">
        <v>0</v>
      </c>
      <c r="AU12" s="209">
        <v>0</v>
      </c>
      <c r="AV12" s="209">
        <v>0</v>
      </c>
      <c r="AW12" s="208">
        <f>SUM(AR12:AV12)</f>
        <v>0</v>
      </c>
      <c r="AX12" s="180"/>
      <c r="AY12" s="208">
        <v>0</v>
      </c>
      <c r="AZ12" s="208">
        <v>0</v>
      </c>
      <c r="BA12" s="208">
        <v>0</v>
      </c>
      <c r="BB12" s="208">
        <v>0</v>
      </c>
      <c r="BC12" s="208">
        <v>0</v>
      </c>
      <c r="BD12" s="208">
        <f>SUM(AZ12:BC12)</f>
        <v>0</v>
      </c>
      <c r="BE12" s="208">
        <v>0</v>
      </c>
      <c r="BF12" s="208">
        <v>0</v>
      </c>
      <c r="BG12" s="208">
        <v>0</v>
      </c>
      <c r="BH12" s="208">
        <v>0</v>
      </c>
      <c r="BI12" s="208">
        <f>SUM(BE12:BH12)</f>
        <v>0</v>
      </c>
      <c r="BJ12" s="208">
        <v>0</v>
      </c>
      <c r="BK12" s="208">
        <v>0</v>
      </c>
      <c r="BL12" s="208">
        <v>0</v>
      </c>
      <c r="BM12" s="208">
        <v>0</v>
      </c>
      <c r="BN12" s="208">
        <f>SUM(BJ12:BM12)</f>
        <v>0</v>
      </c>
      <c r="BO12" s="209">
        <v>0</v>
      </c>
      <c r="BP12" s="209">
        <v>0</v>
      </c>
      <c r="BQ12" s="209">
        <v>0</v>
      </c>
      <c r="BR12" s="209">
        <v>0</v>
      </c>
      <c r="BS12" s="209">
        <v>0</v>
      </c>
      <c r="BT12" s="211">
        <f>SUM(BO12:BS12)</f>
        <v>0</v>
      </c>
    </row>
    <row r="13" spans="2:72" ht="14.45" hidden="1" customHeight="1" outlineLevel="1">
      <c r="B13" s="196">
        <f t="shared" si="0"/>
        <v>4</v>
      </c>
      <c r="C13" s="184"/>
      <c r="D13" s="207" t="s">
        <v>282</v>
      </c>
      <c r="E13" s="212">
        <v>0</v>
      </c>
      <c r="F13" s="212">
        <v>0</v>
      </c>
      <c r="G13" s="212">
        <v>0</v>
      </c>
      <c r="H13" s="212">
        <v>0</v>
      </c>
      <c r="I13" s="212">
        <v>0</v>
      </c>
      <c r="J13" s="212">
        <f>SUM(F13:I13)</f>
        <v>0</v>
      </c>
      <c r="K13" s="212">
        <v>0</v>
      </c>
      <c r="L13" s="212">
        <v>0</v>
      </c>
      <c r="M13" s="212">
        <v>0</v>
      </c>
      <c r="N13" s="212">
        <v>0</v>
      </c>
      <c r="O13" s="212">
        <f>SUM(K13:N13)</f>
        <v>0</v>
      </c>
      <c r="P13" s="212">
        <v>0</v>
      </c>
      <c r="Q13" s="212">
        <v>0</v>
      </c>
      <c r="R13" s="212">
        <v>0</v>
      </c>
      <c r="S13" s="212">
        <v>0</v>
      </c>
      <c r="T13" s="212">
        <f>SUM(P13:S13)</f>
        <v>0</v>
      </c>
      <c r="U13" s="213">
        <v>0</v>
      </c>
      <c r="V13" s="213">
        <v>0</v>
      </c>
      <c r="W13" s="213">
        <v>0</v>
      </c>
      <c r="X13" s="213">
        <v>0</v>
      </c>
      <c r="Y13" s="213">
        <v>0</v>
      </c>
      <c r="Z13" s="212">
        <f>SUM(U13:Y13)</f>
        <v>0</v>
      </c>
      <c r="AA13" s="180"/>
      <c r="AB13" s="212">
        <v>0</v>
      </c>
      <c r="AC13" s="212">
        <v>0</v>
      </c>
      <c r="AD13" s="212">
        <v>0</v>
      </c>
      <c r="AE13" s="212">
        <v>0</v>
      </c>
      <c r="AF13" s="212">
        <v>0</v>
      </c>
      <c r="AG13" s="212">
        <f>SUM(AC13:AF13)</f>
        <v>0</v>
      </c>
      <c r="AH13" s="212">
        <v>0</v>
      </c>
      <c r="AI13" s="212">
        <v>0</v>
      </c>
      <c r="AJ13" s="212">
        <v>0</v>
      </c>
      <c r="AK13" s="212">
        <v>0</v>
      </c>
      <c r="AL13" s="212">
        <f>SUM(AH13:AK13)</f>
        <v>0</v>
      </c>
      <c r="AM13" s="212">
        <v>0</v>
      </c>
      <c r="AN13" s="212">
        <v>0</v>
      </c>
      <c r="AO13" s="212">
        <v>0</v>
      </c>
      <c r="AP13" s="212">
        <v>0</v>
      </c>
      <c r="AQ13" s="212">
        <f>SUM(AM13:AP13)</f>
        <v>0</v>
      </c>
      <c r="AR13" s="213">
        <v>0</v>
      </c>
      <c r="AS13" s="213">
        <v>0</v>
      </c>
      <c r="AT13" s="213">
        <v>0</v>
      </c>
      <c r="AU13" s="213">
        <v>0</v>
      </c>
      <c r="AV13" s="213">
        <v>0</v>
      </c>
      <c r="AW13" s="212">
        <f>SUM(AR13:AV13)</f>
        <v>0</v>
      </c>
      <c r="AX13" s="180"/>
      <c r="AY13" s="212">
        <v>0</v>
      </c>
      <c r="AZ13" s="212">
        <v>0</v>
      </c>
      <c r="BA13" s="212">
        <v>0</v>
      </c>
      <c r="BB13" s="212">
        <v>0</v>
      </c>
      <c r="BC13" s="212">
        <v>0</v>
      </c>
      <c r="BD13" s="212">
        <f>SUM(AZ13:BC13)</f>
        <v>0</v>
      </c>
      <c r="BE13" s="212">
        <v>0</v>
      </c>
      <c r="BF13" s="212">
        <v>0</v>
      </c>
      <c r="BG13" s="212">
        <v>0</v>
      </c>
      <c r="BH13" s="212">
        <v>0</v>
      </c>
      <c r="BI13" s="212">
        <f>SUM(BE13:BH13)</f>
        <v>0</v>
      </c>
      <c r="BJ13" s="212">
        <v>0</v>
      </c>
      <c r="BK13" s="212">
        <v>0</v>
      </c>
      <c r="BL13" s="212">
        <v>0</v>
      </c>
      <c r="BM13" s="212">
        <v>0</v>
      </c>
      <c r="BN13" s="212">
        <f>SUM(BJ13:BM13)</f>
        <v>0</v>
      </c>
      <c r="BO13" s="213">
        <v>0</v>
      </c>
      <c r="BP13" s="213">
        <v>0</v>
      </c>
      <c r="BQ13" s="213">
        <v>0</v>
      </c>
      <c r="BR13" s="213">
        <v>0</v>
      </c>
      <c r="BS13" s="213">
        <v>0</v>
      </c>
      <c r="BT13" s="214">
        <f>SUM(BO13:BS13)</f>
        <v>0</v>
      </c>
    </row>
    <row r="14" spans="2:72" ht="14.45" hidden="1" customHeight="1" outlineLevel="1">
      <c r="B14" s="196">
        <f t="shared" si="0"/>
        <v>5</v>
      </c>
      <c r="C14" s="184"/>
      <c r="D14" s="207" t="s">
        <v>283</v>
      </c>
      <c r="E14" s="212">
        <v>0</v>
      </c>
      <c r="F14" s="212">
        <v>0</v>
      </c>
      <c r="G14" s="212">
        <v>0</v>
      </c>
      <c r="H14" s="212">
        <v>0</v>
      </c>
      <c r="I14" s="212">
        <v>0</v>
      </c>
      <c r="J14" s="212">
        <f>SUM(F14:I14)</f>
        <v>0</v>
      </c>
      <c r="K14" s="212">
        <v>0</v>
      </c>
      <c r="L14" s="212">
        <v>0</v>
      </c>
      <c r="M14" s="212">
        <v>0</v>
      </c>
      <c r="N14" s="212">
        <v>0</v>
      </c>
      <c r="O14" s="212">
        <f>SUM(K14:N14)</f>
        <v>0</v>
      </c>
      <c r="P14" s="212">
        <v>0</v>
      </c>
      <c r="Q14" s="212">
        <v>0</v>
      </c>
      <c r="R14" s="212">
        <v>0</v>
      </c>
      <c r="S14" s="212">
        <v>0</v>
      </c>
      <c r="T14" s="212">
        <f>SUM(P14:S14)</f>
        <v>0</v>
      </c>
      <c r="U14" s="213">
        <v>0</v>
      </c>
      <c r="V14" s="213">
        <v>0</v>
      </c>
      <c r="W14" s="213">
        <v>0</v>
      </c>
      <c r="X14" s="213">
        <v>0</v>
      </c>
      <c r="Y14" s="213">
        <v>0</v>
      </c>
      <c r="Z14" s="212">
        <f>SUM(U14:Y14)</f>
        <v>0</v>
      </c>
      <c r="AA14" s="180"/>
      <c r="AB14" s="212">
        <v>0</v>
      </c>
      <c r="AC14" s="212">
        <v>0</v>
      </c>
      <c r="AD14" s="212">
        <v>0</v>
      </c>
      <c r="AE14" s="212">
        <v>0</v>
      </c>
      <c r="AF14" s="212">
        <v>0</v>
      </c>
      <c r="AG14" s="212">
        <f>SUM(AC14:AF14)</f>
        <v>0</v>
      </c>
      <c r="AH14" s="212">
        <v>0</v>
      </c>
      <c r="AI14" s="212">
        <v>0</v>
      </c>
      <c r="AJ14" s="212">
        <v>0</v>
      </c>
      <c r="AK14" s="212">
        <v>0</v>
      </c>
      <c r="AL14" s="212">
        <f>SUM(AH14:AK14)</f>
        <v>0</v>
      </c>
      <c r="AM14" s="212">
        <v>0</v>
      </c>
      <c r="AN14" s="212">
        <v>0</v>
      </c>
      <c r="AO14" s="212">
        <v>0</v>
      </c>
      <c r="AP14" s="212">
        <v>0</v>
      </c>
      <c r="AQ14" s="212">
        <f>SUM(AM14:AP14)</f>
        <v>0</v>
      </c>
      <c r="AR14" s="213">
        <v>0</v>
      </c>
      <c r="AS14" s="213">
        <v>0</v>
      </c>
      <c r="AT14" s="213">
        <v>0</v>
      </c>
      <c r="AU14" s="213">
        <v>0</v>
      </c>
      <c r="AV14" s="213">
        <v>0</v>
      </c>
      <c r="AW14" s="212">
        <f>SUM(AR14:AV14)</f>
        <v>0</v>
      </c>
      <c r="AX14" s="180"/>
      <c r="AY14" s="212">
        <v>0</v>
      </c>
      <c r="AZ14" s="212">
        <v>0</v>
      </c>
      <c r="BA14" s="212">
        <v>0</v>
      </c>
      <c r="BB14" s="212">
        <v>0</v>
      </c>
      <c r="BC14" s="212">
        <v>0</v>
      </c>
      <c r="BD14" s="212">
        <f>SUM(AZ14:BC14)</f>
        <v>0</v>
      </c>
      <c r="BE14" s="212">
        <v>0</v>
      </c>
      <c r="BF14" s="212">
        <v>0</v>
      </c>
      <c r="BG14" s="212">
        <v>0</v>
      </c>
      <c r="BH14" s="212">
        <v>0</v>
      </c>
      <c r="BI14" s="212">
        <f>SUM(BE14:BH14)</f>
        <v>0</v>
      </c>
      <c r="BJ14" s="212">
        <v>0</v>
      </c>
      <c r="BK14" s="212">
        <v>0</v>
      </c>
      <c r="BL14" s="212">
        <v>0</v>
      </c>
      <c r="BM14" s="212">
        <v>0</v>
      </c>
      <c r="BN14" s="212">
        <f>SUM(BJ14:BM14)</f>
        <v>0</v>
      </c>
      <c r="BO14" s="213">
        <v>0</v>
      </c>
      <c r="BP14" s="213">
        <v>0</v>
      </c>
      <c r="BQ14" s="213">
        <v>0</v>
      </c>
      <c r="BR14" s="213">
        <v>0</v>
      </c>
      <c r="BS14" s="213">
        <v>0</v>
      </c>
      <c r="BT14" s="214">
        <f>SUM(BO14:BS14)</f>
        <v>0</v>
      </c>
    </row>
    <row r="15" spans="2:72" ht="14.45" hidden="1" customHeight="1" outlineLevel="1">
      <c r="B15" s="196">
        <f>IF(D15&lt;&gt;"",MAX(B13:B14)+1,"")</f>
        <v>6</v>
      </c>
      <c r="C15" s="184"/>
      <c r="D15" s="198" t="s">
        <v>284</v>
      </c>
      <c r="E15" s="215">
        <f>SUM(E12:E14)</f>
        <v>0</v>
      </c>
      <c r="F15" s="215">
        <f t="shared" ref="F15:I15" si="1">SUM(F12:F14)</f>
        <v>0</v>
      </c>
      <c r="G15" s="215">
        <f t="shared" si="1"/>
        <v>0</v>
      </c>
      <c r="H15" s="215">
        <f t="shared" si="1"/>
        <v>0</v>
      </c>
      <c r="I15" s="215">
        <f t="shared" si="1"/>
        <v>0</v>
      </c>
      <c r="J15" s="215">
        <f>SUM(J12:J14)</f>
        <v>0</v>
      </c>
      <c r="K15" s="215">
        <f t="shared" ref="K15:N15" si="2">SUM(K12:K14)</f>
        <v>0</v>
      </c>
      <c r="L15" s="215">
        <f t="shared" si="2"/>
        <v>0</v>
      </c>
      <c r="M15" s="215">
        <f t="shared" si="2"/>
        <v>0</v>
      </c>
      <c r="N15" s="215">
        <f t="shared" si="2"/>
        <v>0</v>
      </c>
      <c r="O15" s="215">
        <f>SUM(O12:O14)</f>
        <v>0</v>
      </c>
      <c r="P15" s="215">
        <f t="shared" ref="P15:S15" si="3">SUM(P12:P14)</f>
        <v>0</v>
      </c>
      <c r="Q15" s="215">
        <f t="shared" si="3"/>
        <v>0</v>
      </c>
      <c r="R15" s="215">
        <f t="shared" si="3"/>
        <v>0</v>
      </c>
      <c r="S15" s="215">
        <f t="shared" si="3"/>
        <v>0</v>
      </c>
      <c r="T15" s="215">
        <f>SUM(T12:T14)</f>
        <v>0</v>
      </c>
      <c r="U15" s="216">
        <f t="shared" ref="U15:Y15" si="4">SUM(U12:U14)</f>
        <v>0</v>
      </c>
      <c r="V15" s="216">
        <f t="shared" si="4"/>
        <v>0</v>
      </c>
      <c r="W15" s="216">
        <f t="shared" si="4"/>
        <v>0</v>
      </c>
      <c r="X15" s="216">
        <f t="shared" si="4"/>
        <v>0</v>
      </c>
      <c r="Y15" s="216">
        <f t="shared" si="4"/>
        <v>0</v>
      </c>
      <c r="Z15" s="215">
        <f>SUM(Z12:Z14)</f>
        <v>0</v>
      </c>
      <c r="AA15" s="180"/>
      <c r="AB15" s="215">
        <f>SUM(AB12:AB14)</f>
        <v>0</v>
      </c>
      <c r="AC15" s="215">
        <f t="shared" ref="AC15:AF15" si="5">SUM(AC12:AC14)</f>
        <v>0</v>
      </c>
      <c r="AD15" s="215">
        <f t="shared" si="5"/>
        <v>0</v>
      </c>
      <c r="AE15" s="215">
        <f t="shared" si="5"/>
        <v>0</v>
      </c>
      <c r="AF15" s="215">
        <f t="shared" si="5"/>
        <v>0</v>
      </c>
      <c r="AG15" s="215">
        <f>SUM(AG12:AG14)</f>
        <v>0</v>
      </c>
      <c r="AH15" s="215">
        <f t="shared" ref="AH15:AK15" si="6">SUM(AH12:AH14)</f>
        <v>0</v>
      </c>
      <c r="AI15" s="215">
        <f t="shared" si="6"/>
        <v>0</v>
      </c>
      <c r="AJ15" s="215">
        <f t="shared" si="6"/>
        <v>0</v>
      </c>
      <c r="AK15" s="215">
        <f t="shared" si="6"/>
        <v>0</v>
      </c>
      <c r="AL15" s="215">
        <f>SUM(AL12:AL14)</f>
        <v>0</v>
      </c>
      <c r="AM15" s="215">
        <f t="shared" ref="AM15:AP15" si="7">SUM(AM12:AM14)</f>
        <v>0</v>
      </c>
      <c r="AN15" s="215">
        <f t="shared" si="7"/>
        <v>0</v>
      </c>
      <c r="AO15" s="215">
        <f t="shared" si="7"/>
        <v>0</v>
      </c>
      <c r="AP15" s="215">
        <f t="shared" si="7"/>
        <v>0</v>
      </c>
      <c r="AQ15" s="215">
        <f>SUM(AQ12:AQ14)</f>
        <v>0</v>
      </c>
      <c r="AR15" s="216">
        <f t="shared" ref="AR15:AV15" si="8">SUM(AR12:AR14)</f>
        <v>0</v>
      </c>
      <c r="AS15" s="216">
        <f t="shared" si="8"/>
        <v>0</v>
      </c>
      <c r="AT15" s="216">
        <f t="shared" si="8"/>
        <v>0</v>
      </c>
      <c r="AU15" s="216">
        <f t="shared" si="8"/>
        <v>0</v>
      </c>
      <c r="AV15" s="216">
        <f t="shared" si="8"/>
        <v>0</v>
      </c>
      <c r="AW15" s="215">
        <f>SUM(AW12:AW14)</f>
        <v>0</v>
      </c>
      <c r="AX15" s="180"/>
      <c r="AY15" s="215">
        <f>SUM(AY12:AY14)</f>
        <v>0</v>
      </c>
      <c r="AZ15" s="215">
        <f t="shared" ref="AZ15:BC15" si="9">SUM(AZ12:AZ14)</f>
        <v>0</v>
      </c>
      <c r="BA15" s="215">
        <f t="shared" si="9"/>
        <v>0</v>
      </c>
      <c r="BB15" s="215">
        <f t="shared" si="9"/>
        <v>0</v>
      </c>
      <c r="BC15" s="215">
        <f t="shared" si="9"/>
        <v>0</v>
      </c>
      <c r="BD15" s="215">
        <f>SUM(BD12:BD14)</f>
        <v>0</v>
      </c>
      <c r="BE15" s="215">
        <f t="shared" ref="BE15:BH15" si="10">SUM(BE12:BE14)</f>
        <v>0</v>
      </c>
      <c r="BF15" s="215">
        <f t="shared" si="10"/>
        <v>0</v>
      </c>
      <c r="BG15" s="215">
        <f t="shared" si="10"/>
        <v>0</v>
      </c>
      <c r="BH15" s="215">
        <f t="shared" si="10"/>
        <v>0</v>
      </c>
      <c r="BI15" s="215">
        <f>SUM(BI12:BI14)</f>
        <v>0</v>
      </c>
      <c r="BJ15" s="215">
        <f t="shared" ref="BJ15:BM15" si="11">SUM(BJ12:BJ14)</f>
        <v>0</v>
      </c>
      <c r="BK15" s="215">
        <f t="shared" si="11"/>
        <v>0</v>
      </c>
      <c r="BL15" s="215">
        <f t="shared" si="11"/>
        <v>0</v>
      </c>
      <c r="BM15" s="215">
        <f t="shared" si="11"/>
        <v>0</v>
      </c>
      <c r="BN15" s="215">
        <f>SUM(BN12:BN14)</f>
        <v>0</v>
      </c>
      <c r="BO15" s="216">
        <f t="shared" ref="BO15:BS15" si="12">SUM(BO12:BO14)</f>
        <v>0</v>
      </c>
      <c r="BP15" s="216">
        <f t="shared" si="12"/>
        <v>0</v>
      </c>
      <c r="BQ15" s="216">
        <f t="shared" si="12"/>
        <v>0</v>
      </c>
      <c r="BR15" s="216">
        <f t="shared" si="12"/>
        <v>0</v>
      </c>
      <c r="BS15" s="216">
        <f t="shared" si="12"/>
        <v>0</v>
      </c>
      <c r="BT15" s="217">
        <f>SUM(BT12:BT14)</f>
        <v>0</v>
      </c>
    </row>
    <row r="16" spans="2:72" ht="14.45" hidden="1" customHeight="1" outlineLevel="1">
      <c r="B16" s="196">
        <f>IF(D16&lt;&gt;"",MAX(B14:B15)+1,"")</f>
        <v>7</v>
      </c>
      <c r="C16" s="184"/>
      <c r="D16" s="207" t="s">
        <v>285</v>
      </c>
      <c r="E16" s="212">
        <v>0</v>
      </c>
      <c r="F16" s="212">
        <v>0</v>
      </c>
      <c r="G16" s="212">
        <v>0</v>
      </c>
      <c r="H16" s="212">
        <v>0</v>
      </c>
      <c r="I16" s="212">
        <v>0</v>
      </c>
      <c r="J16" s="212">
        <f>SUM(F16:I16)</f>
        <v>0</v>
      </c>
      <c r="K16" s="212">
        <v>0</v>
      </c>
      <c r="L16" s="212">
        <v>0</v>
      </c>
      <c r="M16" s="212">
        <v>0</v>
      </c>
      <c r="N16" s="212">
        <v>0</v>
      </c>
      <c r="O16" s="212">
        <f>SUM(K16:N16)</f>
        <v>0</v>
      </c>
      <c r="P16" s="212">
        <v>0</v>
      </c>
      <c r="Q16" s="212">
        <v>0</v>
      </c>
      <c r="R16" s="212">
        <v>0</v>
      </c>
      <c r="S16" s="212">
        <v>0</v>
      </c>
      <c r="T16" s="212">
        <f>SUM(P16:S16)</f>
        <v>0</v>
      </c>
      <c r="U16" s="213">
        <v>0</v>
      </c>
      <c r="V16" s="213">
        <v>0</v>
      </c>
      <c r="W16" s="213">
        <v>0</v>
      </c>
      <c r="X16" s="213">
        <v>0</v>
      </c>
      <c r="Y16" s="213">
        <v>0</v>
      </c>
      <c r="Z16" s="212">
        <f>SUM(U16:Y16)</f>
        <v>0</v>
      </c>
      <c r="AA16" s="180"/>
      <c r="AB16" s="212">
        <v>0</v>
      </c>
      <c r="AC16" s="212">
        <v>0</v>
      </c>
      <c r="AD16" s="212">
        <v>0</v>
      </c>
      <c r="AE16" s="212">
        <v>0</v>
      </c>
      <c r="AF16" s="212">
        <v>0</v>
      </c>
      <c r="AG16" s="212">
        <f>SUM(AC16:AF16)</f>
        <v>0</v>
      </c>
      <c r="AH16" s="212">
        <v>0</v>
      </c>
      <c r="AI16" s="212">
        <v>0</v>
      </c>
      <c r="AJ16" s="212">
        <v>0</v>
      </c>
      <c r="AK16" s="212">
        <v>0</v>
      </c>
      <c r="AL16" s="212">
        <f>SUM(AH16:AK16)</f>
        <v>0</v>
      </c>
      <c r="AM16" s="212">
        <v>0</v>
      </c>
      <c r="AN16" s="212">
        <v>0</v>
      </c>
      <c r="AO16" s="212">
        <v>0</v>
      </c>
      <c r="AP16" s="212">
        <v>0</v>
      </c>
      <c r="AQ16" s="212">
        <f>SUM(AM16:AP16)</f>
        <v>0</v>
      </c>
      <c r="AR16" s="213">
        <v>0</v>
      </c>
      <c r="AS16" s="213">
        <v>0</v>
      </c>
      <c r="AT16" s="213">
        <v>0</v>
      </c>
      <c r="AU16" s="213">
        <v>0</v>
      </c>
      <c r="AV16" s="213">
        <v>0</v>
      </c>
      <c r="AW16" s="212">
        <f>SUM(AR16:AV16)</f>
        <v>0</v>
      </c>
      <c r="AX16" s="180"/>
      <c r="AY16" s="212">
        <v>0</v>
      </c>
      <c r="AZ16" s="212">
        <v>0</v>
      </c>
      <c r="BA16" s="212">
        <v>0</v>
      </c>
      <c r="BB16" s="212">
        <v>0</v>
      </c>
      <c r="BC16" s="212">
        <v>0</v>
      </c>
      <c r="BD16" s="212">
        <f>SUM(AZ16:BC16)</f>
        <v>0</v>
      </c>
      <c r="BE16" s="212">
        <v>0</v>
      </c>
      <c r="BF16" s="212">
        <v>0</v>
      </c>
      <c r="BG16" s="212">
        <v>0</v>
      </c>
      <c r="BH16" s="212">
        <v>0</v>
      </c>
      <c r="BI16" s="212">
        <f>SUM(BE16:BH16)</f>
        <v>0</v>
      </c>
      <c r="BJ16" s="212">
        <v>0</v>
      </c>
      <c r="BK16" s="212">
        <v>0</v>
      </c>
      <c r="BL16" s="212">
        <v>0</v>
      </c>
      <c r="BM16" s="212">
        <v>0</v>
      </c>
      <c r="BN16" s="212">
        <f>SUM(BJ16:BM16)</f>
        <v>0</v>
      </c>
      <c r="BO16" s="213">
        <v>0</v>
      </c>
      <c r="BP16" s="213">
        <v>0</v>
      </c>
      <c r="BQ16" s="213">
        <v>0</v>
      </c>
      <c r="BR16" s="213">
        <v>0</v>
      </c>
      <c r="BS16" s="213">
        <v>0</v>
      </c>
      <c r="BT16" s="214">
        <f>SUM(BO16:BS16)</f>
        <v>0</v>
      </c>
    </row>
    <row r="17" spans="2:72" ht="14.45" hidden="1" customHeight="1" outlineLevel="1">
      <c r="B17" s="196">
        <f>IF(D17&lt;&gt;"",MAX(B15:B16)+1,"")</f>
        <v>8</v>
      </c>
      <c r="C17" s="184"/>
      <c r="D17" s="207" t="s">
        <v>286</v>
      </c>
      <c r="E17" s="212">
        <v>0</v>
      </c>
      <c r="F17" s="212">
        <v>0</v>
      </c>
      <c r="G17" s="212">
        <v>0</v>
      </c>
      <c r="H17" s="212">
        <v>0</v>
      </c>
      <c r="I17" s="212">
        <v>0</v>
      </c>
      <c r="J17" s="212">
        <f>SUM(F17:I17)</f>
        <v>0</v>
      </c>
      <c r="K17" s="212">
        <v>0</v>
      </c>
      <c r="L17" s="212">
        <v>0</v>
      </c>
      <c r="M17" s="212">
        <v>0</v>
      </c>
      <c r="N17" s="212">
        <v>0</v>
      </c>
      <c r="O17" s="212">
        <f>SUM(K17:N17)</f>
        <v>0</v>
      </c>
      <c r="P17" s="212">
        <v>0</v>
      </c>
      <c r="Q17" s="212">
        <v>0</v>
      </c>
      <c r="R17" s="212">
        <v>0</v>
      </c>
      <c r="S17" s="212">
        <v>0</v>
      </c>
      <c r="T17" s="212">
        <f>SUM(P17:S17)</f>
        <v>0</v>
      </c>
      <c r="U17" s="213">
        <v>0</v>
      </c>
      <c r="V17" s="213">
        <v>0</v>
      </c>
      <c r="W17" s="213">
        <v>0</v>
      </c>
      <c r="X17" s="213">
        <v>0</v>
      </c>
      <c r="Y17" s="213">
        <v>0</v>
      </c>
      <c r="Z17" s="212">
        <f>SUM(U17:Y17)</f>
        <v>0</v>
      </c>
      <c r="AA17" s="180"/>
      <c r="AB17" s="212">
        <v>0</v>
      </c>
      <c r="AC17" s="212">
        <v>0</v>
      </c>
      <c r="AD17" s="212">
        <v>0</v>
      </c>
      <c r="AE17" s="212">
        <v>0</v>
      </c>
      <c r="AF17" s="212">
        <v>0</v>
      </c>
      <c r="AG17" s="212">
        <f>SUM(AC17:AF17)</f>
        <v>0</v>
      </c>
      <c r="AH17" s="212">
        <v>0</v>
      </c>
      <c r="AI17" s="212">
        <v>0</v>
      </c>
      <c r="AJ17" s="212">
        <v>0</v>
      </c>
      <c r="AK17" s="212">
        <v>0</v>
      </c>
      <c r="AL17" s="212">
        <f>SUM(AH17:AK17)</f>
        <v>0</v>
      </c>
      <c r="AM17" s="212">
        <v>0</v>
      </c>
      <c r="AN17" s="212">
        <v>0</v>
      </c>
      <c r="AO17" s="212">
        <v>0</v>
      </c>
      <c r="AP17" s="212">
        <v>0</v>
      </c>
      <c r="AQ17" s="212">
        <f>SUM(AM17:AP17)</f>
        <v>0</v>
      </c>
      <c r="AR17" s="213">
        <v>0</v>
      </c>
      <c r="AS17" s="213">
        <v>0</v>
      </c>
      <c r="AT17" s="213">
        <v>0</v>
      </c>
      <c r="AU17" s="213">
        <v>0</v>
      </c>
      <c r="AV17" s="213">
        <v>0</v>
      </c>
      <c r="AW17" s="212">
        <f>SUM(AR17:AV17)</f>
        <v>0</v>
      </c>
      <c r="AX17" s="180"/>
      <c r="AY17" s="212">
        <v>0</v>
      </c>
      <c r="AZ17" s="212">
        <v>0</v>
      </c>
      <c r="BA17" s="212">
        <v>0</v>
      </c>
      <c r="BB17" s="212">
        <v>0</v>
      </c>
      <c r="BC17" s="212">
        <v>0</v>
      </c>
      <c r="BD17" s="212">
        <f>SUM(AZ17:BC17)</f>
        <v>0</v>
      </c>
      <c r="BE17" s="212">
        <v>0</v>
      </c>
      <c r="BF17" s="212">
        <v>0</v>
      </c>
      <c r="BG17" s="212">
        <v>0</v>
      </c>
      <c r="BH17" s="212">
        <v>0</v>
      </c>
      <c r="BI17" s="212">
        <f>SUM(BE17:BH17)</f>
        <v>0</v>
      </c>
      <c r="BJ17" s="212">
        <v>0</v>
      </c>
      <c r="BK17" s="212">
        <v>0</v>
      </c>
      <c r="BL17" s="212">
        <v>0</v>
      </c>
      <c r="BM17" s="212">
        <v>0</v>
      </c>
      <c r="BN17" s="212">
        <f>SUM(BJ17:BM17)</f>
        <v>0</v>
      </c>
      <c r="BO17" s="213">
        <v>0</v>
      </c>
      <c r="BP17" s="213">
        <v>0</v>
      </c>
      <c r="BQ17" s="213">
        <v>0</v>
      </c>
      <c r="BR17" s="213">
        <v>0</v>
      </c>
      <c r="BS17" s="213">
        <v>0</v>
      </c>
      <c r="BT17" s="214">
        <f>SUM(BO17:BS17)</f>
        <v>0</v>
      </c>
    </row>
    <row r="18" spans="2:72" ht="14.45" hidden="1" customHeight="1" outlineLevel="1">
      <c r="B18" s="196">
        <f t="shared" si="0"/>
        <v>9</v>
      </c>
      <c r="C18" s="184"/>
      <c r="D18" s="198" t="s">
        <v>287</v>
      </c>
      <c r="E18" s="215">
        <f>E15+SUM(E16:E17)</f>
        <v>0</v>
      </c>
      <c r="F18" s="215">
        <f t="shared" ref="F18:Z18" si="13">F15+SUM(F16:F17)</f>
        <v>0</v>
      </c>
      <c r="G18" s="215">
        <f t="shared" si="13"/>
        <v>0</v>
      </c>
      <c r="H18" s="215">
        <f t="shared" si="13"/>
        <v>0</v>
      </c>
      <c r="I18" s="215">
        <f t="shared" si="13"/>
        <v>0</v>
      </c>
      <c r="J18" s="215">
        <f t="shared" si="13"/>
        <v>0</v>
      </c>
      <c r="K18" s="215">
        <f t="shared" si="13"/>
        <v>0</v>
      </c>
      <c r="L18" s="215">
        <f t="shared" si="13"/>
        <v>0</v>
      </c>
      <c r="M18" s="215">
        <f t="shared" si="13"/>
        <v>0</v>
      </c>
      <c r="N18" s="215">
        <f t="shared" si="13"/>
        <v>0</v>
      </c>
      <c r="O18" s="215">
        <f t="shared" si="13"/>
        <v>0</v>
      </c>
      <c r="P18" s="215">
        <f t="shared" si="13"/>
        <v>0</v>
      </c>
      <c r="Q18" s="215">
        <f t="shared" si="13"/>
        <v>0</v>
      </c>
      <c r="R18" s="215">
        <f t="shared" si="13"/>
        <v>0</v>
      </c>
      <c r="S18" s="215">
        <f t="shared" si="13"/>
        <v>0</v>
      </c>
      <c r="T18" s="215">
        <f t="shared" si="13"/>
        <v>0</v>
      </c>
      <c r="U18" s="216">
        <f t="shared" si="13"/>
        <v>0</v>
      </c>
      <c r="V18" s="216">
        <f t="shared" si="13"/>
        <v>0</v>
      </c>
      <c r="W18" s="216">
        <f t="shared" si="13"/>
        <v>0</v>
      </c>
      <c r="X18" s="216">
        <f t="shared" si="13"/>
        <v>0</v>
      </c>
      <c r="Y18" s="216">
        <f t="shared" ref="Y18" si="14">Y15+SUM(Y16:Y17)</f>
        <v>0</v>
      </c>
      <c r="Z18" s="215">
        <f t="shared" si="13"/>
        <v>0</v>
      </c>
      <c r="AA18" s="180"/>
      <c r="AB18" s="215">
        <f>AB15+SUM(AB16:AB17)</f>
        <v>0</v>
      </c>
      <c r="AC18" s="215">
        <f t="shared" ref="AC18:AW18" si="15">AC15+SUM(AC16:AC17)</f>
        <v>0</v>
      </c>
      <c r="AD18" s="215">
        <f t="shared" si="15"/>
        <v>0</v>
      </c>
      <c r="AE18" s="215">
        <f t="shared" si="15"/>
        <v>0</v>
      </c>
      <c r="AF18" s="215">
        <f t="shared" si="15"/>
        <v>0</v>
      </c>
      <c r="AG18" s="215">
        <f t="shared" si="15"/>
        <v>0</v>
      </c>
      <c r="AH18" s="215">
        <f t="shared" si="15"/>
        <v>0</v>
      </c>
      <c r="AI18" s="215">
        <f t="shared" si="15"/>
        <v>0</v>
      </c>
      <c r="AJ18" s="215">
        <f t="shared" si="15"/>
        <v>0</v>
      </c>
      <c r="AK18" s="215">
        <f t="shared" si="15"/>
        <v>0</v>
      </c>
      <c r="AL18" s="215">
        <f t="shared" si="15"/>
        <v>0</v>
      </c>
      <c r="AM18" s="215">
        <f t="shared" si="15"/>
        <v>0</v>
      </c>
      <c r="AN18" s="215">
        <f t="shared" si="15"/>
        <v>0</v>
      </c>
      <c r="AO18" s="215">
        <f t="shared" si="15"/>
        <v>0</v>
      </c>
      <c r="AP18" s="215">
        <f t="shared" si="15"/>
        <v>0</v>
      </c>
      <c r="AQ18" s="215">
        <f t="shared" si="15"/>
        <v>0</v>
      </c>
      <c r="AR18" s="216">
        <f t="shared" si="15"/>
        <v>0</v>
      </c>
      <c r="AS18" s="216">
        <f t="shared" si="15"/>
        <v>0</v>
      </c>
      <c r="AT18" s="216">
        <f t="shared" si="15"/>
        <v>0</v>
      </c>
      <c r="AU18" s="216">
        <f t="shared" si="15"/>
        <v>0</v>
      </c>
      <c r="AV18" s="216">
        <f t="shared" si="15"/>
        <v>0</v>
      </c>
      <c r="AW18" s="215">
        <f t="shared" si="15"/>
        <v>0</v>
      </c>
      <c r="AX18" s="180"/>
      <c r="AY18" s="215">
        <f>AY15+SUM(AY16:AY17)</f>
        <v>0</v>
      </c>
      <c r="AZ18" s="215">
        <f t="shared" ref="AZ18:BT18" si="16">AZ15+SUM(AZ16:AZ17)</f>
        <v>0</v>
      </c>
      <c r="BA18" s="215">
        <f t="shared" si="16"/>
        <v>0</v>
      </c>
      <c r="BB18" s="215">
        <f t="shared" si="16"/>
        <v>0</v>
      </c>
      <c r="BC18" s="215">
        <f t="shared" si="16"/>
        <v>0</v>
      </c>
      <c r="BD18" s="215">
        <f t="shared" si="16"/>
        <v>0</v>
      </c>
      <c r="BE18" s="215">
        <f t="shared" si="16"/>
        <v>0</v>
      </c>
      <c r="BF18" s="215">
        <f t="shared" si="16"/>
        <v>0</v>
      </c>
      <c r="BG18" s="215">
        <f t="shared" si="16"/>
        <v>0</v>
      </c>
      <c r="BH18" s="215">
        <f t="shared" si="16"/>
        <v>0</v>
      </c>
      <c r="BI18" s="215">
        <f t="shared" si="16"/>
        <v>0</v>
      </c>
      <c r="BJ18" s="215">
        <f t="shared" si="16"/>
        <v>0</v>
      </c>
      <c r="BK18" s="215">
        <f t="shared" si="16"/>
        <v>0</v>
      </c>
      <c r="BL18" s="215">
        <f t="shared" si="16"/>
        <v>0</v>
      </c>
      <c r="BM18" s="215">
        <f t="shared" si="16"/>
        <v>0</v>
      </c>
      <c r="BN18" s="215">
        <f t="shared" si="16"/>
        <v>0</v>
      </c>
      <c r="BO18" s="216">
        <f t="shared" si="16"/>
        <v>0</v>
      </c>
      <c r="BP18" s="216">
        <f t="shared" si="16"/>
        <v>0</v>
      </c>
      <c r="BQ18" s="216">
        <f t="shared" si="16"/>
        <v>0</v>
      </c>
      <c r="BR18" s="216">
        <f t="shared" si="16"/>
        <v>0</v>
      </c>
      <c r="BS18" s="216">
        <f t="shared" si="16"/>
        <v>0</v>
      </c>
      <c r="BT18" s="217">
        <f t="shared" si="16"/>
        <v>0</v>
      </c>
    </row>
    <row r="19" spans="2:72" ht="14.45" hidden="1" customHeight="1" outlineLevel="1">
      <c r="B19" s="196">
        <f t="shared" si="0"/>
        <v>10</v>
      </c>
      <c r="C19" s="184"/>
      <c r="D19" s="207" t="s">
        <v>288</v>
      </c>
      <c r="E19" s="212">
        <v>0</v>
      </c>
      <c r="F19" s="212">
        <v>0</v>
      </c>
      <c r="G19" s="212">
        <v>0</v>
      </c>
      <c r="H19" s="212">
        <v>0</v>
      </c>
      <c r="I19" s="212">
        <v>0</v>
      </c>
      <c r="J19" s="212">
        <f>SUM(F19:I19)</f>
        <v>0</v>
      </c>
      <c r="K19" s="212">
        <v>0</v>
      </c>
      <c r="L19" s="212">
        <v>0</v>
      </c>
      <c r="M19" s="212">
        <v>0</v>
      </c>
      <c r="N19" s="212">
        <v>0</v>
      </c>
      <c r="O19" s="212">
        <f>SUM(K19:N19)</f>
        <v>0</v>
      </c>
      <c r="P19" s="212">
        <v>0</v>
      </c>
      <c r="Q19" s="212">
        <v>0</v>
      </c>
      <c r="R19" s="212">
        <v>0</v>
      </c>
      <c r="S19" s="212">
        <v>0</v>
      </c>
      <c r="T19" s="212">
        <f>SUM(P19:S19)</f>
        <v>0</v>
      </c>
      <c r="U19" s="213">
        <v>0</v>
      </c>
      <c r="V19" s="213">
        <v>0</v>
      </c>
      <c r="W19" s="213">
        <v>0</v>
      </c>
      <c r="X19" s="213">
        <v>0</v>
      </c>
      <c r="Y19" s="213">
        <v>0</v>
      </c>
      <c r="Z19" s="212">
        <f>SUM(U19:Y19)</f>
        <v>0</v>
      </c>
      <c r="AA19" s="180"/>
      <c r="AB19" s="212">
        <v>0</v>
      </c>
      <c r="AC19" s="212">
        <v>0</v>
      </c>
      <c r="AD19" s="212">
        <v>0</v>
      </c>
      <c r="AE19" s="212">
        <v>0</v>
      </c>
      <c r="AF19" s="212">
        <v>0</v>
      </c>
      <c r="AG19" s="212">
        <f>SUM(AC19:AF19)</f>
        <v>0</v>
      </c>
      <c r="AH19" s="212">
        <v>0</v>
      </c>
      <c r="AI19" s="212">
        <v>0</v>
      </c>
      <c r="AJ19" s="212">
        <v>0</v>
      </c>
      <c r="AK19" s="212">
        <v>0</v>
      </c>
      <c r="AL19" s="212">
        <f>SUM(AH19:AK19)</f>
        <v>0</v>
      </c>
      <c r="AM19" s="212">
        <v>0</v>
      </c>
      <c r="AN19" s="212">
        <v>0</v>
      </c>
      <c r="AO19" s="212">
        <v>0</v>
      </c>
      <c r="AP19" s="212">
        <v>0</v>
      </c>
      <c r="AQ19" s="212">
        <f>SUM(AM19:AP19)</f>
        <v>0</v>
      </c>
      <c r="AR19" s="213">
        <v>0</v>
      </c>
      <c r="AS19" s="213">
        <v>0</v>
      </c>
      <c r="AT19" s="213">
        <v>0</v>
      </c>
      <c r="AU19" s="213">
        <v>0</v>
      </c>
      <c r="AV19" s="213">
        <v>0</v>
      </c>
      <c r="AW19" s="212">
        <f>SUM(AR19:AV19)</f>
        <v>0</v>
      </c>
      <c r="AX19" s="180"/>
      <c r="AY19" s="212">
        <v>0</v>
      </c>
      <c r="AZ19" s="212">
        <v>0</v>
      </c>
      <c r="BA19" s="212">
        <v>0</v>
      </c>
      <c r="BB19" s="212">
        <v>0</v>
      </c>
      <c r="BC19" s="212">
        <v>0</v>
      </c>
      <c r="BD19" s="212">
        <f>SUM(AZ19:BC19)</f>
        <v>0</v>
      </c>
      <c r="BE19" s="212">
        <v>0</v>
      </c>
      <c r="BF19" s="212">
        <v>0</v>
      </c>
      <c r="BG19" s="212">
        <v>0</v>
      </c>
      <c r="BH19" s="212">
        <v>0</v>
      </c>
      <c r="BI19" s="212">
        <f>SUM(BE19:BH19)</f>
        <v>0</v>
      </c>
      <c r="BJ19" s="212">
        <v>0</v>
      </c>
      <c r="BK19" s="212">
        <v>0</v>
      </c>
      <c r="BL19" s="212">
        <v>0</v>
      </c>
      <c r="BM19" s="212">
        <v>0</v>
      </c>
      <c r="BN19" s="212">
        <f>SUM(BJ19:BM19)</f>
        <v>0</v>
      </c>
      <c r="BO19" s="213">
        <v>0</v>
      </c>
      <c r="BP19" s="213">
        <v>0</v>
      </c>
      <c r="BQ19" s="213">
        <v>0</v>
      </c>
      <c r="BR19" s="213">
        <v>0</v>
      </c>
      <c r="BS19" s="213">
        <v>0</v>
      </c>
      <c r="BT19" s="214">
        <f>SUM(BO19:BS19)</f>
        <v>0</v>
      </c>
    </row>
    <row r="20" spans="2:72" ht="14.45" hidden="1" customHeight="1" outlineLevel="1">
      <c r="B20" s="196">
        <f t="shared" si="0"/>
        <v>11</v>
      </c>
      <c r="C20" s="184"/>
      <c r="D20" s="207" t="s">
        <v>289</v>
      </c>
      <c r="E20" s="212">
        <v>0</v>
      </c>
      <c r="F20" s="212">
        <v>0</v>
      </c>
      <c r="G20" s="212">
        <v>0</v>
      </c>
      <c r="H20" s="212">
        <v>0</v>
      </c>
      <c r="I20" s="212">
        <v>0</v>
      </c>
      <c r="J20" s="212">
        <f>SUM(F20:I20)</f>
        <v>0</v>
      </c>
      <c r="K20" s="212">
        <v>0</v>
      </c>
      <c r="L20" s="212">
        <v>0</v>
      </c>
      <c r="M20" s="212">
        <v>0</v>
      </c>
      <c r="N20" s="212">
        <v>0</v>
      </c>
      <c r="O20" s="212">
        <f>SUM(K20:N20)</f>
        <v>0</v>
      </c>
      <c r="P20" s="212">
        <v>0</v>
      </c>
      <c r="Q20" s="212">
        <v>0</v>
      </c>
      <c r="R20" s="212">
        <v>0</v>
      </c>
      <c r="S20" s="212">
        <v>0</v>
      </c>
      <c r="T20" s="212">
        <f>SUM(P20:S20)</f>
        <v>0</v>
      </c>
      <c r="U20" s="213">
        <v>0</v>
      </c>
      <c r="V20" s="213">
        <v>0</v>
      </c>
      <c r="W20" s="213">
        <v>0</v>
      </c>
      <c r="X20" s="213">
        <v>0</v>
      </c>
      <c r="Y20" s="213">
        <v>0</v>
      </c>
      <c r="Z20" s="212">
        <f>SUM(U20:Y20)</f>
        <v>0</v>
      </c>
      <c r="AA20" s="180"/>
      <c r="AB20" s="212">
        <v>0</v>
      </c>
      <c r="AC20" s="212">
        <v>0</v>
      </c>
      <c r="AD20" s="212">
        <v>0</v>
      </c>
      <c r="AE20" s="212">
        <v>0</v>
      </c>
      <c r="AF20" s="212">
        <v>0</v>
      </c>
      <c r="AG20" s="212">
        <f>SUM(AC20:AF20)</f>
        <v>0</v>
      </c>
      <c r="AH20" s="212">
        <v>0</v>
      </c>
      <c r="AI20" s="212">
        <v>0</v>
      </c>
      <c r="AJ20" s="212">
        <v>0</v>
      </c>
      <c r="AK20" s="212">
        <v>0</v>
      </c>
      <c r="AL20" s="212">
        <f>SUM(AH20:AK20)</f>
        <v>0</v>
      </c>
      <c r="AM20" s="212">
        <v>0</v>
      </c>
      <c r="AN20" s="212">
        <v>0</v>
      </c>
      <c r="AO20" s="212">
        <v>0</v>
      </c>
      <c r="AP20" s="212">
        <v>0</v>
      </c>
      <c r="AQ20" s="212">
        <f>SUM(AM20:AP20)</f>
        <v>0</v>
      </c>
      <c r="AR20" s="213">
        <v>0</v>
      </c>
      <c r="AS20" s="213">
        <v>0</v>
      </c>
      <c r="AT20" s="213">
        <v>0</v>
      </c>
      <c r="AU20" s="213">
        <v>0</v>
      </c>
      <c r="AV20" s="213">
        <v>0</v>
      </c>
      <c r="AW20" s="212">
        <f>SUM(AR20:AV20)</f>
        <v>0</v>
      </c>
      <c r="AX20" s="180"/>
      <c r="AY20" s="212">
        <v>0</v>
      </c>
      <c r="AZ20" s="212">
        <v>0</v>
      </c>
      <c r="BA20" s="212">
        <v>0</v>
      </c>
      <c r="BB20" s="212">
        <v>0</v>
      </c>
      <c r="BC20" s="212">
        <v>0</v>
      </c>
      <c r="BD20" s="212">
        <f>SUM(AZ20:BC20)</f>
        <v>0</v>
      </c>
      <c r="BE20" s="212">
        <v>0</v>
      </c>
      <c r="BF20" s="212">
        <v>0</v>
      </c>
      <c r="BG20" s="212">
        <v>0</v>
      </c>
      <c r="BH20" s="212">
        <v>0</v>
      </c>
      <c r="BI20" s="212">
        <f>SUM(BE20:BH20)</f>
        <v>0</v>
      </c>
      <c r="BJ20" s="212">
        <v>0</v>
      </c>
      <c r="BK20" s="212">
        <v>0</v>
      </c>
      <c r="BL20" s="212">
        <v>0</v>
      </c>
      <c r="BM20" s="212">
        <v>0</v>
      </c>
      <c r="BN20" s="212">
        <f>SUM(BJ20:BM20)</f>
        <v>0</v>
      </c>
      <c r="BO20" s="213">
        <v>0</v>
      </c>
      <c r="BP20" s="213">
        <v>0</v>
      </c>
      <c r="BQ20" s="213">
        <v>0</v>
      </c>
      <c r="BR20" s="213">
        <v>0</v>
      </c>
      <c r="BS20" s="213">
        <v>0</v>
      </c>
      <c r="BT20" s="214">
        <f>SUM(BO20:BS20)</f>
        <v>0</v>
      </c>
    </row>
    <row r="21" spans="2:72" ht="15" hidden="1" customHeight="1" outlineLevel="1">
      <c r="B21" s="196">
        <f>IF(D21&lt;&gt;"",MAX(B19:B20)+1,"")</f>
        <v>12</v>
      </c>
      <c r="C21" s="184"/>
      <c r="D21" s="198" t="s">
        <v>290</v>
      </c>
      <c r="E21" s="218">
        <f>E18+SUM(E19:E20)</f>
        <v>0</v>
      </c>
      <c r="F21" s="218">
        <f t="shared" ref="F21:Z21" si="17">F18+SUM(F19:F20)</f>
        <v>0</v>
      </c>
      <c r="G21" s="218">
        <f t="shared" si="17"/>
        <v>0</v>
      </c>
      <c r="H21" s="218">
        <f t="shared" si="17"/>
        <v>0</v>
      </c>
      <c r="I21" s="218">
        <f t="shared" si="17"/>
        <v>0</v>
      </c>
      <c r="J21" s="218">
        <f t="shared" si="17"/>
        <v>0</v>
      </c>
      <c r="K21" s="218">
        <f t="shared" si="17"/>
        <v>0</v>
      </c>
      <c r="L21" s="218">
        <f t="shared" si="17"/>
        <v>0</v>
      </c>
      <c r="M21" s="218">
        <f t="shared" si="17"/>
        <v>0</v>
      </c>
      <c r="N21" s="218">
        <f t="shared" si="17"/>
        <v>0</v>
      </c>
      <c r="O21" s="218">
        <f t="shared" si="17"/>
        <v>0</v>
      </c>
      <c r="P21" s="218">
        <f t="shared" si="17"/>
        <v>0</v>
      </c>
      <c r="Q21" s="218">
        <f t="shared" si="17"/>
        <v>0</v>
      </c>
      <c r="R21" s="218">
        <f t="shared" si="17"/>
        <v>0</v>
      </c>
      <c r="S21" s="218">
        <f t="shared" si="17"/>
        <v>0</v>
      </c>
      <c r="T21" s="218">
        <f t="shared" si="17"/>
        <v>0</v>
      </c>
      <c r="U21" s="219">
        <f t="shared" si="17"/>
        <v>0</v>
      </c>
      <c r="V21" s="219">
        <f t="shared" si="17"/>
        <v>0</v>
      </c>
      <c r="W21" s="219">
        <f t="shared" si="17"/>
        <v>0</v>
      </c>
      <c r="X21" s="219">
        <f t="shared" si="17"/>
        <v>0</v>
      </c>
      <c r="Y21" s="219">
        <f t="shared" ref="Y21" si="18">Y18+SUM(Y19:Y20)</f>
        <v>0</v>
      </c>
      <c r="Z21" s="218">
        <f t="shared" si="17"/>
        <v>0</v>
      </c>
      <c r="AA21" s="180"/>
      <c r="AB21" s="218">
        <f>AB18+SUM(AB19:AB20)</f>
        <v>0</v>
      </c>
      <c r="AC21" s="218">
        <f t="shared" ref="AC21:AW21" si="19">AC18+SUM(AC19:AC20)</f>
        <v>0</v>
      </c>
      <c r="AD21" s="218">
        <f t="shared" si="19"/>
        <v>0</v>
      </c>
      <c r="AE21" s="218">
        <f t="shared" si="19"/>
        <v>0</v>
      </c>
      <c r="AF21" s="218">
        <f t="shared" si="19"/>
        <v>0</v>
      </c>
      <c r="AG21" s="218">
        <f t="shared" si="19"/>
        <v>0</v>
      </c>
      <c r="AH21" s="218">
        <f t="shared" si="19"/>
        <v>0</v>
      </c>
      <c r="AI21" s="218">
        <f t="shared" si="19"/>
        <v>0</v>
      </c>
      <c r="AJ21" s="218">
        <f t="shared" si="19"/>
        <v>0</v>
      </c>
      <c r="AK21" s="218">
        <f t="shared" si="19"/>
        <v>0</v>
      </c>
      <c r="AL21" s="218">
        <f t="shared" si="19"/>
        <v>0</v>
      </c>
      <c r="AM21" s="218">
        <f t="shared" si="19"/>
        <v>0</v>
      </c>
      <c r="AN21" s="218">
        <f t="shared" si="19"/>
        <v>0</v>
      </c>
      <c r="AO21" s="218">
        <f t="shared" si="19"/>
        <v>0</v>
      </c>
      <c r="AP21" s="218">
        <f t="shared" si="19"/>
        <v>0</v>
      </c>
      <c r="AQ21" s="218">
        <f t="shared" si="19"/>
        <v>0</v>
      </c>
      <c r="AR21" s="219">
        <f t="shared" si="19"/>
        <v>0</v>
      </c>
      <c r="AS21" s="219">
        <f t="shared" si="19"/>
        <v>0</v>
      </c>
      <c r="AT21" s="219">
        <f t="shared" si="19"/>
        <v>0</v>
      </c>
      <c r="AU21" s="219">
        <f t="shared" si="19"/>
        <v>0</v>
      </c>
      <c r="AV21" s="219">
        <f t="shared" si="19"/>
        <v>0</v>
      </c>
      <c r="AW21" s="218">
        <f t="shared" si="19"/>
        <v>0</v>
      </c>
      <c r="AX21" s="180"/>
      <c r="AY21" s="218">
        <f>AY18+SUM(AY19:AY20)</f>
        <v>0</v>
      </c>
      <c r="AZ21" s="218">
        <f t="shared" ref="AZ21:BT21" si="20">AZ18+SUM(AZ19:AZ20)</f>
        <v>0</v>
      </c>
      <c r="BA21" s="218">
        <f t="shared" si="20"/>
        <v>0</v>
      </c>
      <c r="BB21" s="218">
        <f t="shared" si="20"/>
        <v>0</v>
      </c>
      <c r="BC21" s="218">
        <f t="shared" si="20"/>
        <v>0</v>
      </c>
      <c r="BD21" s="218">
        <f t="shared" si="20"/>
        <v>0</v>
      </c>
      <c r="BE21" s="218">
        <f t="shared" si="20"/>
        <v>0</v>
      </c>
      <c r="BF21" s="218">
        <f t="shared" si="20"/>
        <v>0</v>
      </c>
      <c r="BG21" s="218">
        <f t="shared" si="20"/>
        <v>0</v>
      </c>
      <c r="BH21" s="218">
        <f t="shared" si="20"/>
        <v>0</v>
      </c>
      <c r="BI21" s="218">
        <f t="shared" si="20"/>
        <v>0</v>
      </c>
      <c r="BJ21" s="218">
        <f t="shared" si="20"/>
        <v>0</v>
      </c>
      <c r="BK21" s="218">
        <f t="shared" si="20"/>
        <v>0</v>
      </c>
      <c r="BL21" s="218">
        <f t="shared" si="20"/>
        <v>0</v>
      </c>
      <c r="BM21" s="218">
        <f t="shared" si="20"/>
        <v>0</v>
      </c>
      <c r="BN21" s="218">
        <f t="shared" si="20"/>
        <v>0</v>
      </c>
      <c r="BO21" s="219">
        <f t="shared" si="20"/>
        <v>0</v>
      </c>
      <c r="BP21" s="219">
        <f t="shared" si="20"/>
        <v>0</v>
      </c>
      <c r="BQ21" s="219">
        <f t="shared" si="20"/>
        <v>0</v>
      </c>
      <c r="BR21" s="219">
        <f t="shared" si="20"/>
        <v>0</v>
      </c>
      <c r="BS21" s="219">
        <f t="shared" si="20"/>
        <v>0</v>
      </c>
      <c r="BT21" s="220">
        <f t="shared" si="20"/>
        <v>0</v>
      </c>
    </row>
    <row r="22" spans="2:72" ht="6" customHeight="1" collapsed="1">
      <c r="B22" s="196" t="str">
        <f>IF(D22&lt;&gt;"",MAX(B20:B21)+1,"")</f>
        <v/>
      </c>
      <c r="C22" s="184"/>
      <c r="D22" s="198"/>
      <c r="E22" s="198"/>
      <c r="F22" s="198"/>
      <c r="G22" s="198"/>
      <c r="H22" s="198"/>
      <c r="I22" s="198"/>
      <c r="J22" s="198"/>
      <c r="K22" s="198"/>
      <c r="L22" s="198"/>
      <c r="M22" s="198"/>
      <c r="N22" s="198"/>
      <c r="O22" s="198"/>
      <c r="P22" s="198"/>
      <c r="Q22" s="198"/>
      <c r="R22" s="198"/>
      <c r="S22" s="198"/>
      <c r="T22" s="198"/>
      <c r="U22" s="199"/>
      <c r="V22" s="199"/>
      <c r="W22" s="199"/>
      <c r="X22" s="199"/>
      <c r="Y22" s="199"/>
      <c r="Z22" s="198"/>
      <c r="AA22" s="180"/>
      <c r="AB22" s="198"/>
      <c r="AC22" s="198"/>
      <c r="AD22" s="198"/>
      <c r="AE22" s="198"/>
      <c r="AF22" s="198"/>
      <c r="AG22" s="198"/>
      <c r="AH22" s="198"/>
      <c r="AI22" s="198"/>
      <c r="AJ22" s="198"/>
      <c r="AK22" s="198"/>
      <c r="AL22" s="198"/>
      <c r="AM22" s="198"/>
      <c r="AN22" s="198"/>
      <c r="AO22" s="198"/>
      <c r="AP22" s="198"/>
      <c r="AQ22" s="198"/>
      <c r="AR22" s="199"/>
      <c r="AS22" s="199"/>
      <c r="AT22" s="199"/>
      <c r="AU22" s="199"/>
      <c r="AV22" s="199"/>
      <c r="AW22" s="198"/>
      <c r="AX22" s="180"/>
      <c r="AY22" s="198"/>
      <c r="AZ22" s="198"/>
      <c r="BA22" s="198"/>
      <c r="BB22" s="198"/>
      <c r="BC22" s="198"/>
      <c r="BD22" s="198"/>
      <c r="BE22" s="198"/>
      <c r="BF22" s="198"/>
      <c r="BG22" s="198"/>
      <c r="BH22" s="198"/>
      <c r="BI22" s="198"/>
      <c r="BJ22" s="198"/>
      <c r="BK22" s="198"/>
      <c r="BL22" s="198"/>
      <c r="BM22" s="198"/>
      <c r="BN22" s="198"/>
      <c r="BO22" s="199"/>
      <c r="BP22" s="199"/>
      <c r="BQ22" s="199"/>
      <c r="BR22" s="199"/>
      <c r="BS22" s="199"/>
      <c r="BT22" s="200"/>
    </row>
    <row r="23" spans="2:72" ht="15">
      <c r="B23" s="196">
        <f>IF(D23&lt;&gt;"",MAX(B21:B22)+1,"")</f>
        <v>13</v>
      </c>
      <c r="C23" s="184"/>
      <c r="D23" s="198" t="s">
        <v>291</v>
      </c>
      <c r="E23" s="198" t="s">
        <v>279</v>
      </c>
      <c r="F23" s="198"/>
      <c r="G23" s="198"/>
      <c r="H23" s="198"/>
      <c r="I23" s="198"/>
      <c r="J23" s="198" t="s">
        <v>279</v>
      </c>
      <c r="K23" s="198"/>
      <c r="L23" s="198"/>
      <c r="M23" s="198"/>
      <c r="N23" s="198"/>
      <c r="O23" s="198" t="s">
        <v>279</v>
      </c>
      <c r="P23" s="198"/>
      <c r="Q23" s="198"/>
      <c r="R23" s="198"/>
      <c r="S23" s="198"/>
      <c r="T23" s="198" t="s">
        <v>279</v>
      </c>
      <c r="U23" s="199"/>
      <c r="V23" s="199"/>
      <c r="W23" s="199"/>
      <c r="X23" s="199"/>
      <c r="Y23" s="199"/>
      <c r="Z23" s="198" t="s">
        <v>279</v>
      </c>
      <c r="AA23" s="180"/>
      <c r="AB23" s="198" t="s">
        <v>279</v>
      </c>
      <c r="AC23" s="198"/>
      <c r="AD23" s="198"/>
      <c r="AE23" s="198"/>
      <c r="AF23" s="198"/>
      <c r="AG23" s="198" t="s">
        <v>279</v>
      </c>
      <c r="AH23" s="198"/>
      <c r="AI23" s="198"/>
      <c r="AJ23" s="198"/>
      <c r="AK23" s="198"/>
      <c r="AL23" s="198" t="s">
        <v>279</v>
      </c>
      <c r="AM23" s="198"/>
      <c r="AN23" s="198"/>
      <c r="AO23" s="198"/>
      <c r="AP23" s="198"/>
      <c r="AQ23" s="198" t="s">
        <v>279</v>
      </c>
      <c r="AR23" s="199"/>
      <c r="AS23" s="199"/>
      <c r="AT23" s="199"/>
      <c r="AU23" s="199"/>
      <c r="AV23" s="199"/>
      <c r="AW23" s="198" t="s">
        <v>279</v>
      </c>
      <c r="AX23" s="180"/>
      <c r="AY23" s="198" t="s">
        <v>279</v>
      </c>
      <c r="AZ23" s="198"/>
      <c r="BA23" s="198"/>
      <c r="BB23" s="198"/>
      <c r="BC23" s="198"/>
      <c r="BD23" s="198" t="s">
        <v>279</v>
      </c>
      <c r="BE23" s="198"/>
      <c r="BF23" s="198"/>
      <c r="BG23" s="198"/>
      <c r="BH23" s="198"/>
      <c r="BI23" s="198" t="s">
        <v>279</v>
      </c>
      <c r="BJ23" s="198"/>
      <c r="BK23" s="198"/>
      <c r="BL23" s="198"/>
      <c r="BM23" s="198"/>
      <c r="BN23" s="198" t="s">
        <v>279</v>
      </c>
      <c r="BO23" s="199"/>
      <c r="BP23" s="199"/>
      <c r="BQ23" s="199"/>
      <c r="BR23" s="199"/>
      <c r="BS23" s="199"/>
      <c r="BT23" s="200" t="s">
        <v>279</v>
      </c>
    </row>
    <row r="24" spans="2:72" ht="6" customHeight="1">
      <c r="B24" s="196" t="str">
        <f t="shared" si="0"/>
        <v/>
      </c>
      <c r="C24" s="184"/>
      <c r="D24" s="198"/>
      <c r="E24" s="198"/>
      <c r="F24" s="198"/>
      <c r="G24" s="198"/>
      <c r="H24" s="198"/>
      <c r="I24" s="198"/>
      <c r="J24" s="198"/>
      <c r="K24" s="198"/>
      <c r="L24" s="198"/>
      <c r="M24" s="198"/>
      <c r="N24" s="198"/>
      <c r="O24" s="198"/>
      <c r="P24" s="198"/>
      <c r="Q24" s="198"/>
      <c r="R24" s="198"/>
      <c r="S24" s="198"/>
      <c r="T24" s="198"/>
      <c r="U24" s="199"/>
      <c r="V24" s="199"/>
      <c r="W24" s="199"/>
      <c r="X24" s="199"/>
      <c r="Y24" s="199"/>
      <c r="Z24" s="198"/>
      <c r="AA24" s="180"/>
      <c r="AB24" s="198"/>
      <c r="AC24" s="198"/>
      <c r="AD24" s="198"/>
      <c r="AE24" s="198"/>
      <c r="AF24" s="198"/>
      <c r="AG24" s="198"/>
      <c r="AH24" s="198"/>
      <c r="AI24" s="198"/>
      <c r="AJ24" s="198"/>
      <c r="AK24" s="198"/>
      <c r="AL24" s="198"/>
      <c r="AM24" s="198"/>
      <c r="AN24" s="198"/>
      <c r="AO24" s="198"/>
      <c r="AP24" s="198"/>
      <c r="AQ24" s="198"/>
      <c r="AR24" s="199"/>
      <c r="AS24" s="199"/>
      <c r="AT24" s="199"/>
      <c r="AU24" s="199"/>
      <c r="AV24" s="199"/>
      <c r="AW24" s="198"/>
      <c r="AX24" s="180"/>
      <c r="AY24" s="198"/>
      <c r="AZ24" s="198"/>
      <c r="BA24" s="198"/>
      <c r="BB24" s="198"/>
      <c r="BC24" s="198"/>
      <c r="BD24" s="198"/>
      <c r="BE24" s="198"/>
      <c r="BF24" s="198"/>
      <c r="BG24" s="198"/>
      <c r="BH24" s="198"/>
      <c r="BI24" s="198"/>
      <c r="BJ24" s="198"/>
      <c r="BK24" s="198"/>
      <c r="BL24" s="198"/>
      <c r="BM24" s="198"/>
      <c r="BN24" s="198"/>
      <c r="BO24" s="199"/>
      <c r="BP24" s="199"/>
      <c r="BQ24" s="199"/>
      <c r="BR24" s="199"/>
      <c r="BS24" s="199"/>
      <c r="BT24" s="200"/>
    </row>
    <row r="25" spans="2:72" ht="14.45" hidden="1" customHeight="1" outlineLevel="1">
      <c r="B25" s="196">
        <f t="shared" si="0"/>
        <v>14</v>
      </c>
      <c r="C25" s="184"/>
      <c r="D25" s="198" t="s">
        <v>292</v>
      </c>
      <c r="E25" s="204"/>
      <c r="F25" s="204"/>
      <c r="G25" s="204"/>
      <c r="H25" s="204"/>
      <c r="I25" s="204"/>
      <c r="J25" s="204"/>
      <c r="K25" s="204"/>
      <c r="L25" s="204"/>
      <c r="M25" s="204"/>
      <c r="N25" s="204"/>
      <c r="O25" s="204"/>
      <c r="P25" s="204"/>
      <c r="Q25" s="204"/>
      <c r="R25" s="204"/>
      <c r="S25" s="204"/>
      <c r="T25" s="204"/>
      <c r="U25" s="205"/>
      <c r="V25" s="205"/>
      <c r="W25" s="205"/>
      <c r="X25" s="205"/>
      <c r="Y25" s="205"/>
      <c r="Z25" s="204"/>
      <c r="AA25" s="180"/>
      <c r="AB25" s="204"/>
      <c r="AC25" s="204"/>
      <c r="AD25" s="204"/>
      <c r="AE25" s="204"/>
      <c r="AF25" s="204"/>
      <c r="AG25" s="204"/>
      <c r="AH25" s="204"/>
      <c r="AI25" s="204"/>
      <c r="AJ25" s="204"/>
      <c r="AK25" s="204"/>
      <c r="AL25" s="204"/>
      <c r="AM25" s="204"/>
      <c r="AN25" s="204"/>
      <c r="AO25" s="204"/>
      <c r="AP25" s="204"/>
      <c r="AQ25" s="204"/>
      <c r="AR25" s="205"/>
      <c r="AS25" s="205"/>
      <c r="AT25" s="205"/>
      <c r="AU25" s="205"/>
      <c r="AV25" s="205"/>
      <c r="AW25" s="204"/>
      <c r="AX25" s="180"/>
      <c r="AY25" s="204"/>
      <c r="AZ25" s="204"/>
      <c r="BA25" s="204"/>
      <c r="BB25" s="204"/>
      <c r="BC25" s="204"/>
      <c r="BD25" s="204"/>
      <c r="BE25" s="204"/>
      <c r="BF25" s="204"/>
      <c r="BG25" s="204"/>
      <c r="BH25" s="204"/>
      <c r="BI25" s="204"/>
      <c r="BJ25" s="204"/>
      <c r="BK25" s="204"/>
      <c r="BL25" s="204"/>
      <c r="BM25" s="204"/>
      <c r="BN25" s="204"/>
      <c r="BO25" s="205"/>
      <c r="BP25" s="205"/>
      <c r="BQ25" s="205"/>
      <c r="BR25" s="205"/>
      <c r="BS25" s="205"/>
      <c r="BT25" s="206"/>
    </row>
    <row r="26" spans="2:72" ht="14.45" hidden="1" customHeight="1" outlineLevel="1">
      <c r="B26" s="196">
        <f t="shared" si="0"/>
        <v>15</v>
      </c>
      <c r="C26" s="184"/>
      <c r="D26" s="207" t="s">
        <v>293</v>
      </c>
      <c r="E26" s="212">
        <v>0</v>
      </c>
      <c r="F26" s="212">
        <v>0</v>
      </c>
      <c r="G26" s="212">
        <v>0</v>
      </c>
      <c r="H26" s="212">
        <v>0</v>
      </c>
      <c r="I26" s="212">
        <v>0</v>
      </c>
      <c r="J26" s="212">
        <f>SUM(F26:I26)</f>
        <v>0</v>
      </c>
      <c r="K26" s="212">
        <v>0</v>
      </c>
      <c r="L26" s="212">
        <v>0</v>
      </c>
      <c r="M26" s="212">
        <v>0</v>
      </c>
      <c r="N26" s="212">
        <v>0</v>
      </c>
      <c r="O26" s="212">
        <f>SUM(K26:N26)</f>
        <v>0</v>
      </c>
      <c r="P26" s="212">
        <v>0</v>
      </c>
      <c r="Q26" s="212">
        <v>0</v>
      </c>
      <c r="R26" s="212">
        <v>0</v>
      </c>
      <c r="S26" s="212">
        <v>0</v>
      </c>
      <c r="T26" s="212">
        <f>SUM(P26:S26)</f>
        <v>0</v>
      </c>
      <c r="U26" s="213">
        <v>0</v>
      </c>
      <c r="V26" s="213">
        <v>0</v>
      </c>
      <c r="W26" s="213">
        <v>0</v>
      </c>
      <c r="X26" s="213">
        <v>0</v>
      </c>
      <c r="Y26" s="213">
        <v>0</v>
      </c>
      <c r="Z26" s="212">
        <f>SUM(U26:Y26)</f>
        <v>0</v>
      </c>
      <c r="AA26" s="180"/>
      <c r="AB26" s="212">
        <v>0</v>
      </c>
      <c r="AC26" s="212">
        <v>0</v>
      </c>
      <c r="AD26" s="212">
        <v>0</v>
      </c>
      <c r="AE26" s="212">
        <v>0</v>
      </c>
      <c r="AF26" s="212">
        <v>0</v>
      </c>
      <c r="AG26" s="212">
        <f>SUM(AC26:AF26)</f>
        <v>0</v>
      </c>
      <c r="AH26" s="212">
        <v>0</v>
      </c>
      <c r="AI26" s="212">
        <v>0</v>
      </c>
      <c r="AJ26" s="212">
        <v>0</v>
      </c>
      <c r="AK26" s="212">
        <v>0</v>
      </c>
      <c r="AL26" s="212">
        <f>SUM(AH26:AK26)</f>
        <v>0</v>
      </c>
      <c r="AM26" s="212">
        <v>0</v>
      </c>
      <c r="AN26" s="212">
        <v>0</v>
      </c>
      <c r="AO26" s="212">
        <v>0</v>
      </c>
      <c r="AP26" s="212">
        <v>0</v>
      </c>
      <c r="AQ26" s="212">
        <f>SUM(AM26:AP26)</f>
        <v>0</v>
      </c>
      <c r="AR26" s="213">
        <v>0</v>
      </c>
      <c r="AS26" s="213">
        <v>0</v>
      </c>
      <c r="AT26" s="213">
        <v>0</v>
      </c>
      <c r="AU26" s="213">
        <v>0</v>
      </c>
      <c r="AV26" s="213">
        <v>0</v>
      </c>
      <c r="AW26" s="212">
        <f>SUM(AR26:AV26)</f>
        <v>0</v>
      </c>
      <c r="AX26" s="180"/>
      <c r="AY26" s="212">
        <v>0</v>
      </c>
      <c r="AZ26" s="212">
        <v>0</v>
      </c>
      <c r="BA26" s="212">
        <v>0</v>
      </c>
      <c r="BB26" s="212">
        <v>0</v>
      </c>
      <c r="BC26" s="212">
        <v>0</v>
      </c>
      <c r="BD26" s="212">
        <f>SUM(AZ26:BC26)</f>
        <v>0</v>
      </c>
      <c r="BE26" s="212">
        <v>0</v>
      </c>
      <c r="BF26" s="212">
        <v>0</v>
      </c>
      <c r="BG26" s="212">
        <v>0</v>
      </c>
      <c r="BH26" s="212">
        <v>0</v>
      </c>
      <c r="BI26" s="212">
        <f>SUM(BE26:BH26)</f>
        <v>0</v>
      </c>
      <c r="BJ26" s="212">
        <v>0</v>
      </c>
      <c r="BK26" s="212">
        <v>0</v>
      </c>
      <c r="BL26" s="212">
        <v>0</v>
      </c>
      <c r="BM26" s="212">
        <v>0</v>
      </c>
      <c r="BN26" s="212">
        <f>SUM(BJ26:BM26)</f>
        <v>0</v>
      </c>
      <c r="BO26" s="213">
        <v>0</v>
      </c>
      <c r="BP26" s="213">
        <v>0</v>
      </c>
      <c r="BQ26" s="213">
        <v>0</v>
      </c>
      <c r="BR26" s="213">
        <v>0</v>
      </c>
      <c r="BS26" s="213">
        <v>0</v>
      </c>
      <c r="BT26" s="214">
        <f>SUM(BO26:BS26)</f>
        <v>0</v>
      </c>
    </row>
    <row r="27" spans="2:72" ht="14.45" hidden="1" customHeight="1" outlineLevel="1">
      <c r="B27" s="196">
        <f t="shared" si="0"/>
        <v>16</v>
      </c>
      <c r="C27" s="184"/>
      <c r="D27" s="207" t="s">
        <v>294</v>
      </c>
      <c r="E27" s="212">
        <v>0</v>
      </c>
      <c r="F27" s="212">
        <v>0</v>
      </c>
      <c r="G27" s="212">
        <v>0</v>
      </c>
      <c r="H27" s="212">
        <v>0</v>
      </c>
      <c r="I27" s="212">
        <v>0</v>
      </c>
      <c r="J27" s="212">
        <f>SUM(F27:I27)</f>
        <v>0</v>
      </c>
      <c r="K27" s="212">
        <v>0</v>
      </c>
      <c r="L27" s="212">
        <v>0</v>
      </c>
      <c r="M27" s="212">
        <v>0</v>
      </c>
      <c r="N27" s="212">
        <v>0</v>
      </c>
      <c r="O27" s="212">
        <f>SUM(K27:N27)</f>
        <v>0</v>
      </c>
      <c r="P27" s="212">
        <v>0</v>
      </c>
      <c r="Q27" s="212">
        <v>0</v>
      </c>
      <c r="R27" s="212">
        <v>0</v>
      </c>
      <c r="S27" s="212">
        <v>0</v>
      </c>
      <c r="T27" s="212">
        <f>SUM(P27:S27)</f>
        <v>0</v>
      </c>
      <c r="U27" s="213">
        <v>0</v>
      </c>
      <c r="V27" s="213">
        <v>0</v>
      </c>
      <c r="W27" s="213">
        <v>0</v>
      </c>
      <c r="X27" s="213">
        <v>0</v>
      </c>
      <c r="Y27" s="213">
        <v>0</v>
      </c>
      <c r="Z27" s="212">
        <f>SUM(U27:Y27)</f>
        <v>0</v>
      </c>
      <c r="AA27" s="180"/>
      <c r="AB27" s="212">
        <v>0</v>
      </c>
      <c r="AC27" s="212">
        <v>0</v>
      </c>
      <c r="AD27" s="212">
        <v>0</v>
      </c>
      <c r="AE27" s="212">
        <v>0</v>
      </c>
      <c r="AF27" s="212">
        <v>0</v>
      </c>
      <c r="AG27" s="212">
        <f>SUM(AC27:AF27)</f>
        <v>0</v>
      </c>
      <c r="AH27" s="212">
        <v>0</v>
      </c>
      <c r="AI27" s="212">
        <v>0</v>
      </c>
      <c r="AJ27" s="212">
        <v>0</v>
      </c>
      <c r="AK27" s="212">
        <v>0</v>
      </c>
      <c r="AL27" s="212">
        <f>SUM(AH27:AK27)</f>
        <v>0</v>
      </c>
      <c r="AM27" s="212">
        <v>0</v>
      </c>
      <c r="AN27" s="212">
        <v>0</v>
      </c>
      <c r="AO27" s="212">
        <v>0</v>
      </c>
      <c r="AP27" s="212">
        <v>0</v>
      </c>
      <c r="AQ27" s="212">
        <f>SUM(AM27:AP27)</f>
        <v>0</v>
      </c>
      <c r="AR27" s="213">
        <v>0</v>
      </c>
      <c r="AS27" s="213">
        <v>0</v>
      </c>
      <c r="AT27" s="213">
        <v>0</v>
      </c>
      <c r="AU27" s="213">
        <v>0</v>
      </c>
      <c r="AV27" s="213">
        <v>0</v>
      </c>
      <c r="AW27" s="212">
        <f>SUM(AR27:AV27)</f>
        <v>0</v>
      </c>
      <c r="AX27" s="180"/>
      <c r="AY27" s="212">
        <v>0</v>
      </c>
      <c r="AZ27" s="212">
        <v>0</v>
      </c>
      <c r="BA27" s="212">
        <v>0</v>
      </c>
      <c r="BB27" s="212">
        <v>0</v>
      </c>
      <c r="BC27" s="212">
        <v>0</v>
      </c>
      <c r="BD27" s="212">
        <f>SUM(AZ27:BC27)</f>
        <v>0</v>
      </c>
      <c r="BE27" s="212">
        <v>0</v>
      </c>
      <c r="BF27" s="212">
        <v>0</v>
      </c>
      <c r="BG27" s="212">
        <v>0</v>
      </c>
      <c r="BH27" s="212">
        <v>0</v>
      </c>
      <c r="BI27" s="212">
        <f>SUM(BE27:BH27)</f>
        <v>0</v>
      </c>
      <c r="BJ27" s="212">
        <v>0</v>
      </c>
      <c r="BK27" s="212">
        <v>0</v>
      </c>
      <c r="BL27" s="212">
        <v>0</v>
      </c>
      <c r="BM27" s="212">
        <v>0</v>
      </c>
      <c r="BN27" s="212">
        <f>SUM(BJ27:BM27)</f>
        <v>0</v>
      </c>
      <c r="BO27" s="213">
        <v>0</v>
      </c>
      <c r="BP27" s="213">
        <v>0</v>
      </c>
      <c r="BQ27" s="213">
        <v>0</v>
      </c>
      <c r="BR27" s="213">
        <v>0</v>
      </c>
      <c r="BS27" s="213">
        <v>0</v>
      </c>
      <c r="BT27" s="214">
        <f>SUM(BO27:BS27)</f>
        <v>0</v>
      </c>
    </row>
    <row r="28" spans="2:72" ht="14.45" hidden="1" customHeight="1" outlineLevel="1">
      <c r="B28" s="196">
        <f t="shared" si="0"/>
        <v>17</v>
      </c>
      <c r="C28" s="184"/>
      <c r="D28" s="207" t="s">
        <v>295</v>
      </c>
      <c r="E28" s="212">
        <v>0</v>
      </c>
      <c r="F28" s="212">
        <v>0</v>
      </c>
      <c r="G28" s="212">
        <v>0</v>
      </c>
      <c r="H28" s="212">
        <v>0</v>
      </c>
      <c r="I28" s="212">
        <v>0</v>
      </c>
      <c r="J28" s="212">
        <f>SUM(F28:I28)</f>
        <v>0</v>
      </c>
      <c r="K28" s="212">
        <v>0</v>
      </c>
      <c r="L28" s="212">
        <v>0</v>
      </c>
      <c r="M28" s="212">
        <v>0</v>
      </c>
      <c r="N28" s="212">
        <v>0</v>
      </c>
      <c r="O28" s="212">
        <f>SUM(K28:N28)</f>
        <v>0</v>
      </c>
      <c r="P28" s="212">
        <v>0</v>
      </c>
      <c r="Q28" s="212">
        <v>0</v>
      </c>
      <c r="R28" s="212">
        <v>0</v>
      </c>
      <c r="S28" s="212">
        <v>0</v>
      </c>
      <c r="T28" s="212">
        <f>SUM(P28:S28)</f>
        <v>0</v>
      </c>
      <c r="U28" s="213">
        <v>0</v>
      </c>
      <c r="V28" s="213">
        <v>0</v>
      </c>
      <c r="W28" s="213">
        <v>0</v>
      </c>
      <c r="X28" s="213">
        <v>0</v>
      </c>
      <c r="Y28" s="213">
        <v>0</v>
      </c>
      <c r="Z28" s="212">
        <f>SUM(U28:Y28)</f>
        <v>0</v>
      </c>
      <c r="AA28" s="180"/>
      <c r="AB28" s="212">
        <v>0</v>
      </c>
      <c r="AC28" s="212">
        <v>0</v>
      </c>
      <c r="AD28" s="212">
        <v>0</v>
      </c>
      <c r="AE28" s="212">
        <v>0</v>
      </c>
      <c r="AF28" s="212">
        <v>0</v>
      </c>
      <c r="AG28" s="212">
        <f>SUM(AC28:AF28)</f>
        <v>0</v>
      </c>
      <c r="AH28" s="212">
        <v>0</v>
      </c>
      <c r="AI28" s="212">
        <v>0</v>
      </c>
      <c r="AJ28" s="212">
        <v>0</v>
      </c>
      <c r="AK28" s="212">
        <v>0</v>
      </c>
      <c r="AL28" s="212">
        <f>SUM(AH28:AK28)</f>
        <v>0</v>
      </c>
      <c r="AM28" s="212">
        <v>0</v>
      </c>
      <c r="AN28" s="212">
        <v>0</v>
      </c>
      <c r="AO28" s="212">
        <v>0</v>
      </c>
      <c r="AP28" s="212">
        <v>0</v>
      </c>
      <c r="AQ28" s="212">
        <f>SUM(AM28:AP28)</f>
        <v>0</v>
      </c>
      <c r="AR28" s="213">
        <v>0</v>
      </c>
      <c r="AS28" s="213">
        <v>0</v>
      </c>
      <c r="AT28" s="213">
        <v>0</v>
      </c>
      <c r="AU28" s="213">
        <v>0</v>
      </c>
      <c r="AV28" s="213">
        <v>0</v>
      </c>
      <c r="AW28" s="212">
        <f>SUM(AR28:AV28)</f>
        <v>0</v>
      </c>
      <c r="AX28" s="180"/>
      <c r="AY28" s="212">
        <v>0</v>
      </c>
      <c r="AZ28" s="212">
        <v>0</v>
      </c>
      <c r="BA28" s="212">
        <v>0</v>
      </c>
      <c r="BB28" s="212">
        <v>0</v>
      </c>
      <c r="BC28" s="212">
        <v>0</v>
      </c>
      <c r="BD28" s="212">
        <f>SUM(AZ28:BC28)</f>
        <v>0</v>
      </c>
      <c r="BE28" s="212">
        <v>0</v>
      </c>
      <c r="BF28" s="212">
        <v>0</v>
      </c>
      <c r="BG28" s="212">
        <v>0</v>
      </c>
      <c r="BH28" s="212">
        <v>0</v>
      </c>
      <c r="BI28" s="212">
        <f>SUM(BE28:BH28)</f>
        <v>0</v>
      </c>
      <c r="BJ28" s="212">
        <v>0</v>
      </c>
      <c r="BK28" s="212">
        <v>0</v>
      </c>
      <c r="BL28" s="212">
        <v>0</v>
      </c>
      <c r="BM28" s="212">
        <v>0</v>
      </c>
      <c r="BN28" s="212">
        <f>SUM(BJ28:BM28)</f>
        <v>0</v>
      </c>
      <c r="BO28" s="213">
        <v>0</v>
      </c>
      <c r="BP28" s="213">
        <v>0</v>
      </c>
      <c r="BQ28" s="213">
        <v>0</v>
      </c>
      <c r="BR28" s="213">
        <v>0</v>
      </c>
      <c r="BS28" s="213">
        <v>0</v>
      </c>
      <c r="BT28" s="214">
        <f>SUM(BO28:BS28)</f>
        <v>0</v>
      </c>
    </row>
    <row r="29" spans="2:72" ht="14.45" hidden="1" customHeight="1" outlineLevel="1">
      <c r="B29" s="196">
        <f t="shared" si="0"/>
        <v>18</v>
      </c>
      <c r="C29" s="184"/>
      <c r="D29" s="198" t="s">
        <v>296</v>
      </c>
      <c r="E29" s="215">
        <f>SUM(E26:E28)</f>
        <v>0</v>
      </c>
      <c r="F29" s="215">
        <f t="shared" ref="F29:Z29" si="21">SUM(F26:F28)</f>
        <v>0</v>
      </c>
      <c r="G29" s="215">
        <f t="shared" si="21"/>
        <v>0</v>
      </c>
      <c r="H29" s="215">
        <f t="shared" si="21"/>
        <v>0</v>
      </c>
      <c r="I29" s="215">
        <f t="shared" si="21"/>
        <v>0</v>
      </c>
      <c r="J29" s="215">
        <f t="shared" si="21"/>
        <v>0</v>
      </c>
      <c r="K29" s="215">
        <f t="shared" si="21"/>
        <v>0</v>
      </c>
      <c r="L29" s="215">
        <f t="shared" si="21"/>
        <v>0</v>
      </c>
      <c r="M29" s="215">
        <f t="shared" si="21"/>
        <v>0</v>
      </c>
      <c r="N29" s="215">
        <f t="shared" si="21"/>
        <v>0</v>
      </c>
      <c r="O29" s="215">
        <f t="shared" si="21"/>
        <v>0</v>
      </c>
      <c r="P29" s="215">
        <f t="shared" si="21"/>
        <v>0</v>
      </c>
      <c r="Q29" s="215">
        <f t="shared" si="21"/>
        <v>0</v>
      </c>
      <c r="R29" s="215">
        <f t="shared" si="21"/>
        <v>0</v>
      </c>
      <c r="S29" s="215">
        <f t="shared" si="21"/>
        <v>0</v>
      </c>
      <c r="T29" s="215">
        <f t="shared" si="21"/>
        <v>0</v>
      </c>
      <c r="U29" s="216">
        <f t="shared" si="21"/>
        <v>0</v>
      </c>
      <c r="V29" s="216">
        <f t="shared" si="21"/>
        <v>0</v>
      </c>
      <c r="W29" s="216">
        <f t="shared" si="21"/>
        <v>0</v>
      </c>
      <c r="X29" s="216">
        <f t="shared" si="21"/>
        <v>0</v>
      </c>
      <c r="Y29" s="216">
        <f t="shared" si="21"/>
        <v>0</v>
      </c>
      <c r="Z29" s="215">
        <f t="shared" si="21"/>
        <v>0</v>
      </c>
      <c r="AA29" s="180"/>
      <c r="AB29" s="215">
        <f>SUM(AB26:AB28)</f>
        <v>0</v>
      </c>
      <c r="AC29" s="215">
        <f t="shared" ref="AC29:AW29" si="22">SUM(AC26:AC28)</f>
        <v>0</v>
      </c>
      <c r="AD29" s="215">
        <f t="shared" si="22"/>
        <v>0</v>
      </c>
      <c r="AE29" s="215">
        <f t="shared" si="22"/>
        <v>0</v>
      </c>
      <c r="AF29" s="215">
        <f t="shared" si="22"/>
        <v>0</v>
      </c>
      <c r="AG29" s="215">
        <f t="shared" si="22"/>
        <v>0</v>
      </c>
      <c r="AH29" s="215">
        <f t="shared" si="22"/>
        <v>0</v>
      </c>
      <c r="AI29" s="215">
        <f t="shared" si="22"/>
        <v>0</v>
      </c>
      <c r="AJ29" s="215">
        <f t="shared" si="22"/>
        <v>0</v>
      </c>
      <c r="AK29" s="215">
        <f t="shared" si="22"/>
        <v>0</v>
      </c>
      <c r="AL29" s="215">
        <f t="shared" si="22"/>
        <v>0</v>
      </c>
      <c r="AM29" s="215">
        <f t="shared" si="22"/>
        <v>0</v>
      </c>
      <c r="AN29" s="215">
        <f t="shared" si="22"/>
        <v>0</v>
      </c>
      <c r="AO29" s="215">
        <f t="shared" si="22"/>
        <v>0</v>
      </c>
      <c r="AP29" s="215">
        <f t="shared" si="22"/>
        <v>0</v>
      </c>
      <c r="AQ29" s="215">
        <f t="shared" si="22"/>
        <v>0</v>
      </c>
      <c r="AR29" s="216">
        <f t="shared" si="22"/>
        <v>0</v>
      </c>
      <c r="AS29" s="216">
        <f t="shared" si="22"/>
        <v>0</v>
      </c>
      <c r="AT29" s="216">
        <f t="shared" si="22"/>
        <v>0</v>
      </c>
      <c r="AU29" s="216">
        <f t="shared" si="22"/>
        <v>0</v>
      </c>
      <c r="AV29" s="216">
        <f t="shared" si="22"/>
        <v>0</v>
      </c>
      <c r="AW29" s="215">
        <f t="shared" si="22"/>
        <v>0</v>
      </c>
      <c r="AX29" s="180"/>
      <c r="AY29" s="215">
        <f>SUM(AY26:AY28)</f>
        <v>0</v>
      </c>
      <c r="AZ29" s="215">
        <f t="shared" ref="AZ29:BT29" si="23">SUM(AZ26:AZ28)</f>
        <v>0</v>
      </c>
      <c r="BA29" s="215">
        <f t="shared" si="23"/>
        <v>0</v>
      </c>
      <c r="BB29" s="215">
        <f t="shared" si="23"/>
        <v>0</v>
      </c>
      <c r="BC29" s="215">
        <f t="shared" si="23"/>
        <v>0</v>
      </c>
      <c r="BD29" s="215">
        <f t="shared" si="23"/>
        <v>0</v>
      </c>
      <c r="BE29" s="215">
        <f t="shared" si="23"/>
        <v>0</v>
      </c>
      <c r="BF29" s="215">
        <f t="shared" si="23"/>
        <v>0</v>
      </c>
      <c r="BG29" s="215">
        <f t="shared" si="23"/>
        <v>0</v>
      </c>
      <c r="BH29" s="215">
        <f t="shared" si="23"/>
        <v>0</v>
      </c>
      <c r="BI29" s="215">
        <f t="shared" si="23"/>
        <v>0</v>
      </c>
      <c r="BJ29" s="215">
        <f t="shared" si="23"/>
        <v>0</v>
      </c>
      <c r="BK29" s="215">
        <f t="shared" si="23"/>
        <v>0</v>
      </c>
      <c r="BL29" s="215">
        <f t="shared" si="23"/>
        <v>0</v>
      </c>
      <c r="BM29" s="215">
        <f t="shared" si="23"/>
        <v>0</v>
      </c>
      <c r="BN29" s="215">
        <f t="shared" si="23"/>
        <v>0</v>
      </c>
      <c r="BO29" s="216">
        <f t="shared" si="23"/>
        <v>0</v>
      </c>
      <c r="BP29" s="216">
        <f t="shared" si="23"/>
        <v>0</v>
      </c>
      <c r="BQ29" s="216">
        <f t="shared" si="23"/>
        <v>0</v>
      </c>
      <c r="BR29" s="216">
        <f t="shared" si="23"/>
        <v>0</v>
      </c>
      <c r="BS29" s="216">
        <f t="shared" si="23"/>
        <v>0</v>
      </c>
      <c r="BT29" s="217">
        <f t="shared" si="23"/>
        <v>0</v>
      </c>
    </row>
    <row r="30" spans="2:72" ht="15" collapsed="1">
      <c r="B30" s="196" t="str">
        <f t="shared" si="0"/>
        <v/>
      </c>
      <c r="C30" s="184"/>
      <c r="D30" s="198"/>
      <c r="E30" s="198"/>
      <c r="F30" s="198"/>
      <c r="G30" s="198"/>
      <c r="H30" s="198"/>
      <c r="I30" s="198"/>
      <c r="J30" s="198"/>
      <c r="K30" s="198"/>
      <c r="L30" s="198"/>
      <c r="M30" s="198"/>
      <c r="N30" s="198"/>
      <c r="O30" s="198"/>
      <c r="P30" s="198"/>
      <c r="Q30" s="198"/>
      <c r="R30" s="198"/>
      <c r="S30" s="198"/>
      <c r="T30" s="198"/>
      <c r="U30" s="199"/>
      <c r="V30" s="199"/>
      <c r="W30" s="199"/>
      <c r="X30" s="199"/>
      <c r="Y30" s="199"/>
      <c r="Z30" s="198"/>
      <c r="AA30" s="180"/>
      <c r="AB30" s="198"/>
      <c r="AC30" s="198"/>
      <c r="AD30" s="198"/>
      <c r="AE30" s="198"/>
      <c r="AF30" s="198"/>
      <c r="AG30" s="198"/>
      <c r="AH30" s="198"/>
      <c r="AI30" s="198"/>
      <c r="AJ30" s="198"/>
      <c r="AK30" s="198"/>
      <c r="AL30" s="198"/>
      <c r="AM30" s="198"/>
      <c r="AN30" s="198"/>
      <c r="AO30" s="198"/>
      <c r="AP30" s="198"/>
      <c r="AQ30" s="198"/>
      <c r="AR30" s="199"/>
      <c r="AS30" s="199"/>
      <c r="AT30" s="199"/>
      <c r="AU30" s="199"/>
      <c r="AV30" s="199"/>
      <c r="AW30" s="198"/>
      <c r="AX30" s="180"/>
      <c r="AY30" s="198"/>
      <c r="AZ30" s="198"/>
      <c r="BA30" s="198"/>
      <c r="BB30" s="198"/>
      <c r="BC30" s="198"/>
      <c r="BD30" s="198"/>
      <c r="BE30" s="198"/>
      <c r="BF30" s="198"/>
      <c r="BG30" s="198"/>
      <c r="BH30" s="198"/>
      <c r="BI30" s="198"/>
      <c r="BJ30" s="198"/>
      <c r="BK30" s="198"/>
      <c r="BL30" s="198"/>
      <c r="BM30" s="198"/>
      <c r="BN30" s="198"/>
      <c r="BO30" s="199"/>
      <c r="BP30" s="199"/>
      <c r="BQ30" s="199"/>
      <c r="BR30" s="199"/>
      <c r="BS30" s="199"/>
      <c r="BT30" s="200"/>
    </row>
    <row r="31" spans="2:72" ht="15">
      <c r="B31" s="196">
        <f t="shared" si="0"/>
        <v>19</v>
      </c>
      <c r="C31" s="184"/>
      <c r="D31" s="221" t="s">
        <v>297</v>
      </c>
      <c r="E31" s="198"/>
      <c r="F31" s="198"/>
      <c r="G31" s="198"/>
      <c r="H31" s="198"/>
      <c r="I31" s="198"/>
      <c r="J31" s="198"/>
      <c r="K31" s="198"/>
      <c r="L31" s="198"/>
      <c r="M31" s="198"/>
      <c r="N31" s="198"/>
      <c r="O31" s="198"/>
      <c r="P31" s="198"/>
      <c r="Q31" s="198"/>
      <c r="R31" s="198"/>
      <c r="S31" s="198"/>
      <c r="T31" s="198"/>
      <c r="U31" s="199"/>
      <c r="V31" s="199"/>
      <c r="W31" s="199"/>
      <c r="X31" s="199"/>
      <c r="Y31" s="199"/>
      <c r="Z31" s="198"/>
      <c r="AA31" s="180"/>
      <c r="AB31" s="198"/>
      <c r="AC31" s="198"/>
      <c r="AD31" s="198"/>
      <c r="AE31" s="198"/>
      <c r="AF31" s="198"/>
      <c r="AG31" s="198"/>
      <c r="AH31" s="198"/>
      <c r="AI31" s="198"/>
      <c r="AJ31" s="198"/>
      <c r="AK31" s="198"/>
      <c r="AL31" s="198"/>
      <c r="AM31" s="198"/>
      <c r="AN31" s="198"/>
      <c r="AO31" s="198"/>
      <c r="AP31" s="198"/>
      <c r="AQ31" s="198"/>
      <c r="AR31" s="199"/>
      <c r="AS31" s="199"/>
      <c r="AT31" s="199"/>
      <c r="AU31" s="199"/>
      <c r="AV31" s="199"/>
      <c r="AW31" s="198"/>
      <c r="AX31" s="180"/>
      <c r="AY31" s="198"/>
      <c r="AZ31" s="198"/>
      <c r="BA31" s="198"/>
      <c r="BB31" s="198"/>
      <c r="BC31" s="198"/>
      <c r="BD31" s="198"/>
      <c r="BE31" s="198"/>
      <c r="BF31" s="198"/>
      <c r="BG31" s="198"/>
      <c r="BH31" s="198"/>
      <c r="BI31" s="198"/>
      <c r="BJ31" s="198"/>
      <c r="BK31" s="198"/>
      <c r="BL31" s="198"/>
      <c r="BM31" s="198"/>
      <c r="BN31" s="198"/>
      <c r="BO31" s="199"/>
      <c r="BP31" s="199"/>
      <c r="BQ31" s="199"/>
      <c r="BR31" s="199"/>
      <c r="BS31" s="199"/>
      <c r="BT31" s="200"/>
    </row>
    <row r="32" spans="2:72" ht="15">
      <c r="B32" s="196">
        <f t="shared" si="0"/>
        <v>20</v>
      </c>
      <c r="C32" s="184"/>
      <c r="D32" s="198" t="s">
        <v>298</v>
      </c>
      <c r="E32" s="204"/>
      <c r="F32" s="204"/>
      <c r="G32" s="204"/>
      <c r="H32" s="204"/>
      <c r="I32" s="204"/>
      <c r="J32" s="204"/>
      <c r="K32" s="204"/>
      <c r="L32" s="204"/>
      <c r="M32" s="204"/>
      <c r="N32" s="204"/>
      <c r="O32" s="204"/>
      <c r="P32" s="204"/>
      <c r="Q32" s="204"/>
      <c r="R32" s="204"/>
      <c r="S32" s="204"/>
      <c r="T32" s="204"/>
      <c r="U32" s="205"/>
      <c r="V32" s="205"/>
      <c r="W32" s="205"/>
      <c r="X32" s="205"/>
      <c r="Y32" s="205"/>
      <c r="Z32" s="204"/>
      <c r="AA32" s="180"/>
      <c r="AB32" s="204"/>
      <c r="AC32" s="204"/>
      <c r="AD32" s="204"/>
      <c r="AE32" s="204"/>
      <c r="AF32" s="204"/>
      <c r="AG32" s="204"/>
      <c r="AH32" s="204"/>
      <c r="AI32" s="204"/>
      <c r="AJ32" s="204"/>
      <c r="AK32" s="204"/>
      <c r="AL32" s="204"/>
      <c r="AM32" s="204"/>
      <c r="AN32" s="204"/>
      <c r="AO32" s="204"/>
      <c r="AP32" s="204"/>
      <c r="AQ32" s="204"/>
      <c r="AR32" s="205"/>
      <c r="AS32" s="205"/>
      <c r="AT32" s="205"/>
      <c r="AU32" s="205"/>
      <c r="AV32" s="205"/>
      <c r="AW32" s="204"/>
      <c r="AX32" s="180"/>
      <c r="AY32" s="204"/>
      <c r="AZ32" s="204"/>
      <c r="BA32" s="204"/>
      <c r="BB32" s="204"/>
      <c r="BC32" s="204"/>
      <c r="BD32" s="204"/>
      <c r="BE32" s="204"/>
      <c r="BF32" s="204"/>
      <c r="BG32" s="204"/>
      <c r="BH32" s="204"/>
      <c r="BI32" s="204"/>
      <c r="BJ32" s="204"/>
      <c r="BK32" s="204"/>
      <c r="BL32" s="204"/>
      <c r="BM32" s="204"/>
      <c r="BN32" s="204"/>
      <c r="BO32" s="205"/>
      <c r="BP32" s="205"/>
      <c r="BQ32" s="205"/>
      <c r="BR32" s="205"/>
      <c r="BS32" s="205"/>
      <c r="BT32" s="206"/>
    </row>
    <row r="33" spans="2:72" ht="15">
      <c r="B33" s="196">
        <f t="shared" si="0"/>
        <v>21</v>
      </c>
      <c r="C33" s="184"/>
      <c r="D33" s="222" t="s">
        <v>299</v>
      </c>
      <c r="E33" s="223">
        <v>0</v>
      </c>
      <c r="F33" s="223">
        <v>0</v>
      </c>
      <c r="G33" s="223">
        <v>0</v>
      </c>
      <c r="H33" s="223">
        <v>0</v>
      </c>
      <c r="I33" s="223">
        <v>0</v>
      </c>
      <c r="J33" s="223">
        <f>SUM(F33:I33)</f>
        <v>0</v>
      </c>
      <c r="K33" s="223">
        <v>0</v>
      </c>
      <c r="L33" s="223">
        <v>0</v>
      </c>
      <c r="M33" s="223">
        <v>0</v>
      </c>
      <c r="N33" s="223">
        <v>0</v>
      </c>
      <c r="O33" s="223">
        <f>SUM(K33:N33)</f>
        <v>0</v>
      </c>
      <c r="P33" s="223">
        <v>0</v>
      </c>
      <c r="Q33" s="223">
        <v>0</v>
      </c>
      <c r="R33" s="223">
        <v>0</v>
      </c>
      <c r="S33" s="223">
        <v>0</v>
      </c>
      <c r="T33" s="223">
        <f>SUM(P33:S33)</f>
        <v>0</v>
      </c>
      <c r="U33" s="213">
        <v>58337049.353074998</v>
      </c>
      <c r="V33" s="213">
        <v>186909883.66629997</v>
      </c>
      <c r="W33" s="213">
        <v>51207297.052699998</v>
      </c>
      <c r="X33" s="213">
        <v>96896132.244200006</v>
      </c>
      <c r="Y33" s="213">
        <v>0</v>
      </c>
      <c r="Z33" s="223">
        <f t="shared" ref="Z33:Z36" si="24">SUM(U33:Y33)</f>
        <v>393350362.31627494</v>
      </c>
      <c r="AA33" s="180"/>
      <c r="AB33" s="223">
        <v>0</v>
      </c>
      <c r="AC33" s="223">
        <v>0</v>
      </c>
      <c r="AD33" s="223">
        <v>0</v>
      </c>
      <c r="AE33" s="223">
        <v>0</v>
      </c>
      <c r="AF33" s="223">
        <v>0</v>
      </c>
      <c r="AG33" s="223">
        <f>SUM(AC33:AF33)</f>
        <v>0</v>
      </c>
      <c r="AH33" s="223">
        <v>0</v>
      </c>
      <c r="AI33" s="223">
        <v>0</v>
      </c>
      <c r="AJ33" s="223">
        <v>0</v>
      </c>
      <c r="AK33" s="223">
        <v>0</v>
      </c>
      <c r="AL33" s="223">
        <f>SUM(AH33:AK33)</f>
        <v>0</v>
      </c>
      <c r="AM33" s="223">
        <v>0</v>
      </c>
      <c r="AN33" s="223">
        <v>0</v>
      </c>
      <c r="AO33" s="223">
        <v>0</v>
      </c>
      <c r="AP33" s="223">
        <v>0</v>
      </c>
      <c r="AQ33" s="223">
        <f>SUM(AM33:AP33)</f>
        <v>0</v>
      </c>
      <c r="AR33" s="213">
        <v>0</v>
      </c>
      <c r="AS33" s="213">
        <v>0</v>
      </c>
      <c r="AT33" s="213">
        <v>0</v>
      </c>
      <c r="AU33" s="213">
        <v>0</v>
      </c>
      <c r="AV33" s="213">
        <v>0</v>
      </c>
      <c r="AW33" s="223">
        <f t="shared" ref="AW33:AW36" si="25">SUM(AR33:AV33)</f>
        <v>0</v>
      </c>
      <c r="AX33" s="180"/>
      <c r="AY33" s="223">
        <v>0</v>
      </c>
      <c r="AZ33" s="223">
        <v>0</v>
      </c>
      <c r="BA33" s="223">
        <v>0</v>
      </c>
      <c r="BB33" s="223">
        <v>0</v>
      </c>
      <c r="BC33" s="223">
        <v>0</v>
      </c>
      <c r="BD33" s="223">
        <f>SUM(AZ33:BC33)</f>
        <v>0</v>
      </c>
      <c r="BE33" s="223">
        <v>0</v>
      </c>
      <c r="BF33" s="223">
        <v>0</v>
      </c>
      <c r="BG33" s="223">
        <v>0</v>
      </c>
      <c r="BH33" s="223">
        <v>0</v>
      </c>
      <c r="BI33" s="223">
        <f>SUM(BE33:BH33)</f>
        <v>0</v>
      </c>
      <c r="BJ33" s="223">
        <v>0</v>
      </c>
      <c r="BK33" s="223">
        <v>0</v>
      </c>
      <c r="BL33" s="223">
        <v>0</v>
      </c>
      <c r="BM33" s="223">
        <v>0</v>
      </c>
      <c r="BN33" s="223">
        <f>SUM(BJ33:BM33)</f>
        <v>0</v>
      </c>
      <c r="BO33" s="213">
        <v>62196543.107492968</v>
      </c>
      <c r="BP33" s="213">
        <v>212825157.56496412</v>
      </c>
      <c r="BQ33" s="213">
        <v>84073857.994385824</v>
      </c>
      <c r="BR33" s="213">
        <v>99892327.316928878</v>
      </c>
      <c r="BS33" s="213">
        <v>0</v>
      </c>
      <c r="BT33" s="224">
        <f t="shared" ref="BT33:BT36" si="26">SUM(BO33:BS33)</f>
        <v>458987885.9837718</v>
      </c>
    </row>
    <row r="34" spans="2:72" ht="15">
      <c r="B34" s="196">
        <f t="shared" si="0"/>
        <v>22</v>
      </c>
      <c r="C34" s="184"/>
      <c r="D34" s="222" t="s">
        <v>300</v>
      </c>
      <c r="E34" s="223">
        <v>0</v>
      </c>
      <c r="F34" s="223">
        <v>0</v>
      </c>
      <c r="G34" s="223">
        <v>0</v>
      </c>
      <c r="H34" s="223">
        <v>0</v>
      </c>
      <c r="I34" s="223">
        <v>0</v>
      </c>
      <c r="J34" s="223">
        <f>SUM(F34:I34)</f>
        <v>0</v>
      </c>
      <c r="K34" s="223">
        <v>0</v>
      </c>
      <c r="L34" s="223">
        <v>0</v>
      </c>
      <c r="M34" s="223">
        <v>0</v>
      </c>
      <c r="N34" s="223">
        <v>0</v>
      </c>
      <c r="O34" s="223">
        <f>SUM(K34:N34)</f>
        <v>0</v>
      </c>
      <c r="P34" s="223">
        <v>0</v>
      </c>
      <c r="Q34" s="223">
        <v>0</v>
      </c>
      <c r="R34" s="223">
        <v>0</v>
      </c>
      <c r="S34" s="223">
        <v>0</v>
      </c>
      <c r="T34" s="223">
        <f>SUM(P34:S34)</f>
        <v>0</v>
      </c>
      <c r="U34" s="213">
        <v>0</v>
      </c>
      <c r="V34" s="213">
        <v>0</v>
      </c>
      <c r="W34" s="213">
        <v>0</v>
      </c>
      <c r="X34" s="213">
        <v>0</v>
      </c>
      <c r="Y34" s="213">
        <v>0</v>
      </c>
      <c r="Z34" s="223">
        <f t="shared" si="24"/>
        <v>0</v>
      </c>
      <c r="AA34" s="180"/>
      <c r="AB34" s="223">
        <v>0</v>
      </c>
      <c r="AC34" s="223">
        <v>0</v>
      </c>
      <c r="AD34" s="223">
        <v>0</v>
      </c>
      <c r="AE34" s="223">
        <v>0</v>
      </c>
      <c r="AF34" s="223">
        <v>0</v>
      </c>
      <c r="AG34" s="223">
        <f>SUM(AC34:AF34)</f>
        <v>0</v>
      </c>
      <c r="AH34" s="223">
        <v>0</v>
      </c>
      <c r="AI34" s="223">
        <v>0</v>
      </c>
      <c r="AJ34" s="223">
        <v>0</v>
      </c>
      <c r="AK34" s="223">
        <v>0</v>
      </c>
      <c r="AL34" s="223">
        <f>SUM(AH34:AK34)</f>
        <v>0</v>
      </c>
      <c r="AM34" s="223">
        <v>0</v>
      </c>
      <c r="AN34" s="223">
        <v>0</v>
      </c>
      <c r="AO34" s="223">
        <v>0</v>
      </c>
      <c r="AP34" s="223">
        <v>0</v>
      </c>
      <c r="AQ34" s="223">
        <f>SUM(AM34:AP34)</f>
        <v>0</v>
      </c>
      <c r="AR34" s="213">
        <v>0</v>
      </c>
      <c r="AS34" s="213">
        <v>0</v>
      </c>
      <c r="AT34" s="213">
        <v>0</v>
      </c>
      <c r="AU34" s="213">
        <v>0</v>
      </c>
      <c r="AV34" s="213">
        <v>0</v>
      </c>
      <c r="AW34" s="223">
        <f t="shared" si="25"/>
        <v>0</v>
      </c>
      <c r="AX34" s="180"/>
      <c r="AY34" s="223">
        <v>0</v>
      </c>
      <c r="AZ34" s="223">
        <v>0</v>
      </c>
      <c r="BA34" s="223">
        <v>0</v>
      </c>
      <c r="BB34" s="223">
        <v>0</v>
      </c>
      <c r="BC34" s="223">
        <v>0</v>
      </c>
      <c r="BD34" s="223">
        <f>SUM(AZ34:BC34)</f>
        <v>0</v>
      </c>
      <c r="BE34" s="223">
        <v>0</v>
      </c>
      <c r="BF34" s="223">
        <v>0</v>
      </c>
      <c r="BG34" s="223">
        <v>0</v>
      </c>
      <c r="BH34" s="223">
        <v>0</v>
      </c>
      <c r="BI34" s="223">
        <f>SUM(BE34:BH34)</f>
        <v>0</v>
      </c>
      <c r="BJ34" s="223">
        <v>0</v>
      </c>
      <c r="BK34" s="223">
        <v>0</v>
      </c>
      <c r="BL34" s="223">
        <v>0</v>
      </c>
      <c r="BM34" s="223">
        <v>0</v>
      </c>
      <c r="BN34" s="223">
        <f>SUM(BJ34:BM34)</f>
        <v>0</v>
      </c>
      <c r="BO34" s="213">
        <v>0</v>
      </c>
      <c r="BP34" s="213">
        <v>0</v>
      </c>
      <c r="BQ34" s="213">
        <v>0</v>
      </c>
      <c r="BR34" s="213">
        <v>0</v>
      </c>
      <c r="BS34" s="213">
        <v>0</v>
      </c>
      <c r="BT34" s="224">
        <f t="shared" si="26"/>
        <v>0</v>
      </c>
    </row>
    <row r="35" spans="2:72" ht="15">
      <c r="B35" s="196">
        <f t="shared" si="0"/>
        <v>23</v>
      </c>
      <c r="C35" s="184"/>
      <c r="D35" s="222" t="s">
        <v>301</v>
      </c>
      <c r="E35" s="223">
        <v>0</v>
      </c>
      <c r="F35" s="223">
        <v>0</v>
      </c>
      <c r="G35" s="223">
        <v>0</v>
      </c>
      <c r="H35" s="223">
        <v>0</v>
      </c>
      <c r="I35" s="223">
        <v>0</v>
      </c>
      <c r="J35" s="223">
        <f>SUM(F35:I35)</f>
        <v>0</v>
      </c>
      <c r="K35" s="223">
        <v>0</v>
      </c>
      <c r="L35" s="223">
        <v>0</v>
      </c>
      <c r="M35" s="223">
        <v>0</v>
      </c>
      <c r="N35" s="223">
        <v>0</v>
      </c>
      <c r="O35" s="223">
        <f>SUM(K35:N35)</f>
        <v>0</v>
      </c>
      <c r="P35" s="223">
        <v>0</v>
      </c>
      <c r="Q35" s="223">
        <v>0</v>
      </c>
      <c r="R35" s="223">
        <v>0</v>
      </c>
      <c r="S35" s="223">
        <v>0</v>
      </c>
      <c r="T35" s="223">
        <f>SUM(P35:S35)</f>
        <v>0</v>
      </c>
      <c r="U35" s="213">
        <v>0</v>
      </c>
      <c r="V35" s="213">
        <v>0</v>
      </c>
      <c r="W35" s="213">
        <v>0</v>
      </c>
      <c r="X35" s="213">
        <v>0</v>
      </c>
      <c r="Y35" s="213">
        <v>0</v>
      </c>
      <c r="Z35" s="223">
        <f t="shared" si="24"/>
        <v>0</v>
      </c>
      <c r="AA35" s="180"/>
      <c r="AB35" s="223">
        <v>0</v>
      </c>
      <c r="AC35" s="223">
        <v>0</v>
      </c>
      <c r="AD35" s="223">
        <v>0</v>
      </c>
      <c r="AE35" s="223">
        <v>0</v>
      </c>
      <c r="AF35" s="223">
        <v>0</v>
      </c>
      <c r="AG35" s="223">
        <f>SUM(AC35:AF35)</f>
        <v>0</v>
      </c>
      <c r="AH35" s="223">
        <v>0</v>
      </c>
      <c r="AI35" s="223">
        <v>0</v>
      </c>
      <c r="AJ35" s="223">
        <v>0</v>
      </c>
      <c r="AK35" s="223">
        <v>0</v>
      </c>
      <c r="AL35" s="223">
        <f>SUM(AH35:AK35)</f>
        <v>0</v>
      </c>
      <c r="AM35" s="223">
        <v>0</v>
      </c>
      <c r="AN35" s="223">
        <v>0</v>
      </c>
      <c r="AO35" s="223">
        <v>0</v>
      </c>
      <c r="AP35" s="223">
        <v>0</v>
      </c>
      <c r="AQ35" s="223">
        <f>SUM(AM35:AP35)</f>
        <v>0</v>
      </c>
      <c r="AR35" s="213">
        <v>0</v>
      </c>
      <c r="AS35" s="213">
        <v>0</v>
      </c>
      <c r="AT35" s="213">
        <v>0</v>
      </c>
      <c r="AU35" s="213">
        <v>0</v>
      </c>
      <c r="AV35" s="213">
        <v>0</v>
      </c>
      <c r="AW35" s="223">
        <f t="shared" si="25"/>
        <v>0</v>
      </c>
      <c r="AX35" s="180"/>
      <c r="AY35" s="223">
        <v>0</v>
      </c>
      <c r="AZ35" s="223">
        <v>0</v>
      </c>
      <c r="BA35" s="223">
        <v>0</v>
      </c>
      <c r="BB35" s="223">
        <v>0</v>
      </c>
      <c r="BC35" s="223">
        <v>0</v>
      </c>
      <c r="BD35" s="223">
        <f>SUM(AZ35:BC35)</f>
        <v>0</v>
      </c>
      <c r="BE35" s="223">
        <v>0</v>
      </c>
      <c r="BF35" s="223">
        <v>0</v>
      </c>
      <c r="BG35" s="223">
        <v>0</v>
      </c>
      <c r="BH35" s="223">
        <v>0</v>
      </c>
      <c r="BI35" s="223">
        <f>SUM(BE35:BH35)</f>
        <v>0</v>
      </c>
      <c r="BJ35" s="223">
        <v>0</v>
      </c>
      <c r="BK35" s="223">
        <v>0</v>
      </c>
      <c r="BL35" s="223">
        <v>0</v>
      </c>
      <c r="BM35" s="223">
        <v>0</v>
      </c>
      <c r="BN35" s="223">
        <f>SUM(BJ35:BM35)</f>
        <v>0</v>
      </c>
      <c r="BO35" s="213">
        <v>0</v>
      </c>
      <c r="BP35" s="213">
        <v>0</v>
      </c>
      <c r="BQ35" s="213">
        <v>0</v>
      </c>
      <c r="BR35" s="213">
        <v>0</v>
      </c>
      <c r="BS35" s="213">
        <v>0</v>
      </c>
      <c r="BT35" s="224">
        <f t="shared" si="26"/>
        <v>0</v>
      </c>
    </row>
    <row r="36" spans="2:72" ht="15">
      <c r="B36" s="196">
        <f t="shared" si="0"/>
        <v>24</v>
      </c>
      <c r="C36" s="184"/>
      <c r="D36" s="222" t="s">
        <v>302</v>
      </c>
      <c r="E36" s="223">
        <v>0</v>
      </c>
      <c r="F36" s="223">
        <v>0</v>
      </c>
      <c r="G36" s="223">
        <v>0</v>
      </c>
      <c r="H36" s="223">
        <v>0</v>
      </c>
      <c r="I36" s="223">
        <v>0</v>
      </c>
      <c r="J36" s="223">
        <f>SUM(F36:I36)</f>
        <v>0</v>
      </c>
      <c r="K36" s="223">
        <v>0</v>
      </c>
      <c r="L36" s="223">
        <v>0</v>
      </c>
      <c r="M36" s="223">
        <v>0</v>
      </c>
      <c r="N36" s="223">
        <v>0</v>
      </c>
      <c r="O36" s="223">
        <f>SUM(K36:N36)</f>
        <v>0</v>
      </c>
      <c r="P36" s="223">
        <v>0</v>
      </c>
      <c r="Q36" s="223">
        <v>0</v>
      </c>
      <c r="R36" s="223">
        <v>0</v>
      </c>
      <c r="S36" s="223">
        <v>0</v>
      </c>
      <c r="T36" s="223">
        <f>SUM(P36:S36)</f>
        <v>0</v>
      </c>
      <c r="U36" s="213">
        <v>0</v>
      </c>
      <c r="V36" s="213">
        <v>0</v>
      </c>
      <c r="W36" s="213">
        <v>0</v>
      </c>
      <c r="X36" s="213">
        <v>0</v>
      </c>
      <c r="Y36" s="213">
        <v>0</v>
      </c>
      <c r="Z36" s="223">
        <f t="shared" si="24"/>
        <v>0</v>
      </c>
      <c r="AA36" s="180"/>
      <c r="AB36" s="223">
        <v>0</v>
      </c>
      <c r="AC36" s="223">
        <v>0</v>
      </c>
      <c r="AD36" s="223">
        <v>0</v>
      </c>
      <c r="AE36" s="223">
        <v>0</v>
      </c>
      <c r="AF36" s="223">
        <v>0</v>
      </c>
      <c r="AG36" s="223">
        <f>SUM(AC36:AF36)</f>
        <v>0</v>
      </c>
      <c r="AH36" s="223">
        <v>0</v>
      </c>
      <c r="AI36" s="223">
        <v>0</v>
      </c>
      <c r="AJ36" s="223">
        <v>0</v>
      </c>
      <c r="AK36" s="223">
        <v>0</v>
      </c>
      <c r="AL36" s="223">
        <f>SUM(AH36:AK36)</f>
        <v>0</v>
      </c>
      <c r="AM36" s="223">
        <v>0</v>
      </c>
      <c r="AN36" s="223">
        <v>0</v>
      </c>
      <c r="AO36" s="223">
        <v>0</v>
      </c>
      <c r="AP36" s="223">
        <v>0</v>
      </c>
      <c r="AQ36" s="223">
        <f>SUM(AM36:AP36)</f>
        <v>0</v>
      </c>
      <c r="AR36" s="213">
        <v>0</v>
      </c>
      <c r="AS36" s="213">
        <v>0</v>
      </c>
      <c r="AT36" s="213">
        <v>0</v>
      </c>
      <c r="AU36" s="213">
        <v>0</v>
      </c>
      <c r="AV36" s="213">
        <v>0</v>
      </c>
      <c r="AW36" s="223">
        <f t="shared" si="25"/>
        <v>0</v>
      </c>
      <c r="AX36" s="180"/>
      <c r="AY36" s="223">
        <v>0</v>
      </c>
      <c r="AZ36" s="223">
        <v>0</v>
      </c>
      <c r="BA36" s="223">
        <v>0</v>
      </c>
      <c r="BB36" s="223">
        <v>0</v>
      </c>
      <c r="BC36" s="223">
        <v>0</v>
      </c>
      <c r="BD36" s="223">
        <f>SUM(AZ36:BC36)</f>
        <v>0</v>
      </c>
      <c r="BE36" s="223">
        <v>0</v>
      </c>
      <c r="BF36" s="223">
        <v>0</v>
      </c>
      <c r="BG36" s="223">
        <v>0</v>
      </c>
      <c r="BH36" s="223">
        <v>0</v>
      </c>
      <c r="BI36" s="223">
        <f>SUM(BE36:BH36)</f>
        <v>0</v>
      </c>
      <c r="BJ36" s="223">
        <v>0</v>
      </c>
      <c r="BK36" s="223">
        <v>0</v>
      </c>
      <c r="BL36" s="223">
        <v>0</v>
      </c>
      <c r="BM36" s="223">
        <v>0</v>
      </c>
      <c r="BN36" s="223">
        <f>SUM(BJ36:BM36)</f>
        <v>0</v>
      </c>
      <c r="BO36" s="213">
        <v>0</v>
      </c>
      <c r="BP36" s="213">
        <v>0</v>
      </c>
      <c r="BQ36" s="213">
        <v>0</v>
      </c>
      <c r="BR36" s="213">
        <v>0</v>
      </c>
      <c r="BS36" s="213">
        <v>0</v>
      </c>
      <c r="BT36" s="224">
        <f t="shared" si="26"/>
        <v>0</v>
      </c>
    </row>
    <row r="37" spans="2:72" ht="15">
      <c r="B37" s="196">
        <f t="shared" si="0"/>
        <v>25</v>
      </c>
      <c r="C37" s="184"/>
      <c r="D37" s="225" t="s">
        <v>303</v>
      </c>
      <c r="E37" s="226">
        <f t="shared" ref="E37:Z37" si="27">SUM(E33:E36)</f>
        <v>0</v>
      </c>
      <c r="F37" s="226">
        <f t="shared" si="27"/>
        <v>0</v>
      </c>
      <c r="G37" s="226">
        <f t="shared" si="27"/>
        <v>0</v>
      </c>
      <c r="H37" s="226">
        <f t="shared" si="27"/>
        <v>0</v>
      </c>
      <c r="I37" s="226">
        <f t="shared" si="27"/>
        <v>0</v>
      </c>
      <c r="J37" s="226">
        <f t="shared" si="27"/>
        <v>0</v>
      </c>
      <c r="K37" s="226">
        <f t="shared" si="27"/>
        <v>0</v>
      </c>
      <c r="L37" s="226">
        <f t="shared" si="27"/>
        <v>0</v>
      </c>
      <c r="M37" s="226">
        <f t="shared" si="27"/>
        <v>0</v>
      </c>
      <c r="N37" s="226">
        <f t="shared" si="27"/>
        <v>0</v>
      </c>
      <c r="O37" s="226">
        <f t="shared" si="27"/>
        <v>0</v>
      </c>
      <c r="P37" s="226">
        <f t="shared" si="27"/>
        <v>0</v>
      </c>
      <c r="Q37" s="226">
        <f t="shared" si="27"/>
        <v>0</v>
      </c>
      <c r="R37" s="226">
        <f t="shared" si="27"/>
        <v>0</v>
      </c>
      <c r="S37" s="226">
        <f t="shared" si="27"/>
        <v>0</v>
      </c>
      <c r="T37" s="226">
        <f t="shared" si="27"/>
        <v>0</v>
      </c>
      <c r="U37" s="227">
        <f t="shared" si="27"/>
        <v>58337049.353074998</v>
      </c>
      <c r="V37" s="227">
        <f t="shared" si="27"/>
        <v>186909883.66629997</v>
      </c>
      <c r="W37" s="227">
        <f t="shared" si="27"/>
        <v>51207297.052699998</v>
      </c>
      <c r="X37" s="227">
        <f t="shared" si="27"/>
        <v>96896132.244200006</v>
      </c>
      <c r="Y37" s="227">
        <f t="shared" ref="Y37" si="28">SUM(Y33:Y36)</f>
        <v>0</v>
      </c>
      <c r="Z37" s="226">
        <f t="shared" si="27"/>
        <v>393350362.31627494</v>
      </c>
      <c r="AA37" s="228"/>
      <c r="AB37" s="226">
        <f t="shared" ref="AB37:AW37" si="29">SUM(AB33:AB36)</f>
        <v>0</v>
      </c>
      <c r="AC37" s="226">
        <f t="shared" si="29"/>
        <v>0</v>
      </c>
      <c r="AD37" s="226">
        <f t="shared" si="29"/>
        <v>0</v>
      </c>
      <c r="AE37" s="226">
        <f t="shared" si="29"/>
        <v>0</v>
      </c>
      <c r="AF37" s="226">
        <f t="shared" si="29"/>
        <v>0</v>
      </c>
      <c r="AG37" s="226">
        <f t="shared" si="29"/>
        <v>0</v>
      </c>
      <c r="AH37" s="226">
        <f t="shared" si="29"/>
        <v>0</v>
      </c>
      <c r="AI37" s="226">
        <f t="shared" si="29"/>
        <v>0</v>
      </c>
      <c r="AJ37" s="226">
        <f t="shared" si="29"/>
        <v>0</v>
      </c>
      <c r="AK37" s="226">
        <f t="shared" si="29"/>
        <v>0</v>
      </c>
      <c r="AL37" s="226">
        <f t="shared" si="29"/>
        <v>0</v>
      </c>
      <c r="AM37" s="226">
        <f t="shared" si="29"/>
        <v>0</v>
      </c>
      <c r="AN37" s="226">
        <f t="shared" si="29"/>
        <v>0</v>
      </c>
      <c r="AO37" s="226">
        <f t="shared" si="29"/>
        <v>0</v>
      </c>
      <c r="AP37" s="226">
        <f t="shared" si="29"/>
        <v>0</v>
      </c>
      <c r="AQ37" s="226">
        <f t="shared" si="29"/>
        <v>0</v>
      </c>
      <c r="AR37" s="227">
        <f t="shared" si="29"/>
        <v>0</v>
      </c>
      <c r="AS37" s="227">
        <f t="shared" si="29"/>
        <v>0</v>
      </c>
      <c r="AT37" s="227">
        <f t="shared" si="29"/>
        <v>0</v>
      </c>
      <c r="AU37" s="227">
        <f t="shared" si="29"/>
        <v>0</v>
      </c>
      <c r="AV37" s="227">
        <f t="shared" si="29"/>
        <v>0</v>
      </c>
      <c r="AW37" s="226">
        <f t="shared" si="29"/>
        <v>0</v>
      </c>
      <c r="AX37" s="228"/>
      <c r="AY37" s="226">
        <f t="shared" ref="AY37:BT37" si="30">SUM(AY33:AY36)</f>
        <v>0</v>
      </c>
      <c r="AZ37" s="226">
        <f t="shared" si="30"/>
        <v>0</v>
      </c>
      <c r="BA37" s="226">
        <f t="shared" si="30"/>
        <v>0</v>
      </c>
      <c r="BB37" s="226">
        <f t="shared" si="30"/>
        <v>0</v>
      </c>
      <c r="BC37" s="226">
        <f t="shared" si="30"/>
        <v>0</v>
      </c>
      <c r="BD37" s="226">
        <f t="shared" si="30"/>
        <v>0</v>
      </c>
      <c r="BE37" s="226">
        <f t="shared" si="30"/>
        <v>0</v>
      </c>
      <c r="BF37" s="226">
        <f t="shared" si="30"/>
        <v>0</v>
      </c>
      <c r="BG37" s="226">
        <f t="shared" si="30"/>
        <v>0</v>
      </c>
      <c r="BH37" s="226">
        <f t="shared" si="30"/>
        <v>0</v>
      </c>
      <c r="BI37" s="226">
        <f t="shared" si="30"/>
        <v>0</v>
      </c>
      <c r="BJ37" s="226">
        <f t="shared" si="30"/>
        <v>0</v>
      </c>
      <c r="BK37" s="226">
        <f t="shared" si="30"/>
        <v>0</v>
      </c>
      <c r="BL37" s="226">
        <f t="shared" si="30"/>
        <v>0</v>
      </c>
      <c r="BM37" s="226">
        <f t="shared" si="30"/>
        <v>0</v>
      </c>
      <c r="BN37" s="226">
        <f t="shared" si="30"/>
        <v>0</v>
      </c>
      <c r="BO37" s="227">
        <f t="shared" si="30"/>
        <v>62196543.107492968</v>
      </c>
      <c r="BP37" s="227">
        <f t="shared" si="30"/>
        <v>212825157.56496412</v>
      </c>
      <c r="BQ37" s="227">
        <f t="shared" si="30"/>
        <v>84073857.994385824</v>
      </c>
      <c r="BR37" s="227">
        <f t="shared" si="30"/>
        <v>99892327.316928878</v>
      </c>
      <c r="BS37" s="227">
        <f t="shared" si="30"/>
        <v>0</v>
      </c>
      <c r="BT37" s="229">
        <f t="shared" si="30"/>
        <v>458987885.9837718</v>
      </c>
    </row>
    <row r="38" spans="2:72" ht="15">
      <c r="B38" s="196">
        <f t="shared" si="0"/>
        <v>26</v>
      </c>
      <c r="C38" s="184"/>
      <c r="D38" s="198" t="s">
        <v>279</v>
      </c>
      <c r="E38" s="198" t="s">
        <v>279</v>
      </c>
      <c r="F38" s="198"/>
      <c r="G38" s="198"/>
      <c r="H38" s="198"/>
      <c r="I38" s="198"/>
      <c r="J38" s="198" t="s">
        <v>279</v>
      </c>
      <c r="K38" s="198"/>
      <c r="L38" s="198"/>
      <c r="M38" s="198"/>
      <c r="N38" s="198"/>
      <c r="O38" s="198" t="s">
        <v>279</v>
      </c>
      <c r="P38" s="198"/>
      <c r="Q38" s="198"/>
      <c r="R38" s="198"/>
      <c r="S38" s="198"/>
      <c r="T38" s="198" t="s">
        <v>279</v>
      </c>
      <c r="U38" s="199"/>
      <c r="V38" s="199"/>
      <c r="W38" s="199"/>
      <c r="X38" s="199"/>
      <c r="Y38" s="199"/>
      <c r="Z38" s="198" t="s">
        <v>279</v>
      </c>
      <c r="AA38" s="180"/>
      <c r="AB38" s="198" t="s">
        <v>279</v>
      </c>
      <c r="AC38" s="198"/>
      <c r="AD38" s="198"/>
      <c r="AE38" s="198"/>
      <c r="AF38" s="198"/>
      <c r="AG38" s="198" t="s">
        <v>279</v>
      </c>
      <c r="AH38" s="198"/>
      <c r="AI38" s="198"/>
      <c r="AJ38" s="198"/>
      <c r="AK38" s="198"/>
      <c r="AL38" s="198" t="s">
        <v>279</v>
      </c>
      <c r="AM38" s="198"/>
      <c r="AN38" s="198"/>
      <c r="AO38" s="198"/>
      <c r="AP38" s="198"/>
      <c r="AQ38" s="198" t="s">
        <v>279</v>
      </c>
      <c r="AR38" s="199"/>
      <c r="AS38" s="199"/>
      <c r="AT38" s="199"/>
      <c r="AU38" s="199"/>
      <c r="AV38" s="199"/>
      <c r="AW38" s="198" t="s">
        <v>279</v>
      </c>
      <c r="AX38" s="180"/>
      <c r="AY38" s="198" t="s">
        <v>279</v>
      </c>
      <c r="AZ38" s="198"/>
      <c r="BA38" s="198"/>
      <c r="BB38" s="198"/>
      <c r="BC38" s="198"/>
      <c r="BD38" s="198" t="s">
        <v>279</v>
      </c>
      <c r="BE38" s="198"/>
      <c r="BF38" s="198"/>
      <c r="BG38" s="198"/>
      <c r="BH38" s="198"/>
      <c r="BI38" s="198" t="s">
        <v>279</v>
      </c>
      <c r="BJ38" s="198"/>
      <c r="BK38" s="198"/>
      <c r="BL38" s="198"/>
      <c r="BM38" s="198"/>
      <c r="BN38" s="198" t="s">
        <v>279</v>
      </c>
      <c r="BO38" s="199"/>
      <c r="BP38" s="199"/>
      <c r="BQ38" s="199"/>
      <c r="BR38" s="199"/>
      <c r="BS38" s="199"/>
      <c r="BT38" s="200" t="s">
        <v>279</v>
      </c>
    </row>
    <row r="39" spans="2:72" ht="15">
      <c r="B39" s="196">
        <f t="shared" si="0"/>
        <v>27</v>
      </c>
      <c r="C39" s="184"/>
      <c r="D39" s="198" t="s">
        <v>304</v>
      </c>
      <c r="E39" s="204"/>
      <c r="F39" s="204"/>
      <c r="G39" s="204"/>
      <c r="H39" s="204"/>
      <c r="I39" s="204"/>
      <c r="J39" s="204"/>
      <c r="K39" s="204"/>
      <c r="L39" s="204"/>
      <c r="M39" s="204"/>
      <c r="N39" s="204"/>
      <c r="O39" s="204"/>
      <c r="P39" s="204"/>
      <c r="Q39" s="204"/>
      <c r="R39" s="204"/>
      <c r="S39" s="204"/>
      <c r="T39" s="204"/>
      <c r="U39" s="205"/>
      <c r="V39" s="205"/>
      <c r="W39" s="205"/>
      <c r="X39" s="205"/>
      <c r="Y39" s="205"/>
      <c r="Z39" s="204"/>
      <c r="AA39" s="180"/>
      <c r="AB39" s="204"/>
      <c r="AC39" s="204"/>
      <c r="AD39" s="204"/>
      <c r="AE39" s="204"/>
      <c r="AF39" s="204"/>
      <c r="AG39" s="204"/>
      <c r="AH39" s="204"/>
      <c r="AI39" s="204"/>
      <c r="AJ39" s="204"/>
      <c r="AK39" s="204"/>
      <c r="AL39" s="204"/>
      <c r="AM39" s="204"/>
      <c r="AN39" s="204"/>
      <c r="AO39" s="204"/>
      <c r="AP39" s="204"/>
      <c r="AQ39" s="204"/>
      <c r="AR39" s="205"/>
      <c r="AS39" s="205"/>
      <c r="AT39" s="205"/>
      <c r="AU39" s="205"/>
      <c r="AV39" s="205"/>
      <c r="AW39" s="204"/>
      <c r="AX39" s="180"/>
      <c r="AY39" s="204"/>
      <c r="AZ39" s="204"/>
      <c r="BA39" s="204"/>
      <c r="BB39" s="204"/>
      <c r="BC39" s="204"/>
      <c r="BD39" s="204"/>
      <c r="BE39" s="204"/>
      <c r="BF39" s="204"/>
      <c r="BG39" s="204"/>
      <c r="BH39" s="204"/>
      <c r="BI39" s="204"/>
      <c r="BJ39" s="204"/>
      <c r="BK39" s="204"/>
      <c r="BL39" s="204"/>
      <c r="BM39" s="204"/>
      <c r="BN39" s="204"/>
      <c r="BO39" s="205"/>
      <c r="BP39" s="205"/>
      <c r="BQ39" s="205"/>
      <c r="BR39" s="205"/>
      <c r="BS39" s="205"/>
      <c r="BT39" s="206"/>
    </row>
    <row r="40" spans="2:72" ht="15">
      <c r="B40" s="196">
        <f t="shared" si="0"/>
        <v>28</v>
      </c>
      <c r="C40" s="184"/>
      <c r="D40" s="207" t="s">
        <v>305</v>
      </c>
      <c r="E40" s="223">
        <v>0</v>
      </c>
      <c r="F40" s="223">
        <v>0</v>
      </c>
      <c r="G40" s="223">
        <v>0</v>
      </c>
      <c r="H40" s="223">
        <v>0</v>
      </c>
      <c r="I40" s="223">
        <v>0</v>
      </c>
      <c r="J40" s="223">
        <f t="shared" ref="J40:J58" si="31">SUM(F40:I40)</f>
        <v>0</v>
      </c>
      <c r="K40" s="223">
        <v>0</v>
      </c>
      <c r="L40" s="223">
        <v>0</v>
      </c>
      <c r="M40" s="223">
        <v>0</v>
      </c>
      <c r="N40" s="223">
        <v>0</v>
      </c>
      <c r="O40" s="223">
        <f t="shared" ref="O40:O58" si="32">SUM(K40:N40)</f>
        <v>0</v>
      </c>
      <c r="P40" s="223">
        <v>0</v>
      </c>
      <c r="Q40" s="223">
        <v>0</v>
      </c>
      <c r="R40" s="223">
        <v>0</v>
      </c>
      <c r="S40" s="223">
        <v>0</v>
      </c>
      <c r="T40" s="223">
        <f t="shared" ref="T40:T58" si="33">SUM(P40:S40)</f>
        <v>0</v>
      </c>
      <c r="U40" s="213">
        <v>377669.24</v>
      </c>
      <c r="V40" s="213">
        <v>26118185.010000002</v>
      </c>
      <c r="W40" s="213">
        <v>1793508.2080000001</v>
      </c>
      <c r="X40" s="213">
        <v>19194045.920000002</v>
      </c>
      <c r="Y40" s="213">
        <v>0</v>
      </c>
      <c r="Z40" s="223">
        <f t="shared" ref="Z40:Z58" si="34">SUM(U40:Y40)</f>
        <v>47483408.378000006</v>
      </c>
      <c r="AA40" s="180"/>
      <c r="AB40" s="223">
        <v>0</v>
      </c>
      <c r="AC40" s="223">
        <v>0</v>
      </c>
      <c r="AD40" s="223">
        <v>0</v>
      </c>
      <c r="AE40" s="223">
        <v>0</v>
      </c>
      <c r="AF40" s="223">
        <v>0</v>
      </c>
      <c r="AG40" s="223">
        <f t="shared" ref="AG40:AG58" si="35">SUM(AC40:AF40)</f>
        <v>0</v>
      </c>
      <c r="AH40" s="223">
        <v>0</v>
      </c>
      <c r="AI40" s="223">
        <v>0</v>
      </c>
      <c r="AJ40" s="223">
        <v>0</v>
      </c>
      <c r="AK40" s="223">
        <v>0</v>
      </c>
      <c r="AL40" s="223">
        <f t="shared" ref="AL40:AL58" si="36">SUM(AH40:AK40)</f>
        <v>0</v>
      </c>
      <c r="AM40" s="223">
        <v>0</v>
      </c>
      <c r="AN40" s="223">
        <v>0</v>
      </c>
      <c r="AO40" s="223">
        <v>0</v>
      </c>
      <c r="AP40" s="223">
        <v>0</v>
      </c>
      <c r="AQ40" s="223">
        <f t="shared" ref="AQ40:AQ58" si="37">SUM(AM40:AP40)</f>
        <v>0</v>
      </c>
      <c r="AR40" s="213">
        <v>0</v>
      </c>
      <c r="AS40" s="213">
        <v>0</v>
      </c>
      <c r="AT40" s="213">
        <v>0</v>
      </c>
      <c r="AU40" s="213">
        <v>0</v>
      </c>
      <c r="AV40" s="213">
        <v>0</v>
      </c>
      <c r="AW40" s="223">
        <f t="shared" ref="AW40:AW58" si="38">SUM(AR40:AV40)</f>
        <v>0</v>
      </c>
      <c r="AX40" s="180"/>
      <c r="AY40" s="223">
        <v>0</v>
      </c>
      <c r="AZ40" s="223">
        <v>0</v>
      </c>
      <c r="BA40" s="223">
        <v>0</v>
      </c>
      <c r="BB40" s="223">
        <v>0</v>
      </c>
      <c r="BC40" s="223">
        <v>0</v>
      </c>
      <c r="BD40" s="223">
        <f t="shared" ref="BD40:BD58" si="39">SUM(AZ40:BC40)</f>
        <v>0</v>
      </c>
      <c r="BE40" s="223">
        <v>0</v>
      </c>
      <c r="BF40" s="223">
        <v>0</v>
      </c>
      <c r="BG40" s="223">
        <v>0</v>
      </c>
      <c r="BH40" s="223">
        <v>0</v>
      </c>
      <c r="BI40" s="223">
        <f t="shared" ref="BI40:BI58" si="40">SUM(BE40:BH40)</f>
        <v>0</v>
      </c>
      <c r="BJ40" s="223">
        <v>0</v>
      </c>
      <c r="BK40" s="223">
        <v>0</v>
      </c>
      <c r="BL40" s="223">
        <v>0</v>
      </c>
      <c r="BM40" s="223">
        <v>0</v>
      </c>
      <c r="BN40" s="223">
        <f t="shared" ref="BN40:BN58" si="41">SUM(BJ40:BM40)</f>
        <v>0</v>
      </c>
      <c r="BO40" s="213">
        <v>400669.29671600001</v>
      </c>
      <c r="BP40" s="213">
        <v>29359836.323994771</v>
      </c>
      <c r="BQ40" s="213">
        <v>1902963.0254311999</v>
      </c>
      <c r="BR40" s="213">
        <v>21453444.789675999</v>
      </c>
      <c r="BS40" s="213">
        <v>0</v>
      </c>
      <c r="BT40" s="224">
        <f t="shared" ref="BT40:BT58" si="42">SUM(BO40:BS40)</f>
        <v>53116913.435817972</v>
      </c>
    </row>
    <row r="41" spans="2:72" ht="15">
      <c r="B41" s="196">
        <f t="shared" si="0"/>
        <v>29</v>
      </c>
      <c r="C41" s="184"/>
      <c r="D41" s="207" t="s">
        <v>306</v>
      </c>
      <c r="E41" s="223">
        <v>0</v>
      </c>
      <c r="F41" s="223">
        <v>0</v>
      </c>
      <c r="G41" s="223">
        <v>0</v>
      </c>
      <c r="H41" s="223">
        <v>0</v>
      </c>
      <c r="I41" s="223">
        <v>0</v>
      </c>
      <c r="J41" s="223">
        <f t="shared" si="31"/>
        <v>0</v>
      </c>
      <c r="K41" s="223">
        <v>0</v>
      </c>
      <c r="L41" s="223">
        <v>0</v>
      </c>
      <c r="M41" s="223">
        <v>0</v>
      </c>
      <c r="N41" s="223">
        <v>0</v>
      </c>
      <c r="O41" s="223">
        <f t="shared" si="32"/>
        <v>0</v>
      </c>
      <c r="P41" s="223">
        <v>0</v>
      </c>
      <c r="Q41" s="223">
        <v>0</v>
      </c>
      <c r="R41" s="223">
        <v>0</v>
      </c>
      <c r="S41" s="223">
        <v>0</v>
      </c>
      <c r="T41" s="223">
        <f t="shared" si="33"/>
        <v>0</v>
      </c>
      <c r="U41" s="213">
        <v>1497661.96</v>
      </c>
      <c r="V41" s="213">
        <v>18206335.479999997</v>
      </c>
      <c r="W41" s="213">
        <v>3157655.108</v>
      </c>
      <c r="X41" s="213">
        <v>7761242.9199999999</v>
      </c>
      <c r="Y41" s="213">
        <v>0</v>
      </c>
      <c r="Z41" s="223">
        <f t="shared" si="34"/>
        <v>30622895.467999995</v>
      </c>
      <c r="AA41" s="180"/>
      <c r="AB41" s="223">
        <v>0</v>
      </c>
      <c r="AC41" s="223">
        <v>0</v>
      </c>
      <c r="AD41" s="223">
        <v>0</v>
      </c>
      <c r="AE41" s="223">
        <v>0</v>
      </c>
      <c r="AF41" s="223">
        <v>0</v>
      </c>
      <c r="AG41" s="223">
        <f t="shared" si="35"/>
        <v>0</v>
      </c>
      <c r="AH41" s="223">
        <v>0</v>
      </c>
      <c r="AI41" s="223">
        <v>0</v>
      </c>
      <c r="AJ41" s="223">
        <v>0</v>
      </c>
      <c r="AK41" s="223">
        <v>0</v>
      </c>
      <c r="AL41" s="223">
        <f t="shared" si="36"/>
        <v>0</v>
      </c>
      <c r="AM41" s="223">
        <v>0</v>
      </c>
      <c r="AN41" s="223">
        <v>0</v>
      </c>
      <c r="AO41" s="223">
        <v>0</v>
      </c>
      <c r="AP41" s="223">
        <v>0</v>
      </c>
      <c r="AQ41" s="223">
        <f t="shared" si="37"/>
        <v>0</v>
      </c>
      <c r="AR41" s="213">
        <v>0</v>
      </c>
      <c r="AS41" s="213">
        <v>0</v>
      </c>
      <c r="AT41" s="213">
        <v>0</v>
      </c>
      <c r="AU41" s="213">
        <v>0</v>
      </c>
      <c r="AV41" s="213">
        <v>0</v>
      </c>
      <c r="AW41" s="223">
        <f t="shared" si="38"/>
        <v>0</v>
      </c>
      <c r="AX41" s="180"/>
      <c r="AY41" s="223">
        <v>0</v>
      </c>
      <c r="AZ41" s="223">
        <v>0</v>
      </c>
      <c r="BA41" s="223">
        <v>0</v>
      </c>
      <c r="BB41" s="223">
        <v>0</v>
      </c>
      <c r="BC41" s="223">
        <v>0</v>
      </c>
      <c r="BD41" s="223">
        <f t="shared" si="39"/>
        <v>0</v>
      </c>
      <c r="BE41" s="223">
        <v>0</v>
      </c>
      <c r="BF41" s="223">
        <v>0</v>
      </c>
      <c r="BG41" s="223">
        <v>0</v>
      </c>
      <c r="BH41" s="223">
        <v>0</v>
      </c>
      <c r="BI41" s="223">
        <f t="shared" si="40"/>
        <v>0</v>
      </c>
      <c r="BJ41" s="223">
        <v>0</v>
      </c>
      <c r="BK41" s="223">
        <v>0</v>
      </c>
      <c r="BL41" s="223">
        <v>0</v>
      </c>
      <c r="BM41" s="223">
        <v>0</v>
      </c>
      <c r="BN41" s="223">
        <f t="shared" si="41"/>
        <v>0</v>
      </c>
      <c r="BO41" s="213">
        <v>1589400.1506719999</v>
      </c>
      <c r="BP41" s="213">
        <v>20463344.475017939</v>
      </c>
      <c r="BQ41" s="213">
        <v>3349956.3040771997</v>
      </c>
      <c r="BR41" s="213">
        <v>12035527.641991997</v>
      </c>
      <c r="BS41" s="213">
        <v>0</v>
      </c>
      <c r="BT41" s="224">
        <f t="shared" si="42"/>
        <v>37438228.571759135</v>
      </c>
    </row>
    <row r="42" spans="2:72" ht="15">
      <c r="B42" s="196">
        <f t="shared" si="0"/>
        <v>30</v>
      </c>
      <c r="C42" s="184"/>
      <c r="D42" s="207" t="s">
        <v>307</v>
      </c>
      <c r="E42" s="223">
        <v>0</v>
      </c>
      <c r="F42" s="223">
        <v>0</v>
      </c>
      <c r="G42" s="223">
        <v>0</v>
      </c>
      <c r="H42" s="223">
        <v>0</v>
      </c>
      <c r="I42" s="223">
        <v>0</v>
      </c>
      <c r="J42" s="223">
        <f t="shared" si="31"/>
        <v>0</v>
      </c>
      <c r="K42" s="223">
        <v>0</v>
      </c>
      <c r="L42" s="223">
        <v>0</v>
      </c>
      <c r="M42" s="223">
        <v>0</v>
      </c>
      <c r="N42" s="223">
        <v>0</v>
      </c>
      <c r="O42" s="223">
        <f t="shared" si="32"/>
        <v>0</v>
      </c>
      <c r="P42" s="223">
        <v>0</v>
      </c>
      <c r="Q42" s="223">
        <v>0</v>
      </c>
      <c r="R42" s="223">
        <v>0</v>
      </c>
      <c r="S42" s="223">
        <v>0</v>
      </c>
      <c r="T42" s="223">
        <f t="shared" si="33"/>
        <v>0</v>
      </c>
      <c r="U42" s="213">
        <v>0</v>
      </c>
      <c r="V42" s="213">
        <v>0</v>
      </c>
      <c r="W42" s="213">
        <v>0</v>
      </c>
      <c r="X42" s="213">
        <v>22680000.000000004</v>
      </c>
      <c r="Y42" s="213">
        <v>0</v>
      </c>
      <c r="Z42" s="223">
        <f t="shared" si="34"/>
        <v>22680000.000000004</v>
      </c>
      <c r="AA42" s="180"/>
      <c r="AB42" s="223">
        <v>0</v>
      </c>
      <c r="AC42" s="223">
        <v>0</v>
      </c>
      <c r="AD42" s="223">
        <v>0</v>
      </c>
      <c r="AE42" s="223">
        <v>0</v>
      </c>
      <c r="AF42" s="223">
        <v>0</v>
      </c>
      <c r="AG42" s="223">
        <f t="shared" si="35"/>
        <v>0</v>
      </c>
      <c r="AH42" s="223">
        <v>0</v>
      </c>
      <c r="AI42" s="223">
        <v>0</v>
      </c>
      <c r="AJ42" s="223">
        <v>0</v>
      </c>
      <c r="AK42" s="223">
        <v>0</v>
      </c>
      <c r="AL42" s="223">
        <f t="shared" si="36"/>
        <v>0</v>
      </c>
      <c r="AM42" s="223">
        <v>0</v>
      </c>
      <c r="AN42" s="223">
        <v>0</v>
      </c>
      <c r="AO42" s="223">
        <v>0</v>
      </c>
      <c r="AP42" s="223">
        <v>0</v>
      </c>
      <c r="AQ42" s="223">
        <f t="shared" si="37"/>
        <v>0</v>
      </c>
      <c r="AR42" s="213">
        <v>0</v>
      </c>
      <c r="AS42" s="213">
        <v>0</v>
      </c>
      <c r="AT42" s="213">
        <v>0</v>
      </c>
      <c r="AU42" s="213">
        <v>0</v>
      </c>
      <c r="AV42" s="213">
        <v>0</v>
      </c>
      <c r="AW42" s="223">
        <f t="shared" si="38"/>
        <v>0</v>
      </c>
      <c r="AX42" s="180"/>
      <c r="AY42" s="223">
        <v>0</v>
      </c>
      <c r="AZ42" s="223">
        <v>0</v>
      </c>
      <c r="BA42" s="223">
        <v>0</v>
      </c>
      <c r="BB42" s="223">
        <v>0</v>
      </c>
      <c r="BC42" s="223">
        <v>0</v>
      </c>
      <c r="BD42" s="223">
        <f t="shared" si="39"/>
        <v>0</v>
      </c>
      <c r="BE42" s="223">
        <v>0</v>
      </c>
      <c r="BF42" s="223">
        <v>0</v>
      </c>
      <c r="BG42" s="223">
        <v>0</v>
      </c>
      <c r="BH42" s="223">
        <v>0</v>
      </c>
      <c r="BI42" s="223">
        <f t="shared" si="40"/>
        <v>0</v>
      </c>
      <c r="BJ42" s="223">
        <v>0</v>
      </c>
      <c r="BK42" s="223">
        <v>0</v>
      </c>
      <c r="BL42" s="223">
        <v>0</v>
      </c>
      <c r="BM42" s="223">
        <v>0</v>
      </c>
      <c r="BN42" s="223">
        <f t="shared" si="41"/>
        <v>0</v>
      </c>
      <c r="BO42" s="213">
        <v>0</v>
      </c>
      <c r="BP42" s="213">
        <v>0</v>
      </c>
      <c r="BQ42" s="213">
        <v>0</v>
      </c>
      <c r="BR42" s="213">
        <v>24530688.000000004</v>
      </c>
      <c r="BS42" s="213">
        <v>0</v>
      </c>
      <c r="BT42" s="224">
        <f t="shared" si="42"/>
        <v>24530688.000000004</v>
      </c>
    </row>
    <row r="43" spans="2:72" ht="15">
      <c r="B43" s="196">
        <f t="shared" si="0"/>
        <v>31</v>
      </c>
      <c r="C43" s="184"/>
      <c r="D43" s="207" t="s">
        <v>308</v>
      </c>
      <c r="E43" s="223">
        <v>0</v>
      </c>
      <c r="F43" s="223">
        <v>0</v>
      </c>
      <c r="G43" s="223">
        <v>0</v>
      </c>
      <c r="H43" s="223">
        <v>0</v>
      </c>
      <c r="I43" s="223">
        <v>0</v>
      </c>
      <c r="J43" s="223">
        <f t="shared" si="31"/>
        <v>0</v>
      </c>
      <c r="K43" s="223">
        <v>0</v>
      </c>
      <c r="L43" s="223">
        <v>0</v>
      </c>
      <c r="M43" s="223">
        <v>0</v>
      </c>
      <c r="N43" s="223">
        <v>0</v>
      </c>
      <c r="O43" s="223">
        <f t="shared" si="32"/>
        <v>0</v>
      </c>
      <c r="P43" s="223">
        <v>0</v>
      </c>
      <c r="Q43" s="223">
        <v>0</v>
      </c>
      <c r="R43" s="223">
        <v>0</v>
      </c>
      <c r="S43" s="223">
        <v>0</v>
      </c>
      <c r="T43" s="223">
        <f t="shared" si="33"/>
        <v>0</v>
      </c>
      <c r="U43" s="213">
        <v>0</v>
      </c>
      <c r="V43" s="213">
        <v>0</v>
      </c>
      <c r="W43" s="213">
        <v>0</v>
      </c>
      <c r="X43" s="213">
        <v>0</v>
      </c>
      <c r="Y43" s="213">
        <v>0</v>
      </c>
      <c r="Z43" s="223">
        <f t="shared" si="34"/>
        <v>0</v>
      </c>
      <c r="AA43" s="180"/>
      <c r="AB43" s="223">
        <v>0</v>
      </c>
      <c r="AC43" s="223">
        <v>0</v>
      </c>
      <c r="AD43" s="223">
        <v>0</v>
      </c>
      <c r="AE43" s="223">
        <v>0</v>
      </c>
      <c r="AF43" s="223">
        <v>0</v>
      </c>
      <c r="AG43" s="223">
        <f t="shared" si="35"/>
        <v>0</v>
      </c>
      <c r="AH43" s="223">
        <v>0</v>
      </c>
      <c r="AI43" s="223">
        <v>0</v>
      </c>
      <c r="AJ43" s="223">
        <v>0</v>
      </c>
      <c r="AK43" s="223">
        <v>0</v>
      </c>
      <c r="AL43" s="223">
        <f t="shared" si="36"/>
        <v>0</v>
      </c>
      <c r="AM43" s="223">
        <v>0</v>
      </c>
      <c r="AN43" s="223">
        <v>0</v>
      </c>
      <c r="AO43" s="223">
        <v>0</v>
      </c>
      <c r="AP43" s="223">
        <v>0</v>
      </c>
      <c r="AQ43" s="223">
        <f t="shared" si="37"/>
        <v>0</v>
      </c>
      <c r="AR43" s="213">
        <v>0</v>
      </c>
      <c r="AS43" s="213">
        <v>0</v>
      </c>
      <c r="AT43" s="213">
        <v>0</v>
      </c>
      <c r="AU43" s="213">
        <v>0</v>
      </c>
      <c r="AV43" s="213">
        <v>0</v>
      </c>
      <c r="AW43" s="223">
        <f t="shared" si="38"/>
        <v>0</v>
      </c>
      <c r="AX43" s="180"/>
      <c r="AY43" s="223">
        <v>0</v>
      </c>
      <c r="AZ43" s="223">
        <v>0</v>
      </c>
      <c r="BA43" s="223">
        <v>0</v>
      </c>
      <c r="BB43" s="223">
        <v>0</v>
      </c>
      <c r="BC43" s="223">
        <v>0</v>
      </c>
      <c r="BD43" s="223">
        <f t="shared" si="39"/>
        <v>0</v>
      </c>
      <c r="BE43" s="223">
        <v>0</v>
      </c>
      <c r="BF43" s="223">
        <v>0</v>
      </c>
      <c r="BG43" s="223">
        <v>0</v>
      </c>
      <c r="BH43" s="223">
        <v>0</v>
      </c>
      <c r="BI43" s="223">
        <f t="shared" si="40"/>
        <v>0</v>
      </c>
      <c r="BJ43" s="223">
        <v>0</v>
      </c>
      <c r="BK43" s="223">
        <v>0</v>
      </c>
      <c r="BL43" s="223">
        <v>0</v>
      </c>
      <c r="BM43" s="223">
        <v>0</v>
      </c>
      <c r="BN43" s="223">
        <f t="shared" si="41"/>
        <v>0</v>
      </c>
      <c r="BO43" s="213">
        <v>0</v>
      </c>
      <c r="BP43" s="213">
        <v>0</v>
      </c>
      <c r="BQ43" s="213">
        <v>0</v>
      </c>
      <c r="BR43" s="213">
        <v>0</v>
      </c>
      <c r="BS43" s="213">
        <v>0</v>
      </c>
      <c r="BT43" s="224">
        <f t="shared" si="42"/>
        <v>0</v>
      </c>
    </row>
    <row r="44" spans="2:72" ht="15">
      <c r="B44" s="196">
        <f t="shared" si="0"/>
        <v>32</v>
      </c>
      <c r="C44" s="184"/>
      <c r="D44" s="207" t="s">
        <v>309</v>
      </c>
      <c r="E44" s="223">
        <v>0</v>
      </c>
      <c r="F44" s="223">
        <v>0</v>
      </c>
      <c r="G44" s="223">
        <v>0</v>
      </c>
      <c r="H44" s="223">
        <v>0</v>
      </c>
      <c r="I44" s="223">
        <v>0</v>
      </c>
      <c r="J44" s="223">
        <f t="shared" si="31"/>
        <v>0</v>
      </c>
      <c r="K44" s="223">
        <v>0</v>
      </c>
      <c r="L44" s="223">
        <v>0</v>
      </c>
      <c r="M44" s="223">
        <v>0</v>
      </c>
      <c r="N44" s="223">
        <v>0</v>
      </c>
      <c r="O44" s="223">
        <f t="shared" si="32"/>
        <v>0</v>
      </c>
      <c r="P44" s="223">
        <v>0</v>
      </c>
      <c r="Q44" s="223">
        <v>0</v>
      </c>
      <c r="R44" s="223">
        <v>0</v>
      </c>
      <c r="S44" s="223">
        <v>0</v>
      </c>
      <c r="T44" s="223">
        <f t="shared" si="33"/>
        <v>0</v>
      </c>
      <c r="U44" s="213">
        <v>20000</v>
      </c>
      <c r="V44" s="213">
        <v>0</v>
      </c>
      <c r="W44" s="213">
        <v>0</v>
      </c>
      <c r="X44" s="213">
        <v>7460496</v>
      </c>
      <c r="Y44" s="213">
        <v>0</v>
      </c>
      <c r="Z44" s="223">
        <f t="shared" si="34"/>
        <v>7480496</v>
      </c>
      <c r="AA44" s="180"/>
      <c r="AB44" s="223">
        <v>0</v>
      </c>
      <c r="AC44" s="223">
        <v>0</v>
      </c>
      <c r="AD44" s="223">
        <v>0</v>
      </c>
      <c r="AE44" s="223">
        <v>0</v>
      </c>
      <c r="AF44" s="223">
        <v>0</v>
      </c>
      <c r="AG44" s="223">
        <f t="shared" si="35"/>
        <v>0</v>
      </c>
      <c r="AH44" s="223">
        <v>0</v>
      </c>
      <c r="AI44" s="223">
        <v>0</v>
      </c>
      <c r="AJ44" s="223">
        <v>0</v>
      </c>
      <c r="AK44" s="223">
        <v>0</v>
      </c>
      <c r="AL44" s="223">
        <f t="shared" si="36"/>
        <v>0</v>
      </c>
      <c r="AM44" s="223">
        <v>0</v>
      </c>
      <c r="AN44" s="223">
        <v>0</v>
      </c>
      <c r="AO44" s="223">
        <v>0</v>
      </c>
      <c r="AP44" s="223">
        <v>0</v>
      </c>
      <c r="AQ44" s="223">
        <f t="shared" si="37"/>
        <v>0</v>
      </c>
      <c r="AR44" s="213">
        <v>0</v>
      </c>
      <c r="AS44" s="213">
        <v>0</v>
      </c>
      <c r="AT44" s="213">
        <v>0</v>
      </c>
      <c r="AU44" s="213">
        <v>0</v>
      </c>
      <c r="AV44" s="213">
        <v>0</v>
      </c>
      <c r="AW44" s="223">
        <f t="shared" si="38"/>
        <v>0</v>
      </c>
      <c r="AX44" s="180"/>
      <c r="AY44" s="223">
        <v>0</v>
      </c>
      <c r="AZ44" s="223">
        <v>0</v>
      </c>
      <c r="BA44" s="223">
        <v>0</v>
      </c>
      <c r="BB44" s="223">
        <v>0</v>
      </c>
      <c r="BC44" s="223">
        <v>0</v>
      </c>
      <c r="BD44" s="223">
        <f t="shared" si="39"/>
        <v>0</v>
      </c>
      <c r="BE44" s="223">
        <v>0</v>
      </c>
      <c r="BF44" s="223">
        <v>0</v>
      </c>
      <c r="BG44" s="223">
        <v>0</v>
      </c>
      <c r="BH44" s="223">
        <v>0</v>
      </c>
      <c r="BI44" s="223">
        <f t="shared" si="40"/>
        <v>0</v>
      </c>
      <c r="BJ44" s="223">
        <v>0</v>
      </c>
      <c r="BK44" s="223">
        <v>0</v>
      </c>
      <c r="BL44" s="223">
        <v>0</v>
      </c>
      <c r="BM44" s="223">
        <v>0</v>
      </c>
      <c r="BN44" s="223">
        <f t="shared" si="41"/>
        <v>0</v>
      </c>
      <c r="BO44" s="213">
        <v>21218.000000000004</v>
      </c>
      <c r="BP44" s="213">
        <v>0</v>
      </c>
      <c r="BQ44" s="213">
        <v>0</v>
      </c>
      <c r="BR44" s="213">
        <v>7914840.2063999986</v>
      </c>
      <c r="BS44" s="213">
        <v>0</v>
      </c>
      <c r="BT44" s="224">
        <f t="shared" si="42"/>
        <v>7936058.2063999986</v>
      </c>
    </row>
    <row r="45" spans="2:72" s="230" customFormat="1" ht="15">
      <c r="B45" s="196">
        <f t="shared" si="0"/>
        <v>33</v>
      </c>
      <c r="C45" s="184"/>
      <c r="D45" s="207" t="s">
        <v>310</v>
      </c>
      <c r="E45" s="223">
        <v>0</v>
      </c>
      <c r="F45" s="223">
        <v>0</v>
      </c>
      <c r="G45" s="223">
        <v>0</v>
      </c>
      <c r="H45" s="223">
        <v>0</v>
      </c>
      <c r="I45" s="223">
        <v>0</v>
      </c>
      <c r="J45" s="223">
        <f t="shared" si="31"/>
        <v>0</v>
      </c>
      <c r="K45" s="223">
        <v>0</v>
      </c>
      <c r="L45" s="223">
        <v>0</v>
      </c>
      <c r="M45" s="223">
        <v>0</v>
      </c>
      <c r="N45" s="223">
        <v>0</v>
      </c>
      <c r="O45" s="223">
        <f t="shared" si="32"/>
        <v>0</v>
      </c>
      <c r="P45" s="223">
        <v>0</v>
      </c>
      <c r="Q45" s="223">
        <v>0</v>
      </c>
      <c r="R45" s="223">
        <v>0</v>
      </c>
      <c r="S45" s="223">
        <v>0</v>
      </c>
      <c r="T45" s="223">
        <f t="shared" si="33"/>
        <v>0</v>
      </c>
      <c r="U45" s="213">
        <v>1582834</v>
      </c>
      <c r="V45" s="213">
        <v>1649903.5200000005</v>
      </c>
      <c r="W45" s="213">
        <v>150000</v>
      </c>
      <c r="X45" s="213">
        <v>52630075.640000001</v>
      </c>
      <c r="Y45" s="213">
        <v>0</v>
      </c>
      <c r="Z45" s="223">
        <f t="shared" si="34"/>
        <v>56012813.160000004</v>
      </c>
      <c r="AA45" s="180"/>
      <c r="AB45" s="223">
        <v>0</v>
      </c>
      <c r="AC45" s="223">
        <v>0</v>
      </c>
      <c r="AD45" s="223">
        <v>0</v>
      </c>
      <c r="AE45" s="223">
        <v>0</v>
      </c>
      <c r="AF45" s="223">
        <v>0</v>
      </c>
      <c r="AG45" s="223">
        <f t="shared" si="35"/>
        <v>0</v>
      </c>
      <c r="AH45" s="223">
        <v>0</v>
      </c>
      <c r="AI45" s="223">
        <v>0</v>
      </c>
      <c r="AJ45" s="223">
        <v>0</v>
      </c>
      <c r="AK45" s="223">
        <v>0</v>
      </c>
      <c r="AL45" s="223">
        <f t="shared" si="36"/>
        <v>0</v>
      </c>
      <c r="AM45" s="223">
        <v>0</v>
      </c>
      <c r="AN45" s="223">
        <v>0</v>
      </c>
      <c r="AO45" s="223">
        <v>0</v>
      </c>
      <c r="AP45" s="223">
        <v>0</v>
      </c>
      <c r="AQ45" s="223">
        <f t="shared" si="37"/>
        <v>0</v>
      </c>
      <c r="AR45" s="213">
        <v>0</v>
      </c>
      <c r="AS45" s="213">
        <v>0</v>
      </c>
      <c r="AT45" s="213">
        <v>0</v>
      </c>
      <c r="AU45" s="213">
        <v>0</v>
      </c>
      <c r="AV45" s="213">
        <v>0</v>
      </c>
      <c r="AW45" s="223">
        <f t="shared" si="38"/>
        <v>0</v>
      </c>
      <c r="AX45" s="180"/>
      <c r="AY45" s="223">
        <v>0</v>
      </c>
      <c r="AZ45" s="223">
        <v>0</v>
      </c>
      <c r="BA45" s="223">
        <v>0</v>
      </c>
      <c r="BB45" s="223">
        <v>0</v>
      </c>
      <c r="BC45" s="223">
        <v>0</v>
      </c>
      <c r="BD45" s="223">
        <f t="shared" si="39"/>
        <v>0</v>
      </c>
      <c r="BE45" s="223">
        <v>0</v>
      </c>
      <c r="BF45" s="223">
        <v>0</v>
      </c>
      <c r="BG45" s="223">
        <v>0</v>
      </c>
      <c r="BH45" s="223">
        <v>0</v>
      </c>
      <c r="BI45" s="223">
        <f t="shared" si="40"/>
        <v>0</v>
      </c>
      <c r="BJ45" s="223">
        <v>0</v>
      </c>
      <c r="BK45" s="223">
        <v>0</v>
      </c>
      <c r="BL45" s="223">
        <v>0</v>
      </c>
      <c r="BM45" s="223">
        <v>0</v>
      </c>
      <c r="BN45" s="223">
        <f t="shared" si="41"/>
        <v>0</v>
      </c>
      <c r="BO45" s="213">
        <v>0</v>
      </c>
      <c r="BP45" s="213">
        <v>1835663.2152996683</v>
      </c>
      <c r="BQ45" s="213">
        <v>159135</v>
      </c>
      <c r="BR45" s="213">
        <v>100028777.447752</v>
      </c>
      <c r="BS45" s="213">
        <v>0</v>
      </c>
      <c r="BT45" s="224">
        <f t="shared" si="42"/>
        <v>102023575.66305166</v>
      </c>
    </row>
    <row r="46" spans="2:72" s="230" customFormat="1" ht="15">
      <c r="B46" s="196">
        <f t="shared" si="0"/>
        <v>34</v>
      </c>
      <c r="C46" s="184"/>
      <c r="D46" s="207" t="s">
        <v>311</v>
      </c>
      <c r="E46" s="223">
        <v>0</v>
      </c>
      <c r="F46" s="223">
        <v>0</v>
      </c>
      <c r="G46" s="223">
        <v>0</v>
      </c>
      <c r="H46" s="223">
        <v>0</v>
      </c>
      <c r="I46" s="223">
        <v>0</v>
      </c>
      <c r="J46" s="223">
        <f t="shared" si="31"/>
        <v>0</v>
      </c>
      <c r="K46" s="223">
        <v>0</v>
      </c>
      <c r="L46" s="223">
        <v>0</v>
      </c>
      <c r="M46" s="223">
        <v>0</v>
      </c>
      <c r="N46" s="223">
        <v>0</v>
      </c>
      <c r="O46" s="223">
        <f t="shared" si="32"/>
        <v>0</v>
      </c>
      <c r="P46" s="223">
        <v>0</v>
      </c>
      <c r="Q46" s="223">
        <v>0</v>
      </c>
      <c r="R46" s="223">
        <v>0</v>
      </c>
      <c r="S46" s="223">
        <v>0</v>
      </c>
      <c r="T46" s="223">
        <f t="shared" si="33"/>
        <v>0</v>
      </c>
      <c r="U46" s="213">
        <v>0</v>
      </c>
      <c r="V46" s="213">
        <v>0</v>
      </c>
      <c r="W46" s="213">
        <v>0</v>
      </c>
      <c r="X46" s="213">
        <v>0</v>
      </c>
      <c r="Y46" s="213">
        <v>0</v>
      </c>
      <c r="Z46" s="223">
        <f t="shared" si="34"/>
        <v>0</v>
      </c>
      <c r="AA46" s="180"/>
      <c r="AB46" s="223">
        <v>0</v>
      </c>
      <c r="AC46" s="223">
        <v>0</v>
      </c>
      <c r="AD46" s="223">
        <v>0</v>
      </c>
      <c r="AE46" s="223">
        <v>0</v>
      </c>
      <c r="AF46" s="223">
        <v>0</v>
      </c>
      <c r="AG46" s="223">
        <f t="shared" si="35"/>
        <v>0</v>
      </c>
      <c r="AH46" s="223">
        <v>0</v>
      </c>
      <c r="AI46" s="223">
        <v>0</v>
      </c>
      <c r="AJ46" s="223">
        <v>0</v>
      </c>
      <c r="AK46" s="223">
        <v>0</v>
      </c>
      <c r="AL46" s="223">
        <f t="shared" si="36"/>
        <v>0</v>
      </c>
      <c r="AM46" s="223">
        <v>0</v>
      </c>
      <c r="AN46" s="223">
        <v>0</v>
      </c>
      <c r="AO46" s="223">
        <v>0</v>
      </c>
      <c r="AP46" s="223">
        <v>0</v>
      </c>
      <c r="AQ46" s="223">
        <f t="shared" si="37"/>
        <v>0</v>
      </c>
      <c r="AR46" s="213">
        <v>0</v>
      </c>
      <c r="AS46" s="213">
        <v>0</v>
      </c>
      <c r="AT46" s="213">
        <v>0</v>
      </c>
      <c r="AU46" s="213">
        <v>0</v>
      </c>
      <c r="AV46" s="213">
        <v>0</v>
      </c>
      <c r="AW46" s="223">
        <f t="shared" si="38"/>
        <v>0</v>
      </c>
      <c r="AX46" s="180"/>
      <c r="AY46" s="223">
        <v>0</v>
      </c>
      <c r="AZ46" s="223">
        <v>0</v>
      </c>
      <c r="BA46" s="223">
        <v>0</v>
      </c>
      <c r="BB46" s="223">
        <v>0</v>
      </c>
      <c r="BC46" s="223">
        <v>0</v>
      </c>
      <c r="BD46" s="223">
        <f t="shared" si="39"/>
        <v>0</v>
      </c>
      <c r="BE46" s="223">
        <v>0</v>
      </c>
      <c r="BF46" s="223">
        <v>0</v>
      </c>
      <c r="BG46" s="223">
        <v>0</v>
      </c>
      <c r="BH46" s="223">
        <v>0</v>
      </c>
      <c r="BI46" s="223">
        <f t="shared" si="40"/>
        <v>0</v>
      </c>
      <c r="BJ46" s="223">
        <v>0</v>
      </c>
      <c r="BK46" s="223">
        <v>0</v>
      </c>
      <c r="BL46" s="223">
        <v>0</v>
      </c>
      <c r="BM46" s="223">
        <v>0</v>
      </c>
      <c r="BN46" s="223">
        <f t="shared" si="41"/>
        <v>0</v>
      </c>
      <c r="BO46" s="213">
        <v>0</v>
      </c>
      <c r="BP46" s="213">
        <v>0</v>
      </c>
      <c r="BQ46" s="213">
        <v>0</v>
      </c>
      <c r="BR46" s="213">
        <v>0</v>
      </c>
      <c r="BS46" s="213">
        <v>0</v>
      </c>
      <c r="BT46" s="224">
        <f t="shared" si="42"/>
        <v>0</v>
      </c>
    </row>
    <row r="47" spans="2:72" ht="15">
      <c r="B47" s="196">
        <f t="shared" si="0"/>
        <v>35</v>
      </c>
      <c r="C47" s="184"/>
      <c r="D47" s="207" t="s">
        <v>312</v>
      </c>
      <c r="E47" s="223">
        <v>0</v>
      </c>
      <c r="F47" s="223">
        <v>0</v>
      </c>
      <c r="G47" s="223">
        <v>0</v>
      </c>
      <c r="H47" s="223">
        <v>0</v>
      </c>
      <c r="I47" s="223">
        <v>0</v>
      </c>
      <c r="J47" s="223">
        <f t="shared" si="31"/>
        <v>0</v>
      </c>
      <c r="K47" s="223">
        <v>0</v>
      </c>
      <c r="L47" s="223">
        <v>0</v>
      </c>
      <c r="M47" s="223">
        <v>0</v>
      </c>
      <c r="N47" s="223">
        <v>0</v>
      </c>
      <c r="O47" s="223">
        <f t="shared" si="32"/>
        <v>0</v>
      </c>
      <c r="P47" s="223">
        <v>0</v>
      </c>
      <c r="Q47" s="223">
        <v>0</v>
      </c>
      <c r="R47" s="223">
        <v>0</v>
      </c>
      <c r="S47" s="223">
        <v>0</v>
      </c>
      <c r="T47" s="223">
        <f t="shared" si="33"/>
        <v>0</v>
      </c>
      <c r="U47" s="213">
        <v>150000</v>
      </c>
      <c r="V47" s="213">
        <v>2305920</v>
      </c>
      <c r="W47" s="213">
        <v>7291680</v>
      </c>
      <c r="X47" s="213">
        <v>14425737.84</v>
      </c>
      <c r="Y47" s="213">
        <v>0</v>
      </c>
      <c r="Z47" s="223">
        <f t="shared" si="34"/>
        <v>24173337.84</v>
      </c>
      <c r="AA47" s="180"/>
      <c r="AB47" s="223">
        <v>0</v>
      </c>
      <c r="AC47" s="223">
        <v>0</v>
      </c>
      <c r="AD47" s="223">
        <v>0</v>
      </c>
      <c r="AE47" s="223">
        <v>0</v>
      </c>
      <c r="AF47" s="223">
        <v>0</v>
      </c>
      <c r="AG47" s="223">
        <f t="shared" si="35"/>
        <v>0</v>
      </c>
      <c r="AH47" s="223">
        <v>0</v>
      </c>
      <c r="AI47" s="223">
        <v>0</v>
      </c>
      <c r="AJ47" s="223">
        <v>0</v>
      </c>
      <c r="AK47" s="223">
        <v>0</v>
      </c>
      <c r="AL47" s="223">
        <f t="shared" si="36"/>
        <v>0</v>
      </c>
      <c r="AM47" s="223">
        <v>0</v>
      </c>
      <c r="AN47" s="223">
        <v>0</v>
      </c>
      <c r="AO47" s="223">
        <v>0</v>
      </c>
      <c r="AP47" s="223">
        <v>0</v>
      </c>
      <c r="AQ47" s="223">
        <f t="shared" si="37"/>
        <v>0</v>
      </c>
      <c r="AR47" s="213">
        <v>0</v>
      </c>
      <c r="AS47" s="213">
        <v>0</v>
      </c>
      <c r="AT47" s="213">
        <v>0</v>
      </c>
      <c r="AU47" s="213">
        <v>0</v>
      </c>
      <c r="AV47" s="213">
        <v>0</v>
      </c>
      <c r="AW47" s="223">
        <f t="shared" si="38"/>
        <v>0</v>
      </c>
      <c r="AX47" s="180"/>
      <c r="AY47" s="223">
        <v>0</v>
      </c>
      <c r="AZ47" s="223">
        <v>0</v>
      </c>
      <c r="BA47" s="223">
        <v>0</v>
      </c>
      <c r="BB47" s="223">
        <v>0</v>
      </c>
      <c r="BC47" s="223">
        <v>0</v>
      </c>
      <c r="BD47" s="223">
        <f t="shared" si="39"/>
        <v>0</v>
      </c>
      <c r="BE47" s="223">
        <v>0</v>
      </c>
      <c r="BF47" s="223">
        <v>0</v>
      </c>
      <c r="BG47" s="223">
        <v>0</v>
      </c>
      <c r="BH47" s="223">
        <v>0</v>
      </c>
      <c r="BI47" s="223">
        <f t="shared" si="40"/>
        <v>0</v>
      </c>
      <c r="BJ47" s="223">
        <v>0</v>
      </c>
      <c r="BK47" s="223">
        <v>0</v>
      </c>
      <c r="BL47" s="223">
        <v>0</v>
      </c>
      <c r="BM47" s="223">
        <v>0</v>
      </c>
      <c r="BN47" s="223">
        <f t="shared" si="41"/>
        <v>0</v>
      </c>
      <c r="BO47" s="213">
        <v>129780</v>
      </c>
      <c r="BP47" s="213">
        <v>2542276.8000000003</v>
      </c>
      <c r="BQ47" s="213">
        <v>7735743.3120000008</v>
      </c>
      <c r="BR47" s="213">
        <v>15545266.200000003</v>
      </c>
      <c r="BS47" s="213">
        <v>0</v>
      </c>
      <c r="BT47" s="224">
        <f t="shared" si="42"/>
        <v>25953066.312000006</v>
      </c>
    </row>
    <row r="48" spans="2:72" ht="15">
      <c r="B48" s="196">
        <f t="shared" si="0"/>
        <v>36</v>
      </c>
      <c r="C48" s="184"/>
      <c r="D48" s="207" t="s">
        <v>313</v>
      </c>
      <c r="E48" s="223">
        <v>0</v>
      </c>
      <c r="F48" s="223">
        <v>0</v>
      </c>
      <c r="G48" s="223">
        <v>0</v>
      </c>
      <c r="H48" s="223">
        <v>0</v>
      </c>
      <c r="I48" s="223">
        <v>0</v>
      </c>
      <c r="J48" s="223">
        <f t="shared" si="31"/>
        <v>0</v>
      </c>
      <c r="K48" s="223">
        <v>0</v>
      </c>
      <c r="L48" s="223">
        <v>0</v>
      </c>
      <c r="M48" s="223">
        <v>0</v>
      </c>
      <c r="N48" s="223">
        <v>0</v>
      </c>
      <c r="O48" s="223">
        <f t="shared" si="32"/>
        <v>0</v>
      </c>
      <c r="P48" s="223">
        <v>0</v>
      </c>
      <c r="Q48" s="223">
        <v>0</v>
      </c>
      <c r="R48" s="223">
        <v>0</v>
      </c>
      <c r="S48" s="223">
        <v>0</v>
      </c>
      <c r="T48" s="223">
        <f t="shared" si="33"/>
        <v>0</v>
      </c>
      <c r="U48" s="213">
        <v>0</v>
      </c>
      <c r="V48" s="213">
        <v>3050000.04</v>
      </c>
      <c r="W48" s="213">
        <v>2026196.96</v>
      </c>
      <c r="X48" s="213">
        <v>14900000.039999999</v>
      </c>
      <c r="Y48" s="213">
        <v>0</v>
      </c>
      <c r="Z48" s="223">
        <f t="shared" si="34"/>
        <v>19976197.039999999</v>
      </c>
      <c r="AA48" s="180"/>
      <c r="AB48" s="223">
        <v>0</v>
      </c>
      <c r="AC48" s="223">
        <v>0</v>
      </c>
      <c r="AD48" s="223">
        <v>0</v>
      </c>
      <c r="AE48" s="223">
        <v>0</v>
      </c>
      <c r="AF48" s="223">
        <v>0</v>
      </c>
      <c r="AG48" s="223">
        <f t="shared" si="35"/>
        <v>0</v>
      </c>
      <c r="AH48" s="223">
        <v>0</v>
      </c>
      <c r="AI48" s="223">
        <v>0</v>
      </c>
      <c r="AJ48" s="223">
        <v>0</v>
      </c>
      <c r="AK48" s="223">
        <v>0</v>
      </c>
      <c r="AL48" s="223">
        <f t="shared" si="36"/>
        <v>0</v>
      </c>
      <c r="AM48" s="223">
        <v>0</v>
      </c>
      <c r="AN48" s="223">
        <v>0</v>
      </c>
      <c r="AO48" s="223">
        <v>0</v>
      </c>
      <c r="AP48" s="223">
        <v>0</v>
      </c>
      <c r="AQ48" s="223">
        <f t="shared" si="37"/>
        <v>0</v>
      </c>
      <c r="AR48" s="213">
        <v>0</v>
      </c>
      <c r="AS48" s="213">
        <v>0</v>
      </c>
      <c r="AT48" s="213">
        <v>0</v>
      </c>
      <c r="AU48" s="213">
        <v>0</v>
      </c>
      <c r="AV48" s="213">
        <v>0</v>
      </c>
      <c r="AW48" s="223">
        <f t="shared" si="38"/>
        <v>0</v>
      </c>
      <c r="AX48" s="180"/>
      <c r="AY48" s="223">
        <v>0</v>
      </c>
      <c r="AZ48" s="223">
        <v>0</v>
      </c>
      <c r="BA48" s="223">
        <v>0</v>
      </c>
      <c r="BB48" s="223">
        <v>0</v>
      </c>
      <c r="BC48" s="223">
        <v>0</v>
      </c>
      <c r="BD48" s="223">
        <f t="shared" si="39"/>
        <v>0</v>
      </c>
      <c r="BE48" s="223">
        <v>0</v>
      </c>
      <c r="BF48" s="223">
        <v>0</v>
      </c>
      <c r="BG48" s="223">
        <v>0</v>
      </c>
      <c r="BH48" s="223">
        <v>0</v>
      </c>
      <c r="BI48" s="223">
        <f t="shared" si="40"/>
        <v>0</v>
      </c>
      <c r="BJ48" s="223">
        <v>0</v>
      </c>
      <c r="BK48" s="223">
        <v>0</v>
      </c>
      <c r="BL48" s="223">
        <v>0</v>
      </c>
      <c r="BM48" s="223">
        <v>0</v>
      </c>
      <c r="BN48" s="223">
        <f t="shared" si="41"/>
        <v>0</v>
      </c>
      <c r="BO48" s="213">
        <v>0</v>
      </c>
      <c r="BP48" s="213">
        <v>3362625.0441000001</v>
      </c>
      <c r="BQ48" s="213">
        <v>2149592.3548640003</v>
      </c>
      <c r="BR48" s="213">
        <v>16292620.102788001</v>
      </c>
      <c r="BS48" s="213">
        <v>0</v>
      </c>
      <c r="BT48" s="224">
        <f t="shared" si="42"/>
        <v>21804837.501752004</v>
      </c>
    </row>
    <row r="49" spans="2:72" ht="15">
      <c r="B49" s="196">
        <f t="shared" si="0"/>
        <v>37</v>
      </c>
      <c r="C49" s="184"/>
      <c r="D49" s="207" t="s">
        <v>314</v>
      </c>
      <c r="E49" s="223">
        <v>0</v>
      </c>
      <c r="F49" s="223">
        <v>0</v>
      </c>
      <c r="G49" s="223">
        <v>0</v>
      </c>
      <c r="H49" s="223">
        <v>0</v>
      </c>
      <c r="I49" s="223">
        <v>0</v>
      </c>
      <c r="J49" s="223">
        <f t="shared" si="31"/>
        <v>0</v>
      </c>
      <c r="K49" s="223">
        <v>0</v>
      </c>
      <c r="L49" s="223">
        <v>0</v>
      </c>
      <c r="M49" s="223">
        <v>0</v>
      </c>
      <c r="N49" s="223">
        <v>0</v>
      </c>
      <c r="O49" s="223">
        <f t="shared" si="32"/>
        <v>0</v>
      </c>
      <c r="P49" s="223">
        <v>0</v>
      </c>
      <c r="Q49" s="223">
        <v>0</v>
      </c>
      <c r="R49" s="223">
        <v>0</v>
      </c>
      <c r="S49" s="223">
        <v>0</v>
      </c>
      <c r="T49" s="223">
        <f t="shared" si="33"/>
        <v>0</v>
      </c>
      <c r="U49" s="213">
        <v>175700.08</v>
      </c>
      <c r="V49" s="213">
        <v>31200.240000000005</v>
      </c>
      <c r="W49" s="213">
        <v>9996</v>
      </c>
      <c r="X49" s="213">
        <v>1852281.12</v>
      </c>
      <c r="Y49" s="213">
        <v>0</v>
      </c>
      <c r="Z49" s="223">
        <f t="shared" si="34"/>
        <v>2069177.4400000002</v>
      </c>
      <c r="AA49" s="180"/>
      <c r="AB49" s="223">
        <v>0</v>
      </c>
      <c r="AC49" s="223">
        <v>0</v>
      </c>
      <c r="AD49" s="223">
        <v>0</v>
      </c>
      <c r="AE49" s="223">
        <v>0</v>
      </c>
      <c r="AF49" s="223">
        <v>0</v>
      </c>
      <c r="AG49" s="223">
        <f t="shared" si="35"/>
        <v>0</v>
      </c>
      <c r="AH49" s="223">
        <v>0</v>
      </c>
      <c r="AI49" s="223">
        <v>0</v>
      </c>
      <c r="AJ49" s="223">
        <v>0</v>
      </c>
      <c r="AK49" s="223">
        <v>0</v>
      </c>
      <c r="AL49" s="223">
        <f t="shared" si="36"/>
        <v>0</v>
      </c>
      <c r="AM49" s="223">
        <v>0</v>
      </c>
      <c r="AN49" s="223">
        <v>0</v>
      </c>
      <c r="AO49" s="223">
        <v>0</v>
      </c>
      <c r="AP49" s="223">
        <v>0</v>
      </c>
      <c r="AQ49" s="223">
        <f t="shared" si="37"/>
        <v>0</v>
      </c>
      <c r="AR49" s="213">
        <v>0</v>
      </c>
      <c r="AS49" s="213">
        <v>0</v>
      </c>
      <c r="AT49" s="213">
        <v>0</v>
      </c>
      <c r="AU49" s="213">
        <v>0</v>
      </c>
      <c r="AV49" s="213">
        <v>0</v>
      </c>
      <c r="AW49" s="223">
        <f t="shared" si="38"/>
        <v>0</v>
      </c>
      <c r="AX49" s="180"/>
      <c r="AY49" s="223">
        <v>0</v>
      </c>
      <c r="AZ49" s="223">
        <v>0</v>
      </c>
      <c r="BA49" s="223">
        <v>0</v>
      </c>
      <c r="BB49" s="223">
        <v>0</v>
      </c>
      <c r="BC49" s="223">
        <v>0</v>
      </c>
      <c r="BD49" s="223">
        <f t="shared" si="39"/>
        <v>0</v>
      </c>
      <c r="BE49" s="223">
        <v>0</v>
      </c>
      <c r="BF49" s="223">
        <v>0</v>
      </c>
      <c r="BG49" s="223">
        <v>0</v>
      </c>
      <c r="BH49" s="223">
        <v>0</v>
      </c>
      <c r="BI49" s="223">
        <f t="shared" si="40"/>
        <v>0</v>
      </c>
      <c r="BJ49" s="223">
        <v>0</v>
      </c>
      <c r="BK49" s="223">
        <v>0</v>
      </c>
      <c r="BL49" s="223">
        <v>0</v>
      </c>
      <c r="BM49" s="223">
        <v>0</v>
      </c>
      <c r="BN49" s="223">
        <f t="shared" si="41"/>
        <v>0</v>
      </c>
      <c r="BO49" s="213">
        <v>186400.21487199998</v>
      </c>
      <c r="BP49" s="213">
        <v>35326.420117220587</v>
      </c>
      <c r="BQ49" s="213">
        <v>10604.756400000002</v>
      </c>
      <c r="BR49" s="213">
        <v>2027353.450344</v>
      </c>
      <c r="BS49" s="213">
        <v>0</v>
      </c>
      <c r="BT49" s="224">
        <f t="shared" si="42"/>
        <v>2259684.8417332205</v>
      </c>
    </row>
    <row r="50" spans="2:72" ht="14.25" customHeight="1">
      <c r="B50" s="196">
        <f t="shared" si="0"/>
        <v>38</v>
      </c>
      <c r="C50" s="184"/>
      <c r="D50" s="207" t="s">
        <v>315</v>
      </c>
      <c r="E50" s="223">
        <v>0</v>
      </c>
      <c r="F50" s="223">
        <v>0</v>
      </c>
      <c r="G50" s="223">
        <v>0</v>
      </c>
      <c r="H50" s="223">
        <v>0</v>
      </c>
      <c r="I50" s="223">
        <v>0</v>
      </c>
      <c r="J50" s="223">
        <f t="shared" si="31"/>
        <v>0</v>
      </c>
      <c r="K50" s="223">
        <v>0</v>
      </c>
      <c r="L50" s="223">
        <v>0</v>
      </c>
      <c r="M50" s="223">
        <v>0</v>
      </c>
      <c r="N50" s="223">
        <v>0</v>
      </c>
      <c r="O50" s="223">
        <f t="shared" si="32"/>
        <v>0</v>
      </c>
      <c r="P50" s="223">
        <v>0</v>
      </c>
      <c r="Q50" s="223">
        <v>0</v>
      </c>
      <c r="R50" s="223">
        <v>0</v>
      </c>
      <c r="S50" s="223">
        <v>0</v>
      </c>
      <c r="T50" s="223">
        <f t="shared" si="33"/>
        <v>0</v>
      </c>
      <c r="U50" s="213">
        <v>108996032</v>
      </c>
      <c r="V50" s="213">
        <v>74268569.450000018</v>
      </c>
      <c r="W50" s="213">
        <v>8672807.7899999991</v>
      </c>
      <c r="X50" s="213">
        <v>65315098.680000007</v>
      </c>
      <c r="Y50" s="213">
        <v>0</v>
      </c>
      <c r="Z50" s="223">
        <f t="shared" si="34"/>
        <v>257252507.92000002</v>
      </c>
      <c r="AA50" s="180"/>
      <c r="AB50" s="223">
        <v>0</v>
      </c>
      <c r="AC50" s="223">
        <v>0</v>
      </c>
      <c r="AD50" s="223">
        <v>0</v>
      </c>
      <c r="AE50" s="223">
        <v>0</v>
      </c>
      <c r="AF50" s="223">
        <v>0</v>
      </c>
      <c r="AG50" s="223">
        <f t="shared" si="35"/>
        <v>0</v>
      </c>
      <c r="AH50" s="223">
        <v>0</v>
      </c>
      <c r="AI50" s="223">
        <v>0</v>
      </c>
      <c r="AJ50" s="223">
        <v>0</v>
      </c>
      <c r="AK50" s="223">
        <v>0</v>
      </c>
      <c r="AL50" s="223">
        <f t="shared" si="36"/>
        <v>0</v>
      </c>
      <c r="AM50" s="223">
        <v>0</v>
      </c>
      <c r="AN50" s="223">
        <v>0</v>
      </c>
      <c r="AO50" s="223">
        <v>0</v>
      </c>
      <c r="AP50" s="223">
        <v>0</v>
      </c>
      <c r="AQ50" s="223">
        <f t="shared" si="37"/>
        <v>0</v>
      </c>
      <c r="AR50" s="213">
        <v>0</v>
      </c>
      <c r="AS50" s="213">
        <v>0</v>
      </c>
      <c r="AT50" s="213">
        <v>0</v>
      </c>
      <c r="AU50" s="213">
        <v>0</v>
      </c>
      <c r="AV50" s="213">
        <v>0</v>
      </c>
      <c r="AW50" s="223">
        <f t="shared" si="38"/>
        <v>0</v>
      </c>
      <c r="AX50" s="180"/>
      <c r="AY50" s="223">
        <v>0</v>
      </c>
      <c r="AZ50" s="223">
        <v>0</v>
      </c>
      <c r="BA50" s="223">
        <v>0</v>
      </c>
      <c r="BB50" s="223">
        <v>0</v>
      </c>
      <c r="BC50" s="223">
        <v>0</v>
      </c>
      <c r="BD50" s="223">
        <f t="shared" si="39"/>
        <v>0</v>
      </c>
      <c r="BE50" s="223">
        <v>0</v>
      </c>
      <c r="BF50" s="223">
        <v>0</v>
      </c>
      <c r="BG50" s="223">
        <v>0</v>
      </c>
      <c r="BH50" s="223">
        <v>0</v>
      </c>
      <c r="BI50" s="223">
        <f t="shared" si="40"/>
        <v>0</v>
      </c>
      <c r="BJ50" s="223">
        <v>0</v>
      </c>
      <c r="BK50" s="223">
        <v>0</v>
      </c>
      <c r="BL50" s="223">
        <v>0</v>
      </c>
      <c r="BM50" s="223">
        <v>0</v>
      </c>
      <c r="BN50" s="223">
        <f t="shared" si="41"/>
        <v>0</v>
      </c>
      <c r="BO50" s="213">
        <v>115710241.284872</v>
      </c>
      <c r="BP50" s="213">
        <v>217472109.63485461</v>
      </c>
      <c r="BQ50" s="213">
        <v>9200981.7844110001</v>
      </c>
      <c r="BR50" s="213">
        <v>66015396.893788002</v>
      </c>
      <c r="BS50" s="213">
        <v>0</v>
      </c>
      <c r="BT50" s="224">
        <f t="shared" si="42"/>
        <v>408398729.5979256</v>
      </c>
    </row>
    <row r="51" spans="2:72" ht="15">
      <c r="B51" s="196">
        <f t="shared" si="0"/>
        <v>39</v>
      </c>
      <c r="C51" s="184"/>
      <c r="D51" s="207" t="s">
        <v>316</v>
      </c>
      <c r="E51" s="223">
        <v>0</v>
      </c>
      <c r="F51" s="223">
        <v>0</v>
      </c>
      <c r="G51" s="223">
        <v>0</v>
      </c>
      <c r="H51" s="223">
        <v>0</v>
      </c>
      <c r="I51" s="223">
        <v>0</v>
      </c>
      <c r="J51" s="223">
        <f t="shared" si="31"/>
        <v>0</v>
      </c>
      <c r="K51" s="223">
        <v>0</v>
      </c>
      <c r="L51" s="223">
        <v>0</v>
      </c>
      <c r="M51" s="223">
        <v>0</v>
      </c>
      <c r="N51" s="223">
        <v>0</v>
      </c>
      <c r="O51" s="223">
        <f t="shared" si="32"/>
        <v>0</v>
      </c>
      <c r="P51" s="223">
        <v>0</v>
      </c>
      <c r="Q51" s="223">
        <v>0</v>
      </c>
      <c r="R51" s="223">
        <v>0</v>
      </c>
      <c r="S51" s="223">
        <v>0</v>
      </c>
      <c r="T51" s="223">
        <f t="shared" si="33"/>
        <v>0</v>
      </c>
      <c r="U51" s="213">
        <v>0</v>
      </c>
      <c r="V51" s="213">
        <v>125000000.04000002</v>
      </c>
      <c r="W51" s="213">
        <v>0</v>
      </c>
      <c r="X51" s="213">
        <v>0</v>
      </c>
      <c r="Y51" s="213">
        <v>0</v>
      </c>
      <c r="Z51" s="223">
        <f t="shared" si="34"/>
        <v>125000000.04000002</v>
      </c>
      <c r="AA51" s="180"/>
      <c r="AB51" s="223">
        <v>0</v>
      </c>
      <c r="AC51" s="223">
        <v>0</v>
      </c>
      <c r="AD51" s="223">
        <v>0</v>
      </c>
      <c r="AE51" s="223">
        <v>0</v>
      </c>
      <c r="AF51" s="223">
        <v>0</v>
      </c>
      <c r="AG51" s="223">
        <f t="shared" si="35"/>
        <v>0</v>
      </c>
      <c r="AH51" s="223">
        <v>0</v>
      </c>
      <c r="AI51" s="223">
        <v>0</v>
      </c>
      <c r="AJ51" s="223">
        <v>0</v>
      </c>
      <c r="AK51" s="223">
        <v>0</v>
      </c>
      <c r="AL51" s="223">
        <f t="shared" si="36"/>
        <v>0</v>
      </c>
      <c r="AM51" s="223">
        <v>0</v>
      </c>
      <c r="AN51" s="223">
        <v>0</v>
      </c>
      <c r="AO51" s="223">
        <v>0</v>
      </c>
      <c r="AP51" s="223">
        <v>0</v>
      </c>
      <c r="AQ51" s="223">
        <f t="shared" si="37"/>
        <v>0</v>
      </c>
      <c r="AR51" s="213">
        <v>0</v>
      </c>
      <c r="AS51" s="213">
        <v>0</v>
      </c>
      <c r="AT51" s="213">
        <v>0</v>
      </c>
      <c r="AU51" s="213">
        <v>0</v>
      </c>
      <c r="AV51" s="213">
        <v>0</v>
      </c>
      <c r="AW51" s="223">
        <f t="shared" si="38"/>
        <v>0</v>
      </c>
      <c r="AX51" s="180"/>
      <c r="AY51" s="223">
        <v>0</v>
      </c>
      <c r="AZ51" s="223">
        <v>0</v>
      </c>
      <c r="BA51" s="223">
        <v>0</v>
      </c>
      <c r="BB51" s="223">
        <v>0</v>
      </c>
      <c r="BC51" s="223">
        <v>0</v>
      </c>
      <c r="BD51" s="223">
        <f t="shared" si="39"/>
        <v>0</v>
      </c>
      <c r="BE51" s="223">
        <v>0</v>
      </c>
      <c r="BF51" s="223">
        <v>0</v>
      </c>
      <c r="BG51" s="223">
        <v>0</v>
      </c>
      <c r="BH51" s="223">
        <v>0</v>
      </c>
      <c r="BI51" s="223">
        <f t="shared" si="40"/>
        <v>0</v>
      </c>
      <c r="BJ51" s="223">
        <v>0</v>
      </c>
      <c r="BK51" s="223">
        <v>0</v>
      </c>
      <c r="BL51" s="223">
        <v>0</v>
      </c>
      <c r="BM51" s="223">
        <v>0</v>
      </c>
      <c r="BN51" s="223">
        <f t="shared" si="41"/>
        <v>0</v>
      </c>
      <c r="BO51" s="213">
        <v>0</v>
      </c>
      <c r="BP51" s="213">
        <v>0</v>
      </c>
      <c r="BQ51" s="213">
        <v>0</v>
      </c>
      <c r="BR51" s="213">
        <v>0</v>
      </c>
      <c r="BS51" s="213">
        <v>0</v>
      </c>
      <c r="BT51" s="224">
        <f t="shared" si="42"/>
        <v>0</v>
      </c>
    </row>
    <row r="52" spans="2:72" ht="14.25" customHeight="1">
      <c r="B52" s="196">
        <f t="shared" si="0"/>
        <v>40</v>
      </c>
      <c r="C52" s="184"/>
      <c r="D52" s="207" t="s">
        <v>317</v>
      </c>
      <c r="E52" s="223">
        <v>0</v>
      </c>
      <c r="F52" s="223">
        <v>0</v>
      </c>
      <c r="G52" s="223">
        <v>0</v>
      </c>
      <c r="H52" s="223">
        <v>0</v>
      </c>
      <c r="I52" s="223">
        <v>0</v>
      </c>
      <c r="J52" s="223">
        <f t="shared" si="31"/>
        <v>0</v>
      </c>
      <c r="K52" s="223">
        <v>0</v>
      </c>
      <c r="L52" s="223">
        <v>0</v>
      </c>
      <c r="M52" s="223">
        <v>0</v>
      </c>
      <c r="N52" s="223">
        <v>0</v>
      </c>
      <c r="O52" s="223">
        <f t="shared" si="32"/>
        <v>0</v>
      </c>
      <c r="P52" s="223">
        <v>0</v>
      </c>
      <c r="Q52" s="223">
        <v>0</v>
      </c>
      <c r="R52" s="223">
        <v>0</v>
      </c>
      <c r="S52" s="223">
        <v>0</v>
      </c>
      <c r="T52" s="223">
        <f t="shared" si="33"/>
        <v>0</v>
      </c>
      <c r="U52" s="213">
        <v>0</v>
      </c>
      <c r="V52" s="213">
        <v>0</v>
      </c>
      <c r="W52" s="213">
        <v>0</v>
      </c>
      <c r="X52" s="213">
        <v>0</v>
      </c>
      <c r="Y52" s="213">
        <v>0</v>
      </c>
      <c r="Z52" s="223">
        <f t="shared" si="34"/>
        <v>0</v>
      </c>
      <c r="AA52" s="180"/>
      <c r="AB52" s="223">
        <v>0</v>
      </c>
      <c r="AC52" s="223">
        <v>0</v>
      </c>
      <c r="AD52" s="223">
        <v>0</v>
      </c>
      <c r="AE52" s="223">
        <v>0</v>
      </c>
      <c r="AF52" s="223">
        <v>0</v>
      </c>
      <c r="AG52" s="223">
        <f t="shared" si="35"/>
        <v>0</v>
      </c>
      <c r="AH52" s="223">
        <v>0</v>
      </c>
      <c r="AI52" s="223">
        <v>0</v>
      </c>
      <c r="AJ52" s="223">
        <v>0</v>
      </c>
      <c r="AK52" s="223">
        <v>0</v>
      </c>
      <c r="AL52" s="223">
        <f t="shared" si="36"/>
        <v>0</v>
      </c>
      <c r="AM52" s="223">
        <v>0</v>
      </c>
      <c r="AN52" s="223">
        <v>0</v>
      </c>
      <c r="AO52" s="223">
        <v>0</v>
      </c>
      <c r="AP52" s="223">
        <v>0</v>
      </c>
      <c r="AQ52" s="223">
        <f t="shared" si="37"/>
        <v>0</v>
      </c>
      <c r="AR52" s="213">
        <v>0</v>
      </c>
      <c r="AS52" s="213">
        <v>0</v>
      </c>
      <c r="AT52" s="213">
        <v>0</v>
      </c>
      <c r="AU52" s="213">
        <v>0</v>
      </c>
      <c r="AV52" s="213">
        <v>0</v>
      </c>
      <c r="AW52" s="223">
        <f t="shared" si="38"/>
        <v>0</v>
      </c>
      <c r="AX52" s="180"/>
      <c r="AY52" s="223">
        <v>0</v>
      </c>
      <c r="AZ52" s="223">
        <v>0</v>
      </c>
      <c r="BA52" s="223">
        <v>0</v>
      </c>
      <c r="BB52" s="223">
        <v>0</v>
      </c>
      <c r="BC52" s="223">
        <v>0</v>
      </c>
      <c r="BD52" s="223">
        <f t="shared" si="39"/>
        <v>0</v>
      </c>
      <c r="BE52" s="223">
        <v>0</v>
      </c>
      <c r="BF52" s="223">
        <v>0</v>
      </c>
      <c r="BG52" s="223">
        <v>0</v>
      </c>
      <c r="BH52" s="223">
        <v>0</v>
      </c>
      <c r="BI52" s="223">
        <f t="shared" si="40"/>
        <v>0</v>
      </c>
      <c r="BJ52" s="223">
        <v>0</v>
      </c>
      <c r="BK52" s="223">
        <v>0</v>
      </c>
      <c r="BL52" s="223">
        <v>0</v>
      </c>
      <c r="BM52" s="223">
        <v>0</v>
      </c>
      <c r="BN52" s="223">
        <f t="shared" si="41"/>
        <v>0</v>
      </c>
      <c r="BO52" s="213">
        <v>0</v>
      </c>
      <c r="BP52" s="213">
        <v>0</v>
      </c>
      <c r="BQ52" s="213">
        <v>0</v>
      </c>
      <c r="BR52" s="213">
        <v>0</v>
      </c>
      <c r="BS52" s="213">
        <v>0</v>
      </c>
      <c r="BT52" s="224">
        <f t="shared" si="42"/>
        <v>0</v>
      </c>
    </row>
    <row r="53" spans="2:72" ht="15">
      <c r="B53" s="196">
        <f t="shared" si="0"/>
        <v>41</v>
      </c>
      <c r="C53" s="184"/>
      <c r="D53" s="207" t="s">
        <v>318</v>
      </c>
      <c r="E53" s="223">
        <v>0</v>
      </c>
      <c r="F53" s="223">
        <v>0</v>
      </c>
      <c r="G53" s="223">
        <v>0</v>
      </c>
      <c r="H53" s="223">
        <v>0</v>
      </c>
      <c r="I53" s="223">
        <v>0</v>
      </c>
      <c r="J53" s="223">
        <f t="shared" si="31"/>
        <v>0</v>
      </c>
      <c r="K53" s="223">
        <v>0</v>
      </c>
      <c r="L53" s="223">
        <v>0</v>
      </c>
      <c r="M53" s="223">
        <v>0</v>
      </c>
      <c r="N53" s="223">
        <v>0</v>
      </c>
      <c r="O53" s="223">
        <f t="shared" si="32"/>
        <v>0</v>
      </c>
      <c r="P53" s="223">
        <v>0</v>
      </c>
      <c r="Q53" s="223">
        <v>0</v>
      </c>
      <c r="R53" s="223">
        <v>0</v>
      </c>
      <c r="S53" s="223">
        <v>0</v>
      </c>
      <c r="T53" s="223">
        <f t="shared" si="33"/>
        <v>0</v>
      </c>
      <c r="U53" s="213">
        <v>0</v>
      </c>
      <c r="V53" s="213">
        <v>0</v>
      </c>
      <c r="W53" s="213">
        <v>0</v>
      </c>
      <c r="X53" s="213">
        <v>0</v>
      </c>
      <c r="Y53" s="213">
        <v>0</v>
      </c>
      <c r="Z53" s="223">
        <f t="shared" si="34"/>
        <v>0</v>
      </c>
      <c r="AA53" s="180"/>
      <c r="AB53" s="223">
        <v>0</v>
      </c>
      <c r="AC53" s="223">
        <v>0</v>
      </c>
      <c r="AD53" s="223">
        <v>0</v>
      </c>
      <c r="AE53" s="223">
        <v>0</v>
      </c>
      <c r="AF53" s="223">
        <v>0</v>
      </c>
      <c r="AG53" s="223">
        <f t="shared" si="35"/>
        <v>0</v>
      </c>
      <c r="AH53" s="223">
        <v>0</v>
      </c>
      <c r="AI53" s="223">
        <v>0</v>
      </c>
      <c r="AJ53" s="223">
        <v>0</v>
      </c>
      <c r="AK53" s="223">
        <v>0</v>
      </c>
      <c r="AL53" s="223">
        <f t="shared" si="36"/>
        <v>0</v>
      </c>
      <c r="AM53" s="223">
        <v>0</v>
      </c>
      <c r="AN53" s="223">
        <v>0</v>
      </c>
      <c r="AO53" s="223">
        <v>0</v>
      </c>
      <c r="AP53" s="223">
        <v>0</v>
      </c>
      <c r="AQ53" s="223">
        <f t="shared" si="37"/>
        <v>0</v>
      </c>
      <c r="AR53" s="213">
        <v>0</v>
      </c>
      <c r="AS53" s="213">
        <v>0</v>
      </c>
      <c r="AT53" s="213">
        <v>0</v>
      </c>
      <c r="AU53" s="213">
        <v>0</v>
      </c>
      <c r="AV53" s="213">
        <v>0</v>
      </c>
      <c r="AW53" s="223">
        <f t="shared" si="38"/>
        <v>0</v>
      </c>
      <c r="AX53" s="180"/>
      <c r="AY53" s="223">
        <v>0</v>
      </c>
      <c r="AZ53" s="223">
        <v>0</v>
      </c>
      <c r="BA53" s="223">
        <v>0</v>
      </c>
      <c r="BB53" s="223">
        <v>0</v>
      </c>
      <c r="BC53" s="223">
        <v>0</v>
      </c>
      <c r="BD53" s="223">
        <f t="shared" si="39"/>
        <v>0</v>
      </c>
      <c r="BE53" s="223">
        <v>0</v>
      </c>
      <c r="BF53" s="223">
        <v>0</v>
      </c>
      <c r="BG53" s="223">
        <v>0</v>
      </c>
      <c r="BH53" s="223">
        <v>0</v>
      </c>
      <c r="BI53" s="223">
        <f t="shared" si="40"/>
        <v>0</v>
      </c>
      <c r="BJ53" s="223">
        <v>0</v>
      </c>
      <c r="BK53" s="223">
        <v>0</v>
      </c>
      <c r="BL53" s="223">
        <v>0</v>
      </c>
      <c r="BM53" s="223">
        <v>0</v>
      </c>
      <c r="BN53" s="223">
        <f t="shared" si="41"/>
        <v>0</v>
      </c>
      <c r="BO53" s="213">
        <v>0</v>
      </c>
      <c r="BP53" s="213">
        <v>0</v>
      </c>
      <c r="BQ53" s="213">
        <v>0</v>
      </c>
      <c r="BR53" s="213">
        <v>0</v>
      </c>
      <c r="BS53" s="213">
        <v>0</v>
      </c>
      <c r="BT53" s="224">
        <f t="shared" si="42"/>
        <v>0</v>
      </c>
    </row>
    <row r="54" spans="2:72" ht="15">
      <c r="B54" s="196">
        <f t="shared" si="0"/>
        <v>42</v>
      </c>
      <c r="C54" s="184"/>
      <c r="D54" s="207" t="s">
        <v>319</v>
      </c>
      <c r="E54" s="223">
        <v>0</v>
      </c>
      <c r="F54" s="223">
        <v>0</v>
      </c>
      <c r="G54" s="223">
        <v>0</v>
      </c>
      <c r="H54" s="223">
        <v>0</v>
      </c>
      <c r="I54" s="223">
        <v>0</v>
      </c>
      <c r="J54" s="223">
        <f t="shared" si="31"/>
        <v>0</v>
      </c>
      <c r="K54" s="223">
        <v>0</v>
      </c>
      <c r="L54" s="223">
        <v>0</v>
      </c>
      <c r="M54" s="223">
        <v>0</v>
      </c>
      <c r="N54" s="223">
        <v>0</v>
      </c>
      <c r="O54" s="223">
        <f t="shared" si="32"/>
        <v>0</v>
      </c>
      <c r="P54" s="223">
        <v>0</v>
      </c>
      <c r="Q54" s="223">
        <v>0</v>
      </c>
      <c r="R54" s="223">
        <v>0</v>
      </c>
      <c r="S54" s="223">
        <v>0</v>
      </c>
      <c r="T54" s="223">
        <f t="shared" si="33"/>
        <v>0</v>
      </c>
      <c r="U54" s="213">
        <v>0</v>
      </c>
      <c r="V54" s="213">
        <v>0</v>
      </c>
      <c r="W54" s="213">
        <v>0</v>
      </c>
      <c r="X54" s="213">
        <v>0</v>
      </c>
      <c r="Y54" s="213">
        <v>0</v>
      </c>
      <c r="Z54" s="223">
        <f t="shared" si="34"/>
        <v>0</v>
      </c>
      <c r="AA54" s="180"/>
      <c r="AB54" s="223">
        <v>0</v>
      </c>
      <c r="AC54" s="223">
        <v>0</v>
      </c>
      <c r="AD54" s="223">
        <v>0</v>
      </c>
      <c r="AE54" s="223">
        <v>0</v>
      </c>
      <c r="AF54" s="223">
        <v>0</v>
      </c>
      <c r="AG54" s="223">
        <f t="shared" si="35"/>
        <v>0</v>
      </c>
      <c r="AH54" s="223">
        <v>0</v>
      </c>
      <c r="AI54" s="223">
        <v>0</v>
      </c>
      <c r="AJ54" s="223">
        <v>0</v>
      </c>
      <c r="AK54" s="223">
        <v>0</v>
      </c>
      <c r="AL54" s="223">
        <f t="shared" si="36"/>
        <v>0</v>
      </c>
      <c r="AM54" s="223">
        <v>0</v>
      </c>
      <c r="AN54" s="223">
        <v>0</v>
      </c>
      <c r="AO54" s="223">
        <v>0</v>
      </c>
      <c r="AP54" s="223">
        <v>0</v>
      </c>
      <c r="AQ54" s="223">
        <f t="shared" si="37"/>
        <v>0</v>
      </c>
      <c r="AR54" s="213">
        <v>0</v>
      </c>
      <c r="AS54" s="213">
        <v>0</v>
      </c>
      <c r="AT54" s="213">
        <v>0</v>
      </c>
      <c r="AU54" s="213">
        <v>0</v>
      </c>
      <c r="AV54" s="213">
        <v>0</v>
      </c>
      <c r="AW54" s="223">
        <f t="shared" si="38"/>
        <v>0</v>
      </c>
      <c r="AX54" s="180"/>
      <c r="AY54" s="223">
        <v>0</v>
      </c>
      <c r="AZ54" s="223">
        <v>0</v>
      </c>
      <c r="BA54" s="223">
        <v>0</v>
      </c>
      <c r="BB54" s="223">
        <v>0</v>
      </c>
      <c r="BC54" s="223">
        <v>0</v>
      </c>
      <c r="BD54" s="223">
        <f t="shared" si="39"/>
        <v>0</v>
      </c>
      <c r="BE54" s="223">
        <v>0</v>
      </c>
      <c r="BF54" s="223">
        <v>0</v>
      </c>
      <c r="BG54" s="223">
        <v>0</v>
      </c>
      <c r="BH54" s="223">
        <v>0</v>
      </c>
      <c r="BI54" s="223">
        <f t="shared" si="40"/>
        <v>0</v>
      </c>
      <c r="BJ54" s="223">
        <v>0</v>
      </c>
      <c r="BK54" s="223">
        <v>0</v>
      </c>
      <c r="BL54" s="223">
        <v>0</v>
      </c>
      <c r="BM54" s="223">
        <v>0</v>
      </c>
      <c r="BN54" s="223">
        <f t="shared" si="41"/>
        <v>0</v>
      </c>
      <c r="BO54" s="213">
        <v>0</v>
      </c>
      <c r="BP54" s="213">
        <v>0</v>
      </c>
      <c r="BQ54" s="213">
        <v>0</v>
      </c>
      <c r="BR54" s="213">
        <v>0</v>
      </c>
      <c r="BS54" s="213">
        <v>0</v>
      </c>
      <c r="BT54" s="224">
        <f t="shared" si="42"/>
        <v>0</v>
      </c>
    </row>
    <row r="55" spans="2:72" ht="14.25" customHeight="1">
      <c r="B55" s="196">
        <f t="shared" si="0"/>
        <v>43</v>
      </c>
      <c r="C55" s="184"/>
      <c r="D55" s="207" t="s">
        <v>320</v>
      </c>
      <c r="E55" s="223">
        <v>0</v>
      </c>
      <c r="F55" s="223">
        <v>0</v>
      </c>
      <c r="G55" s="223">
        <v>0</v>
      </c>
      <c r="H55" s="223">
        <v>0</v>
      </c>
      <c r="I55" s="223">
        <v>0</v>
      </c>
      <c r="J55" s="223">
        <f t="shared" si="31"/>
        <v>0</v>
      </c>
      <c r="K55" s="223">
        <v>0</v>
      </c>
      <c r="L55" s="223">
        <v>0</v>
      </c>
      <c r="M55" s="223">
        <v>0</v>
      </c>
      <c r="N55" s="223">
        <v>0</v>
      </c>
      <c r="O55" s="223">
        <f t="shared" si="32"/>
        <v>0</v>
      </c>
      <c r="P55" s="223">
        <v>0</v>
      </c>
      <c r="Q55" s="223">
        <v>0</v>
      </c>
      <c r="R55" s="223">
        <v>0</v>
      </c>
      <c r="S55" s="223">
        <v>0</v>
      </c>
      <c r="T55" s="223">
        <f t="shared" si="33"/>
        <v>0</v>
      </c>
      <c r="U55" s="213">
        <v>0</v>
      </c>
      <c r="V55" s="213">
        <v>0</v>
      </c>
      <c r="W55" s="213">
        <v>0</v>
      </c>
      <c r="X55" s="213">
        <v>0</v>
      </c>
      <c r="Y55" s="213">
        <v>0</v>
      </c>
      <c r="Z55" s="223">
        <f t="shared" si="34"/>
        <v>0</v>
      </c>
      <c r="AA55" s="180"/>
      <c r="AB55" s="223">
        <v>0</v>
      </c>
      <c r="AC55" s="223">
        <v>0</v>
      </c>
      <c r="AD55" s="223">
        <v>0</v>
      </c>
      <c r="AE55" s="223">
        <v>0</v>
      </c>
      <c r="AF55" s="223">
        <v>0</v>
      </c>
      <c r="AG55" s="223">
        <f t="shared" si="35"/>
        <v>0</v>
      </c>
      <c r="AH55" s="223">
        <v>0</v>
      </c>
      <c r="AI55" s="223">
        <v>0</v>
      </c>
      <c r="AJ55" s="223">
        <v>0</v>
      </c>
      <c r="AK55" s="223">
        <v>0</v>
      </c>
      <c r="AL55" s="223">
        <f t="shared" si="36"/>
        <v>0</v>
      </c>
      <c r="AM55" s="223">
        <v>0</v>
      </c>
      <c r="AN55" s="223">
        <v>0</v>
      </c>
      <c r="AO55" s="223">
        <v>0</v>
      </c>
      <c r="AP55" s="223">
        <v>0</v>
      </c>
      <c r="AQ55" s="223">
        <f t="shared" si="37"/>
        <v>0</v>
      </c>
      <c r="AR55" s="213">
        <v>0</v>
      </c>
      <c r="AS55" s="213">
        <v>0</v>
      </c>
      <c r="AT55" s="213">
        <v>0</v>
      </c>
      <c r="AU55" s="213">
        <v>0</v>
      </c>
      <c r="AV55" s="213">
        <v>0</v>
      </c>
      <c r="AW55" s="223">
        <f t="shared" si="38"/>
        <v>0</v>
      </c>
      <c r="AX55" s="180"/>
      <c r="AY55" s="223">
        <v>0</v>
      </c>
      <c r="AZ55" s="223">
        <v>0</v>
      </c>
      <c r="BA55" s="223">
        <v>0</v>
      </c>
      <c r="BB55" s="223">
        <v>0</v>
      </c>
      <c r="BC55" s="223">
        <v>0</v>
      </c>
      <c r="BD55" s="223">
        <f t="shared" si="39"/>
        <v>0</v>
      </c>
      <c r="BE55" s="223">
        <v>0</v>
      </c>
      <c r="BF55" s="223">
        <v>0</v>
      </c>
      <c r="BG55" s="223">
        <v>0</v>
      </c>
      <c r="BH55" s="223">
        <v>0</v>
      </c>
      <c r="BI55" s="223">
        <f t="shared" si="40"/>
        <v>0</v>
      </c>
      <c r="BJ55" s="223">
        <v>0</v>
      </c>
      <c r="BK55" s="223">
        <v>0</v>
      </c>
      <c r="BL55" s="223">
        <v>0</v>
      </c>
      <c r="BM55" s="223">
        <v>0</v>
      </c>
      <c r="BN55" s="223">
        <f t="shared" si="41"/>
        <v>0</v>
      </c>
      <c r="BO55" s="213">
        <v>0</v>
      </c>
      <c r="BP55" s="213">
        <v>0</v>
      </c>
      <c r="BQ55" s="213">
        <v>0</v>
      </c>
      <c r="BR55" s="213">
        <v>0</v>
      </c>
      <c r="BS55" s="213">
        <v>0</v>
      </c>
      <c r="BT55" s="224">
        <f t="shared" si="42"/>
        <v>0</v>
      </c>
    </row>
    <row r="56" spans="2:72" ht="14.25" customHeight="1">
      <c r="B56" s="196">
        <f t="shared" si="0"/>
        <v>44</v>
      </c>
      <c r="C56" s="184"/>
      <c r="D56" s="207" t="s">
        <v>321</v>
      </c>
      <c r="E56" s="223">
        <v>0</v>
      </c>
      <c r="F56" s="223">
        <v>0</v>
      </c>
      <c r="G56" s="223">
        <v>0</v>
      </c>
      <c r="H56" s="223">
        <v>0</v>
      </c>
      <c r="I56" s="223">
        <v>0</v>
      </c>
      <c r="J56" s="223">
        <f t="shared" si="31"/>
        <v>0</v>
      </c>
      <c r="K56" s="223">
        <v>0</v>
      </c>
      <c r="L56" s="223">
        <v>0</v>
      </c>
      <c r="M56" s="223">
        <v>0</v>
      </c>
      <c r="N56" s="223">
        <v>0</v>
      </c>
      <c r="O56" s="223">
        <f t="shared" si="32"/>
        <v>0</v>
      </c>
      <c r="P56" s="223">
        <v>0</v>
      </c>
      <c r="Q56" s="223">
        <v>0</v>
      </c>
      <c r="R56" s="223">
        <v>0</v>
      </c>
      <c r="S56" s="223">
        <v>0</v>
      </c>
      <c r="T56" s="223">
        <f t="shared" si="33"/>
        <v>0</v>
      </c>
      <c r="U56" s="213">
        <v>0</v>
      </c>
      <c r="V56" s="213">
        <v>0</v>
      </c>
      <c r="W56" s="213">
        <v>0</v>
      </c>
      <c r="X56" s="213">
        <v>0</v>
      </c>
      <c r="Y56" s="213">
        <v>0</v>
      </c>
      <c r="Z56" s="223">
        <f t="shared" si="34"/>
        <v>0</v>
      </c>
      <c r="AA56" s="180"/>
      <c r="AB56" s="223">
        <v>0</v>
      </c>
      <c r="AC56" s="223">
        <v>0</v>
      </c>
      <c r="AD56" s="223">
        <v>0</v>
      </c>
      <c r="AE56" s="223">
        <v>0</v>
      </c>
      <c r="AF56" s="223">
        <v>0</v>
      </c>
      <c r="AG56" s="223">
        <f t="shared" si="35"/>
        <v>0</v>
      </c>
      <c r="AH56" s="223">
        <v>0</v>
      </c>
      <c r="AI56" s="223">
        <v>0</v>
      </c>
      <c r="AJ56" s="223">
        <v>0</v>
      </c>
      <c r="AK56" s="223">
        <v>0</v>
      </c>
      <c r="AL56" s="223">
        <f t="shared" si="36"/>
        <v>0</v>
      </c>
      <c r="AM56" s="223">
        <v>0</v>
      </c>
      <c r="AN56" s="223">
        <v>0</v>
      </c>
      <c r="AO56" s="223">
        <v>0</v>
      </c>
      <c r="AP56" s="223">
        <v>0</v>
      </c>
      <c r="AQ56" s="223">
        <f t="shared" si="37"/>
        <v>0</v>
      </c>
      <c r="AR56" s="213">
        <v>0</v>
      </c>
      <c r="AS56" s="213">
        <v>0</v>
      </c>
      <c r="AT56" s="213">
        <v>0</v>
      </c>
      <c r="AU56" s="213">
        <v>0</v>
      </c>
      <c r="AV56" s="213">
        <v>0</v>
      </c>
      <c r="AW56" s="223">
        <f t="shared" si="38"/>
        <v>0</v>
      </c>
      <c r="AX56" s="180"/>
      <c r="AY56" s="223">
        <v>0</v>
      </c>
      <c r="AZ56" s="223">
        <v>0</v>
      </c>
      <c r="BA56" s="223">
        <v>0</v>
      </c>
      <c r="BB56" s="223">
        <v>0</v>
      </c>
      <c r="BC56" s="223">
        <v>0</v>
      </c>
      <c r="BD56" s="223">
        <f t="shared" si="39"/>
        <v>0</v>
      </c>
      <c r="BE56" s="223">
        <v>0</v>
      </c>
      <c r="BF56" s="223">
        <v>0</v>
      </c>
      <c r="BG56" s="223">
        <v>0</v>
      </c>
      <c r="BH56" s="223">
        <v>0</v>
      </c>
      <c r="BI56" s="223">
        <f t="shared" si="40"/>
        <v>0</v>
      </c>
      <c r="BJ56" s="223">
        <v>0</v>
      </c>
      <c r="BK56" s="223">
        <v>0</v>
      </c>
      <c r="BL56" s="223">
        <v>0</v>
      </c>
      <c r="BM56" s="223">
        <v>0</v>
      </c>
      <c r="BN56" s="223">
        <f t="shared" si="41"/>
        <v>0</v>
      </c>
      <c r="BO56" s="213">
        <v>0</v>
      </c>
      <c r="BP56" s="213">
        <v>0</v>
      </c>
      <c r="BQ56" s="213">
        <v>0</v>
      </c>
      <c r="BR56" s="213">
        <v>0</v>
      </c>
      <c r="BS56" s="213">
        <v>0</v>
      </c>
      <c r="BT56" s="224">
        <f t="shared" si="42"/>
        <v>0</v>
      </c>
    </row>
    <row r="57" spans="2:72" ht="14.25" customHeight="1">
      <c r="B57" s="196">
        <f t="shared" si="0"/>
        <v>45</v>
      </c>
      <c r="C57" s="184"/>
      <c r="D57" s="207" t="s">
        <v>322</v>
      </c>
      <c r="E57" s="223">
        <v>0</v>
      </c>
      <c r="F57" s="223">
        <v>0</v>
      </c>
      <c r="G57" s="223">
        <v>0</v>
      </c>
      <c r="H57" s="223">
        <v>0</v>
      </c>
      <c r="I57" s="223">
        <v>0</v>
      </c>
      <c r="J57" s="223">
        <f t="shared" si="31"/>
        <v>0</v>
      </c>
      <c r="K57" s="223">
        <v>0</v>
      </c>
      <c r="L57" s="223">
        <v>0</v>
      </c>
      <c r="M57" s="223">
        <v>0</v>
      </c>
      <c r="N57" s="223">
        <v>0</v>
      </c>
      <c r="O57" s="223">
        <f t="shared" si="32"/>
        <v>0</v>
      </c>
      <c r="P57" s="223">
        <v>0</v>
      </c>
      <c r="Q57" s="223">
        <v>0</v>
      </c>
      <c r="R57" s="223">
        <v>0</v>
      </c>
      <c r="S57" s="223">
        <v>0</v>
      </c>
      <c r="T57" s="223">
        <f t="shared" si="33"/>
        <v>0</v>
      </c>
      <c r="U57" s="213">
        <v>0</v>
      </c>
      <c r="V57" s="213">
        <v>0</v>
      </c>
      <c r="W57" s="213">
        <v>0</v>
      </c>
      <c r="X57" s="213">
        <v>0</v>
      </c>
      <c r="Y57" s="213">
        <v>0</v>
      </c>
      <c r="Z57" s="223">
        <f t="shared" si="34"/>
        <v>0</v>
      </c>
      <c r="AA57" s="180"/>
      <c r="AB57" s="223">
        <v>0</v>
      </c>
      <c r="AC57" s="223">
        <v>0</v>
      </c>
      <c r="AD57" s="223">
        <v>0</v>
      </c>
      <c r="AE57" s="223">
        <v>0</v>
      </c>
      <c r="AF57" s="223">
        <v>0</v>
      </c>
      <c r="AG57" s="223">
        <f t="shared" si="35"/>
        <v>0</v>
      </c>
      <c r="AH57" s="223">
        <v>0</v>
      </c>
      <c r="AI57" s="223">
        <v>0</v>
      </c>
      <c r="AJ57" s="223">
        <v>0</v>
      </c>
      <c r="AK57" s="223">
        <v>0</v>
      </c>
      <c r="AL57" s="223">
        <f t="shared" si="36"/>
        <v>0</v>
      </c>
      <c r="AM57" s="223">
        <v>0</v>
      </c>
      <c r="AN57" s="223">
        <v>0</v>
      </c>
      <c r="AO57" s="223">
        <v>0</v>
      </c>
      <c r="AP57" s="223">
        <v>0</v>
      </c>
      <c r="AQ57" s="223">
        <f t="shared" si="37"/>
        <v>0</v>
      </c>
      <c r="AR57" s="213">
        <v>0</v>
      </c>
      <c r="AS57" s="213">
        <v>0</v>
      </c>
      <c r="AT57" s="213">
        <v>0</v>
      </c>
      <c r="AU57" s="213">
        <v>0</v>
      </c>
      <c r="AV57" s="213">
        <v>0</v>
      </c>
      <c r="AW57" s="223">
        <f t="shared" si="38"/>
        <v>0</v>
      </c>
      <c r="AX57" s="180"/>
      <c r="AY57" s="223">
        <v>0</v>
      </c>
      <c r="AZ57" s="223">
        <v>0</v>
      </c>
      <c r="BA57" s="223">
        <v>0</v>
      </c>
      <c r="BB57" s="223">
        <v>0</v>
      </c>
      <c r="BC57" s="223">
        <v>0</v>
      </c>
      <c r="BD57" s="223">
        <f t="shared" si="39"/>
        <v>0</v>
      </c>
      <c r="BE57" s="223">
        <v>0</v>
      </c>
      <c r="BF57" s="223">
        <v>0</v>
      </c>
      <c r="BG57" s="223">
        <v>0</v>
      </c>
      <c r="BH57" s="223">
        <v>0</v>
      </c>
      <c r="BI57" s="223">
        <f t="shared" si="40"/>
        <v>0</v>
      </c>
      <c r="BJ57" s="223">
        <v>0</v>
      </c>
      <c r="BK57" s="223">
        <v>0</v>
      </c>
      <c r="BL57" s="223">
        <v>0</v>
      </c>
      <c r="BM57" s="223">
        <v>0</v>
      </c>
      <c r="BN57" s="223">
        <f t="shared" si="41"/>
        <v>0</v>
      </c>
      <c r="BO57" s="213">
        <v>0</v>
      </c>
      <c r="BP57" s="213">
        <v>0</v>
      </c>
      <c r="BQ57" s="213">
        <v>0</v>
      </c>
      <c r="BR57" s="213">
        <v>0</v>
      </c>
      <c r="BS57" s="213">
        <v>0</v>
      </c>
      <c r="BT57" s="224">
        <f t="shared" si="42"/>
        <v>0</v>
      </c>
    </row>
    <row r="58" spans="2:72" ht="14.25" customHeight="1">
      <c r="B58" s="196">
        <f t="shared" si="0"/>
        <v>46</v>
      </c>
      <c r="C58" s="184"/>
      <c r="D58" s="207" t="s">
        <v>323</v>
      </c>
      <c r="E58" s="223">
        <v>0</v>
      </c>
      <c r="F58" s="223">
        <v>0</v>
      </c>
      <c r="G58" s="223">
        <v>0</v>
      </c>
      <c r="H58" s="223">
        <v>0</v>
      </c>
      <c r="I58" s="223">
        <v>0</v>
      </c>
      <c r="J58" s="223">
        <f t="shared" si="31"/>
        <v>0</v>
      </c>
      <c r="K58" s="223">
        <v>0</v>
      </c>
      <c r="L58" s="223">
        <v>0</v>
      </c>
      <c r="M58" s="223">
        <v>0</v>
      </c>
      <c r="N58" s="223">
        <v>0</v>
      </c>
      <c r="O58" s="223">
        <f t="shared" si="32"/>
        <v>0</v>
      </c>
      <c r="P58" s="223">
        <v>0</v>
      </c>
      <c r="Q58" s="223">
        <v>0</v>
      </c>
      <c r="R58" s="223">
        <v>0</v>
      </c>
      <c r="S58" s="223">
        <v>0</v>
      </c>
      <c r="T58" s="223">
        <f t="shared" si="33"/>
        <v>0</v>
      </c>
      <c r="U58" s="213">
        <v>448500.04000000004</v>
      </c>
      <c r="V58" s="213">
        <v>1941081.9200000011</v>
      </c>
      <c r="W58" s="213">
        <v>1966849.2</v>
      </c>
      <c r="X58" s="213">
        <v>8527550.9199999999</v>
      </c>
      <c r="Y58" s="213">
        <v>0</v>
      </c>
      <c r="Z58" s="223">
        <f t="shared" si="34"/>
        <v>12883982.080000002</v>
      </c>
      <c r="AA58" s="180"/>
      <c r="AB58" s="223">
        <v>0</v>
      </c>
      <c r="AC58" s="223">
        <v>0</v>
      </c>
      <c r="AD58" s="223">
        <v>0</v>
      </c>
      <c r="AE58" s="223">
        <v>0</v>
      </c>
      <c r="AF58" s="223">
        <v>0</v>
      </c>
      <c r="AG58" s="223">
        <f t="shared" si="35"/>
        <v>0</v>
      </c>
      <c r="AH58" s="223">
        <v>0</v>
      </c>
      <c r="AI58" s="223">
        <v>0</v>
      </c>
      <c r="AJ58" s="223">
        <v>0</v>
      </c>
      <c r="AK58" s="223">
        <v>0</v>
      </c>
      <c r="AL58" s="223">
        <f t="shared" si="36"/>
        <v>0</v>
      </c>
      <c r="AM58" s="223">
        <v>0</v>
      </c>
      <c r="AN58" s="223">
        <v>0</v>
      </c>
      <c r="AO58" s="223">
        <v>0</v>
      </c>
      <c r="AP58" s="223">
        <v>0</v>
      </c>
      <c r="AQ58" s="223">
        <f t="shared" si="37"/>
        <v>0</v>
      </c>
      <c r="AR58" s="213">
        <v>0</v>
      </c>
      <c r="AS58" s="213">
        <v>0</v>
      </c>
      <c r="AT58" s="213">
        <v>0</v>
      </c>
      <c r="AU58" s="213">
        <v>0</v>
      </c>
      <c r="AV58" s="213">
        <v>0</v>
      </c>
      <c r="AW58" s="223">
        <f t="shared" si="38"/>
        <v>0</v>
      </c>
      <c r="AX58" s="180"/>
      <c r="AY58" s="223">
        <v>0</v>
      </c>
      <c r="AZ58" s="223">
        <v>0</v>
      </c>
      <c r="BA58" s="223">
        <v>0</v>
      </c>
      <c r="BB58" s="223">
        <v>0</v>
      </c>
      <c r="BC58" s="223">
        <v>0</v>
      </c>
      <c r="BD58" s="223">
        <f t="shared" si="39"/>
        <v>0</v>
      </c>
      <c r="BE58" s="223">
        <v>0</v>
      </c>
      <c r="BF58" s="223">
        <v>0</v>
      </c>
      <c r="BG58" s="223">
        <v>0</v>
      </c>
      <c r="BH58" s="223">
        <v>0</v>
      </c>
      <c r="BI58" s="223">
        <f t="shared" si="40"/>
        <v>0</v>
      </c>
      <c r="BJ58" s="223">
        <v>0</v>
      </c>
      <c r="BK58" s="223">
        <v>0</v>
      </c>
      <c r="BL58" s="223">
        <v>0</v>
      </c>
      <c r="BM58" s="223">
        <v>0</v>
      </c>
      <c r="BN58" s="223">
        <f t="shared" si="41"/>
        <v>0</v>
      </c>
      <c r="BO58" s="213">
        <v>476344.22730799997</v>
      </c>
      <c r="BP58" s="213">
        <v>2191378.7858671099</v>
      </c>
      <c r="BQ58" s="213">
        <v>2086630.3162800004</v>
      </c>
      <c r="BR58" s="213">
        <v>7966105.3714199997</v>
      </c>
      <c r="BS58" s="213">
        <v>0</v>
      </c>
      <c r="BT58" s="224">
        <f t="shared" si="42"/>
        <v>12720458.700875111</v>
      </c>
    </row>
    <row r="59" spans="2:72" ht="14.25" customHeight="1">
      <c r="B59" s="196">
        <f t="shared" si="0"/>
        <v>47</v>
      </c>
      <c r="C59" s="184"/>
      <c r="D59" s="225" t="s">
        <v>324</v>
      </c>
      <c r="E59" s="226">
        <f>SUM(E40:E58)</f>
        <v>0</v>
      </c>
      <c r="F59" s="226">
        <f t="shared" ref="F59:Z59" si="43">SUM(F40:F58)</f>
        <v>0</v>
      </c>
      <c r="G59" s="226">
        <f t="shared" si="43"/>
        <v>0</v>
      </c>
      <c r="H59" s="226">
        <f t="shared" si="43"/>
        <v>0</v>
      </c>
      <c r="I59" s="226">
        <f t="shared" si="43"/>
        <v>0</v>
      </c>
      <c r="J59" s="226">
        <f t="shared" si="43"/>
        <v>0</v>
      </c>
      <c r="K59" s="226">
        <f t="shared" si="43"/>
        <v>0</v>
      </c>
      <c r="L59" s="226">
        <f t="shared" si="43"/>
        <v>0</v>
      </c>
      <c r="M59" s="226">
        <f t="shared" si="43"/>
        <v>0</v>
      </c>
      <c r="N59" s="226">
        <f t="shared" si="43"/>
        <v>0</v>
      </c>
      <c r="O59" s="226">
        <f t="shared" si="43"/>
        <v>0</v>
      </c>
      <c r="P59" s="226">
        <f t="shared" si="43"/>
        <v>0</v>
      </c>
      <c r="Q59" s="226">
        <f t="shared" si="43"/>
        <v>0</v>
      </c>
      <c r="R59" s="226">
        <f t="shared" si="43"/>
        <v>0</v>
      </c>
      <c r="S59" s="226">
        <f t="shared" si="43"/>
        <v>0</v>
      </c>
      <c r="T59" s="226">
        <f t="shared" si="43"/>
        <v>0</v>
      </c>
      <c r="U59" s="227">
        <f t="shared" si="43"/>
        <v>113248397.32000001</v>
      </c>
      <c r="V59" s="227">
        <f t="shared" si="43"/>
        <v>252571195.70000002</v>
      </c>
      <c r="W59" s="227">
        <f t="shared" si="43"/>
        <v>25068693.265999999</v>
      </c>
      <c r="X59" s="227">
        <f t="shared" si="43"/>
        <v>214746529.08000001</v>
      </c>
      <c r="Y59" s="227">
        <f t="shared" si="43"/>
        <v>0</v>
      </c>
      <c r="Z59" s="226">
        <f t="shared" si="43"/>
        <v>605634815.36600006</v>
      </c>
      <c r="AA59" s="228"/>
      <c r="AB59" s="226">
        <f>SUM(AB40:AB58)</f>
        <v>0</v>
      </c>
      <c r="AC59" s="226">
        <f t="shared" ref="AC59:AW59" si="44">SUM(AC40:AC58)</f>
        <v>0</v>
      </c>
      <c r="AD59" s="226">
        <f t="shared" si="44"/>
        <v>0</v>
      </c>
      <c r="AE59" s="226">
        <f t="shared" si="44"/>
        <v>0</v>
      </c>
      <c r="AF59" s="226">
        <f t="shared" si="44"/>
        <v>0</v>
      </c>
      <c r="AG59" s="226">
        <f t="shared" si="44"/>
        <v>0</v>
      </c>
      <c r="AH59" s="226">
        <f t="shared" si="44"/>
        <v>0</v>
      </c>
      <c r="AI59" s="226">
        <f t="shared" si="44"/>
        <v>0</v>
      </c>
      <c r="AJ59" s="226">
        <f t="shared" si="44"/>
        <v>0</v>
      </c>
      <c r="AK59" s="226">
        <f t="shared" si="44"/>
        <v>0</v>
      </c>
      <c r="AL59" s="226">
        <f t="shared" si="44"/>
        <v>0</v>
      </c>
      <c r="AM59" s="226">
        <f t="shared" si="44"/>
        <v>0</v>
      </c>
      <c r="AN59" s="226">
        <f t="shared" si="44"/>
        <v>0</v>
      </c>
      <c r="AO59" s="226">
        <f t="shared" si="44"/>
        <v>0</v>
      </c>
      <c r="AP59" s="226">
        <f t="shared" si="44"/>
        <v>0</v>
      </c>
      <c r="AQ59" s="226">
        <f t="shared" si="44"/>
        <v>0</v>
      </c>
      <c r="AR59" s="227">
        <f t="shared" si="44"/>
        <v>0</v>
      </c>
      <c r="AS59" s="227">
        <f t="shared" si="44"/>
        <v>0</v>
      </c>
      <c r="AT59" s="227">
        <f t="shared" si="44"/>
        <v>0</v>
      </c>
      <c r="AU59" s="227">
        <f t="shared" si="44"/>
        <v>0</v>
      </c>
      <c r="AV59" s="227">
        <f t="shared" si="44"/>
        <v>0</v>
      </c>
      <c r="AW59" s="226">
        <f t="shared" si="44"/>
        <v>0</v>
      </c>
      <c r="AX59" s="228"/>
      <c r="AY59" s="226">
        <f>SUM(AY40:AY58)</f>
        <v>0</v>
      </c>
      <c r="AZ59" s="226">
        <f t="shared" ref="AZ59:BT59" si="45">SUM(AZ40:AZ58)</f>
        <v>0</v>
      </c>
      <c r="BA59" s="226">
        <f t="shared" si="45"/>
        <v>0</v>
      </c>
      <c r="BB59" s="226">
        <f t="shared" si="45"/>
        <v>0</v>
      </c>
      <c r="BC59" s="226">
        <f t="shared" si="45"/>
        <v>0</v>
      </c>
      <c r="BD59" s="226">
        <f t="shared" si="45"/>
        <v>0</v>
      </c>
      <c r="BE59" s="226">
        <f t="shared" si="45"/>
        <v>0</v>
      </c>
      <c r="BF59" s="226">
        <f t="shared" si="45"/>
        <v>0</v>
      </c>
      <c r="BG59" s="226">
        <f t="shared" si="45"/>
        <v>0</v>
      </c>
      <c r="BH59" s="226">
        <f t="shared" si="45"/>
        <v>0</v>
      </c>
      <c r="BI59" s="226">
        <f t="shared" si="45"/>
        <v>0</v>
      </c>
      <c r="BJ59" s="226">
        <f t="shared" si="45"/>
        <v>0</v>
      </c>
      <c r="BK59" s="226">
        <f t="shared" si="45"/>
        <v>0</v>
      </c>
      <c r="BL59" s="226">
        <f t="shared" si="45"/>
        <v>0</v>
      </c>
      <c r="BM59" s="226">
        <f t="shared" si="45"/>
        <v>0</v>
      </c>
      <c r="BN59" s="226">
        <f t="shared" si="45"/>
        <v>0</v>
      </c>
      <c r="BO59" s="227">
        <f t="shared" si="45"/>
        <v>118514053.17444</v>
      </c>
      <c r="BP59" s="227">
        <f t="shared" si="45"/>
        <v>277262560.69925129</v>
      </c>
      <c r="BQ59" s="227">
        <f t="shared" si="45"/>
        <v>26595606.853463404</v>
      </c>
      <c r="BR59" s="227">
        <f t="shared" si="45"/>
        <v>273810020.10416001</v>
      </c>
      <c r="BS59" s="227">
        <f t="shared" si="45"/>
        <v>0</v>
      </c>
      <c r="BT59" s="229">
        <f t="shared" si="45"/>
        <v>696182240.83131468</v>
      </c>
    </row>
    <row r="60" spans="2:72" ht="15">
      <c r="B60" s="196">
        <f t="shared" si="0"/>
        <v>48</v>
      </c>
      <c r="C60" s="184"/>
      <c r="D60" s="225" t="s">
        <v>325</v>
      </c>
      <c r="E60" s="226">
        <f>E29+E37+E59</f>
        <v>0</v>
      </c>
      <c r="F60" s="226"/>
      <c r="G60" s="226"/>
      <c r="H60" s="226"/>
      <c r="I60" s="226"/>
      <c r="J60" s="226">
        <f t="shared" ref="J60" si="46">J29+J37+J59</f>
        <v>0</v>
      </c>
      <c r="K60" s="226"/>
      <c r="L60" s="226"/>
      <c r="M60" s="226"/>
      <c r="N60" s="226"/>
      <c r="O60" s="226">
        <f t="shared" ref="O60" si="47">O29+O37+O59</f>
        <v>0</v>
      </c>
      <c r="P60" s="226"/>
      <c r="Q60" s="226"/>
      <c r="R60" s="226"/>
      <c r="S60" s="226"/>
      <c r="T60" s="226">
        <f t="shared" ref="T60:Z60" si="48">T29+T37+T59</f>
        <v>0</v>
      </c>
      <c r="U60" s="227">
        <f t="shared" si="48"/>
        <v>171585446.67307502</v>
      </c>
      <c r="V60" s="227">
        <f t="shared" si="48"/>
        <v>439481079.36629999</v>
      </c>
      <c r="W60" s="227">
        <f t="shared" si="48"/>
        <v>76275990.318700001</v>
      </c>
      <c r="X60" s="227">
        <f t="shared" si="48"/>
        <v>311642661.32420003</v>
      </c>
      <c r="Y60" s="227">
        <f t="shared" si="48"/>
        <v>0</v>
      </c>
      <c r="Z60" s="226">
        <f t="shared" si="48"/>
        <v>998985177.68227506</v>
      </c>
      <c r="AA60" s="228"/>
      <c r="AB60" s="226">
        <f>AB29+AB37+AB59</f>
        <v>0</v>
      </c>
      <c r="AC60" s="226"/>
      <c r="AD60" s="226"/>
      <c r="AE60" s="226"/>
      <c r="AF60" s="226"/>
      <c r="AG60" s="226">
        <f t="shared" ref="AG60" si="49">AG29+AG37+AG59</f>
        <v>0</v>
      </c>
      <c r="AH60" s="226"/>
      <c r="AI60" s="226"/>
      <c r="AJ60" s="226"/>
      <c r="AK60" s="226"/>
      <c r="AL60" s="226">
        <f t="shared" ref="AL60" si="50">AL29+AL37+AL59</f>
        <v>0</v>
      </c>
      <c r="AM60" s="226"/>
      <c r="AN60" s="226"/>
      <c r="AO60" s="226"/>
      <c r="AP60" s="226"/>
      <c r="AQ60" s="226">
        <f t="shared" ref="AQ60:AW60" si="51">AQ29+AQ37+AQ59</f>
        <v>0</v>
      </c>
      <c r="AR60" s="227">
        <f t="shared" si="51"/>
        <v>0</v>
      </c>
      <c r="AS60" s="227">
        <f t="shared" si="51"/>
        <v>0</v>
      </c>
      <c r="AT60" s="227">
        <f t="shared" si="51"/>
        <v>0</v>
      </c>
      <c r="AU60" s="227">
        <f t="shared" si="51"/>
        <v>0</v>
      </c>
      <c r="AV60" s="227">
        <f t="shared" si="51"/>
        <v>0</v>
      </c>
      <c r="AW60" s="226">
        <f t="shared" si="51"/>
        <v>0</v>
      </c>
      <c r="AX60" s="228"/>
      <c r="AY60" s="226">
        <f>AY29+AY37+AY59</f>
        <v>0</v>
      </c>
      <c r="AZ60" s="226"/>
      <c r="BA60" s="226"/>
      <c r="BB60" s="226"/>
      <c r="BC60" s="226"/>
      <c r="BD60" s="226">
        <f t="shared" ref="BD60" si="52">BD29+BD37+BD59</f>
        <v>0</v>
      </c>
      <c r="BE60" s="226"/>
      <c r="BF60" s="226"/>
      <c r="BG60" s="226"/>
      <c r="BH60" s="226"/>
      <c r="BI60" s="226">
        <f t="shared" ref="BI60" si="53">BI29+BI37+BI59</f>
        <v>0</v>
      </c>
      <c r="BJ60" s="226"/>
      <c r="BK60" s="226"/>
      <c r="BL60" s="226"/>
      <c r="BM60" s="226"/>
      <c r="BN60" s="226">
        <f t="shared" ref="BN60:BT60" si="54">BN29+BN37+BN59</f>
        <v>0</v>
      </c>
      <c r="BO60" s="227">
        <f t="shared" si="54"/>
        <v>180710596.28193295</v>
      </c>
      <c r="BP60" s="227">
        <f t="shared" si="54"/>
        <v>490087718.26421541</v>
      </c>
      <c r="BQ60" s="227">
        <f t="shared" si="54"/>
        <v>110669464.84784922</v>
      </c>
      <c r="BR60" s="227">
        <f t="shared" si="54"/>
        <v>373702347.42108887</v>
      </c>
      <c r="BS60" s="227">
        <f t="shared" si="54"/>
        <v>0</v>
      </c>
      <c r="BT60" s="229">
        <f t="shared" si="54"/>
        <v>1155170126.8150864</v>
      </c>
    </row>
    <row r="61" spans="2:72" ht="14.25" customHeight="1">
      <c r="B61" s="196">
        <f t="shared" si="0"/>
        <v>49</v>
      </c>
      <c r="C61" s="184"/>
      <c r="D61" s="207" t="s">
        <v>326</v>
      </c>
      <c r="E61" s="231">
        <f>58275898*(B6)</f>
        <v>0</v>
      </c>
      <c r="F61" s="231">
        <v>0</v>
      </c>
      <c r="G61" s="231">
        <v>0</v>
      </c>
      <c r="H61" s="231">
        <v>0</v>
      </c>
      <c r="I61" s="231">
        <v>0</v>
      </c>
      <c r="J61" s="223">
        <f>SUM(F61:I61)</f>
        <v>0</v>
      </c>
      <c r="K61" s="231">
        <v>0</v>
      </c>
      <c r="L61" s="231">
        <v>0</v>
      </c>
      <c r="M61" s="231">
        <v>0</v>
      </c>
      <c r="N61" s="231">
        <v>0</v>
      </c>
      <c r="O61" s="223">
        <f>SUM(K61:N61)</f>
        <v>0</v>
      </c>
      <c r="P61" s="231">
        <v>0</v>
      </c>
      <c r="Q61" s="231">
        <v>0</v>
      </c>
      <c r="R61" s="231">
        <v>0</v>
      </c>
      <c r="S61" s="231">
        <v>0</v>
      </c>
      <c r="T61" s="223">
        <f>SUM(P61:S61)</f>
        <v>0</v>
      </c>
      <c r="U61" s="232">
        <v>0</v>
      </c>
      <c r="V61" s="232">
        <v>0</v>
      </c>
      <c r="W61" s="232">
        <v>0</v>
      </c>
      <c r="X61" s="232">
        <v>0</v>
      </c>
      <c r="Y61" s="232">
        <v>0</v>
      </c>
      <c r="Z61" s="223">
        <f>SUM(U61:Y61)</f>
        <v>0</v>
      </c>
      <c r="AA61" s="180"/>
      <c r="AB61" s="231">
        <f>58275898*(Y6)</f>
        <v>0</v>
      </c>
      <c r="AC61" s="231">
        <v>0</v>
      </c>
      <c r="AD61" s="231">
        <v>0</v>
      </c>
      <c r="AE61" s="231">
        <v>0</v>
      </c>
      <c r="AF61" s="231">
        <v>0</v>
      </c>
      <c r="AG61" s="223">
        <f>SUM(AC61:AF61)</f>
        <v>0</v>
      </c>
      <c r="AH61" s="231">
        <v>0</v>
      </c>
      <c r="AI61" s="231">
        <v>0</v>
      </c>
      <c r="AJ61" s="231">
        <v>0</v>
      </c>
      <c r="AK61" s="231">
        <v>0</v>
      </c>
      <c r="AL61" s="223">
        <f>SUM(AH61:AK61)</f>
        <v>0</v>
      </c>
      <c r="AM61" s="231">
        <v>0</v>
      </c>
      <c r="AN61" s="231">
        <v>0</v>
      </c>
      <c r="AO61" s="231">
        <v>0</v>
      </c>
      <c r="AP61" s="231">
        <v>0</v>
      </c>
      <c r="AQ61" s="223">
        <f>SUM(AM61:AP61)</f>
        <v>0</v>
      </c>
      <c r="AR61" s="232">
        <v>0</v>
      </c>
      <c r="AS61" s="232">
        <v>0</v>
      </c>
      <c r="AT61" s="232">
        <v>0</v>
      </c>
      <c r="AU61" s="232">
        <v>0</v>
      </c>
      <c r="AV61" s="232">
        <v>0</v>
      </c>
      <c r="AW61" s="223">
        <f>SUM(AR61:AV61)</f>
        <v>0</v>
      </c>
      <c r="AX61" s="180"/>
      <c r="AY61" s="231">
        <f>58275898*(AV6)</f>
        <v>0</v>
      </c>
      <c r="AZ61" s="231">
        <v>0</v>
      </c>
      <c r="BA61" s="231">
        <v>0</v>
      </c>
      <c r="BB61" s="231">
        <v>0</v>
      </c>
      <c r="BC61" s="231">
        <v>0</v>
      </c>
      <c r="BD61" s="223">
        <f>SUM(AZ61:BC61)</f>
        <v>0</v>
      </c>
      <c r="BE61" s="231">
        <v>0</v>
      </c>
      <c r="BF61" s="231">
        <v>0</v>
      </c>
      <c r="BG61" s="231">
        <v>0</v>
      </c>
      <c r="BH61" s="231">
        <v>0</v>
      </c>
      <c r="BI61" s="223">
        <f>SUM(BE61:BH61)</f>
        <v>0</v>
      </c>
      <c r="BJ61" s="231">
        <v>0</v>
      </c>
      <c r="BK61" s="231">
        <v>0</v>
      </c>
      <c r="BL61" s="231">
        <v>0</v>
      </c>
      <c r="BM61" s="231">
        <v>0</v>
      </c>
      <c r="BN61" s="223">
        <f>SUM(BJ61:BM61)</f>
        <v>0</v>
      </c>
      <c r="BO61" s="232">
        <v>0</v>
      </c>
      <c r="BP61" s="232">
        <v>0</v>
      </c>
      <c r="BQ61" s="232">
        <v>0</v>
      </c>
      <c r="BR61" s="232">
        <v>0</v>
      </c>
      <c r="BS61" s="232">
        <v>0</v>
      </c>
      <c r="BT61" s="224">
        <f>SUM(BO61:BS61)</f>
        <v>0</v>
      </c>
    </row>
    <row r="62" spans="2:72" ht="15">
      <c r="B62" s="196">
        <f>IF(D62&lt;&gt;"",MAX(B60:B61)+1,"")</f>
        <v>50</v>
      </c>
      <c r="C62" s="184"/>
      <c r="D62" s="225" t="s">
        <v>327</v>
      </c>
      <c r="E62" s="226">
        <f>E60+SUM(E61:E61)</f>
        <v>0</v>
      </c>
      <c r="F62" s="226">
        <f t="shared" ref="F62:Z62" si="55">F60+SUM(F61:F61)</f>
        <v>0</v>
      </c>
      <c r="G62" s="226">
        <f t="shared" si="55"/>
        <v>0</v>
      </c>
      <c r="H62" s="226">
        <f t="shared" si="55"/>
        <v>0</v>
      </c>
      <c r="I62" s="226">
        <f t="shared" si="55"/>
        <v>0</v>
      </c>
      <c r="J62" s="226">
        <f t="shared" si="55"/>
        <v>0</v>
      </c>
      <c r="K62" s="226">
        <f t="shared" si="55"/>
        <v>0</v>
      </c>
      <c r="L62" s="226">
        <f t="shared" si="55"/>
        <v>0</v>
      </c>
      <c r="M62" s="226">
        <f t="shared" si="55"/>
        <v>0</v>
      </c>
      <c r="N62" s="226">
        <f t="shared" si="55"/>
        <v>0</v>
      </c>
      <c r="O62" s="226">
        <f t="shared" si="55"/>
        <v>0</v>
      </c>
      <c r="P62" s="226">
        <f t="shared" si="55"/>
        <v>0</v>
      </c>
      <c r="Q62" s="226">
        <f t="shared" si="55"/>
        <v>0</v>
      </c>
      <c r="R62" s="226">
        <f t="shared" si="55"/>
        <v>0</v>
      </c>
      <c r="S62" s="226">
        <f t="shared" si="55"/>
        <v>0</v>
      </c>
      <c r="T62" s="226">
        <f t="shared" si="55"/>
        <v>0</v>
      </c>
      <c r="U62" s="227">
        <f t="shared" si="55"/>
        <v>171585446.67307502</v>
      </c>
      <c r="V62" s="227">
        <f t="shared" si="55"/>
        <v>439481079.36629999</v>
      </c>
      <c r="W62" s="227">
        <f t="shared" si="55"/>
        <v>76275990.318700001</v>
      </c>
      <c r="X62" s="227">
        <f t="shared" si="55"/>
        <v>311642661.32420003</v>
      </c>
      <c r="Y62" s="227">
        <f t="shared" ref="Y62" si="56">Y60+SUM(Y61:Y61)</f>
        <v>0</v>
      </c>
      <c r="Z62" s="226">
        <f t="shared" si="55"/>
        <v>998985177.68227506</v>
      </c>
      <c r="AA62" s="228"/>
      <c r="AB62" s="226">
        <f>AB60+SUM(AB61:AB61)</f>
        <v>0</v>
      </c>
      <c r="AC62" s="226">
        <f t="shared" ref="AC62:AW62" si="57">AC60+SUM(AC61:AC61)</f>
        <v>0</v>
      </c>
      <c r="AD62" s="226">
        <f t="shared" si="57"/>
        <v>0</v>
      </c>
      <c r="AE62" s="226">
        <f t="shared" si="57"/>
        <v>0</v>
      </c>
      <c r="AF62" s="226">
        <f t="shared" si="57"/>
        <v>0</v>
      </c>
      <c r="AG62" s="226">
        <f t="shared" si="57"/>
        <v>0</v>
      </c>
      <c r="AH62" s="226">
        <f t="shared" si="57"/>
        <v>0</v>
      </c>
      <c r="AI62" s="226">
        <f t="shared" si="57"/>
        <v>0</v>
      </c>
      <c r="AJ62" s="226">
        <f t="shared" si="57"/>
        <v>0</v>
      </c>
      <c r="AK62" s="226">
        <f t="shared" si="57"/>
        <v>0</v>
      </c>
      <c r="AL62" s="226">
        <f t="shared" si="57"/>
        <v>0</v>
      </c>
      <c r="AM62" s="226">
        <f t="shared" si="57"/>
        <v>0</v>
      </c>
      <c r="AN62" s="226">
        <f t="shared" si="57"/>
        <v>0</v>
      </c>
      <c r="AO62" s="226">
        <f t="shared" si="57"/>
        <v>0</v>
      </c>
      <c r="AP62" s="226">
        <f t="shared" si="57"/>
        <v>0</v>
      </c>
      <c r="AQ62" s="226">
        <f t="shared" si="57"/>
        <v>0</v>
      </c>
      <c r="AR62" s="227">
        <f t="shared" si="57"/>
        <v>0</v>
      </c>
      <c r="AS62" s="227">
        <f t="shared" si="57"/>
        <v>0</v>
      </c>
      <c r="AT62" s="227">
        <f t="shared" si="57"/>
        <v>0</v>
      </c>
      <c r="AU62" s="227">
        <f t="shared" si="57"/>
        <v>0</v>
      </c>
      <c r="AV62" s="227">
        <f t="shared" si="57"/>
        <v>0</v>
      </c>
      <c r="AW62" s="226">
        <f t="shared" si="57"/>
        <v>0</v>
      </c>
      <c r="AX62" s="228"/>
      <c r="AY62" s="226">
        <f>AY60+SUM(AY61:AY61)</f>
        <v>0</v>
      </c>
      <c r="AZ62" s="226">
        <f t="shared" ref="AZ62:BT62" si="58">AZ60+SUM(AZ61:AZ61)</f>
        <v>0</v>
      </c>
      <c r="BA62" s="226">
        <f t="shared" si="58"/>
        <v>0</v>
      </c>
      <c r="BB62" s="226">
        <f t="shared" si="58"/>
        <v>0</v>
      </c>
      <c r="BC62" s="226">
        <f t="shared" si="58"/>
        <v>0</v>
      </c>
      <c r="BD62" s="226">
        <f t="shared" si="58"/>
        <v>0</v>
      </c>
      <c r="BE62" s="226">
        <f t="shared" si="58"/>
        <v>0</v>
      </c>
      <c r="BF62" s="226">
        <f t="shared" si="58"/>
        <v>0</v>
      </c>
      <c r="BG62" s="226">
        <f t="shared" si="58"/>
        <v>0</v>
      </c>
      <c r="BH62" s="226">
        <f t="shared" si="58"/>
        <v>0</v>
      </c>
      <c r="BI62" s="226">
        <f t="shared" si="58"/>
        <v>0</v>
      </c>
      <c r="BJ62" s="226">
        <f t="shared" si="58"/>
        <v>0</v>
      </c>
      <c r="BK62" s="226">
        <f t="shared" si="58"/>
        <v>0</v>
      </c>
      <c r="BL62" s="226">
        <f t="shared" si="58"/>
        <v>0</v>
      </c>
      <c r="BM62" s="226">
        <f t="shared" si="58"/>
        <v>0</v>
      </c>
      <c r="BN62" s="226">
        <f t="shared" si="58"/>
        <v>0</v>
      </c>
      <c r="BO62" s="227">
        <f t="shared" si="58"/>
        <v>180710596.28193295</v>
      </c>
      <c r="BP62" s="227">
        <f t="shared" si="58"/>
        <v>490087718.26421541</v>
      </c>
      <c r="BQ62" s="227">
        <f t="shared" si="58"/>
        <v>110669464.84784922</v>
      </c>
      <c r="BR62" s="227">
        <f t="shared" si="58"/>
        <v>373702347.42108887</v>
      </c>
      <c r="BS62" s="227">
        <f t="shared" si="58"/>
        <v>0</v>
      </c>
      <c r="BT62" s="229">
        <f t="shared" si="58"/>
        <v>1155170126.8150864</v>
      </c>
    </row>
    <row r="63" spans="2:72" ht="15">
      <c r="B63" s="196" t="str">
        <f>IF(D63&lt;&gt;"",MAX(B61:B62)+1,"")</f>
        <v/>
      </c>
      <c r="C63" s="184"/>
      <c r="D63" s="198"/>
      <c r="E63" s="198"/>
      <c r="F63" s="198"/>
      <c r="G63" s="198"/>
      <c r="H63" s="198"/>
      <c r="I63" s="198"/>
      <c r="J63" s="198"/>
      <c r="K63" s="198"/>
      <c r="L63" s="198"/>
      <c r="M63" s="198"/>
      <c r="N63" s="198"/>
      <c r="O63" s="198"/>
      <c r="P63" s="198"/>
      <c r="Q63" s="198"/>
      <c r="R63" s="198"/>
      <c r="S63" s="198"/>
      <c r="T63" s="198"/>
      <c r="U63" s="199"/>
      <c r="V63" s="199"/>
      <c r="W63" s="199"/>
      <c r="X63" s="199"/>
      <c r="Y63" s="199"/>
      <c r="Z63" s="198"/>
      <c r="AA63" s="180"/>
      <c r="AB63" s="198"/>
      <c r="AC63" s="198"/>
      <c r="AD63" s="198"/>
      <c r="AE63" s="198"/>
      <c r="AF63" s="198"/>
      <c r="AG63" s="198"/>
      <c r="AH63" s="198"/>
      <c r="AI63" s="198"/>
      <c r="AJ63" s="198"/>
      <c r="AK63" s="198"/>
      <c r="AL63" s="198"/>
      <c r="AM63" s="198"/>
      <c r="AN63" s="198"/>
      <c r="AO63" s="198"/>
      <c r="AP63" s="198"/>
      <c r="AQ63" s="198"/>
      <c r="AR63" s="199"/>
      <c r="AS63" s="199"/>
      <c r="AT63" s="199"/>
      <c r="AU63" s="199"/>
      <c r="AV63" s="199"/>
      <c r="AW63" s="198"/>
      <c r="AX63" s="180"/>
      <c r="AY63" s="198"/>
      <c r="AZ63" s="198"/>
      <c r="BA63" s="198"/>
      <c r="BB63" s="198"/>
      <c r="BC63" s="198"/>
      <c r="BD63" s="198"/>
      <c r="BE63" s="198"/>
      <c r="BF63" s="198"/>
      <c r="BG63" s="198"/>
      <c r="BH63" s="198"/>
      <c r="BI63" s="198"/>
      <c r="BJ63" s="198"/>
      <c r="BK63" s="198"/>
      <c r="BL63" s="198"/>
      <c r="BM63" s="198"/>
      <c r="BN63" s="198"/>
      <c r="BO63" s="199"/>
      <c r="BP63" s="199"/>
      <c r="BQ63" s="199"/>
      <c r="BR63" s="199"/>
      <c r="BS63" s="199"/>
      <c r="BT63" s="200"/>
    </row>
    <row r="64" spans="2:72" ht="14.25" customHeight="1">
      <c r="B64" s="196">
        <f>IF(D64&lt;&gt;"",MAX(B62:B63)+1,"")</f>
        <v>51</v>
      </c>
      <c r="C64" s="184"/>
      <c r="D64" s="207" t="s">
        <v>328</v>
      </c>
      <c r="E64" s="223">
        <v>0</v>
      </c>
      <c r="F64" s="223">
        <v>0</v>
      </c>
      <c r="G64" s="223">
        <v>0</v>
      </c>
      <c r="H64" s="223">
        <v>0</v>
      </c>
      <c r="I64" s="223">
        <v>0</v>
      </c>
      <c r="J64" s="223">
        <f>SUM(F64:I64)</f>
        <v>0</v>
      </c>
      <c r="K64" s="223">
        <v>0</v>
      </c>
      <c r="L64" s="223">
        <v>0</v>
      </c>
      <c r="M64" s="223">
        <v>0</v>
      </c>
      <c r="N64" s="223">
        <v>0</v>
      </c>
      <c r="O64" s="223">
        <f>SUM(K64:N64)</f>
        <v>0</v>
      </c>
      <c r="P64" s="223">
        <v>0</v>
      </c>
      <c r="Q64" s="223">
        <v>0</v>
      </c>
      <c r="R64" s="223">
        <v>0</v>
      </c>
      <c r="S64" s="223">
        <v>0</v>
      </c>
      <c r="T64" s="223">
        <f>SUM(P64:S64)</f>
        <v>0</v>
      </c>
      <c r="U64" s="213">
        <v>0</v>
      </c>
      <c r="V64" s="213">
        <v>0</v>
      </c>
      <c r="W64" s="213">
        <v>0</v>
      </c>
      <c r="X64" s="213">
        <v>0</v>
      </c>
      <c r="Y64" s="213">
        <v>0</v>
      </c>
      <c r="Z64" s="223">
        <f t="shared" ref="Z64:Z67" si="59">SUM(U64:Y64)</f>
        <v>0</v>
      </c>
      <c r="AA64" s="180"/>
      <c r="AB64" s="223">
        <v>0</v>
      </c>
      <c r="AC64" s="223">
        <v>0</v>
      </c>
      <c r="AD64" s="223">
        <v>0</v>
      </c>
      <c r="AE64" s="223">
        <v>0</v>
      </c>
      <c r="AF64" s="223">
        <v>0</v>
      </c>
      <c r="AG64" s="223">
        <f>SUM(AC64:AF64)</f>
        <v>0</v>
      </c>
      <c r="AH64" s="223">
        <v>0</v>
      </c>
      <c r="AI64" s="223">
        <v>0</v>
      </c>
      <c r="AJ64" s="223">
        <v>0</v>
      </c>
      <c r="AK64" s="223">
        <v>0</v>
      </c>
      <c r="AL64" s="223">
        <f>SUM(AH64:AK64)</f>
        <v>0</v>
      </c>
      <c r="AM64" s="223">
        <v>0</v>
      </c>
      <c r="AN64" s="223">
        <v>0</v>
      </c>
      <c r="AO64" s="223">
        <v>0</v>
      </c>
      <c r="AP64" s="223">
        <v>0</v>
      </c>
      <c r="AQ64" s="223">
        <f>SUM(AM64:AP64)</f>
        <v>0</v>
      </c>
      <c r="AR64" s="213">
        <v>0</v>
      </c>
      <c r="AS64" s="213">
        <v>0</v>
      </c>
      <c r="AT64" s="213">
        <v>0</v>
      </c>
      <c r="AU64" s="213">
        <v>0</v>
      </c>
      <c r="AV64" s="213">
        <v>0</v>
      </c>
      <c r="AW64" s="223">
        <f t="shared" ref="AW64" si="60">SUM(AR64:AV64)</f>
        <v>0</v>
      </c>
      <c r="AX64" s="180"/>
      <c r="AY64" s="223">
        <v>0</v>
      </c>
      <c r="AZ64" s="223">
        <v>0</v>
      </c>
      <c r="BA64" s="223">
        <v>0</v>
      </c>
      <c r="BB64" s="223">
        <v>0</v>
      </c>
      <c r="BC64" s="223">
        <v>0</v>
      </c>
      <c r="BD64" s="223">
        <f>SUM(AZ64:BC64)</f>
        <v>0</v>
      </c>
      <c r="BE64" s="223">
        <v>0</v>
      </c>
      <c r="BF64" s="223">
        <v>0</v>
      </c>
      <c r="BG64" s="223">
        <v>0</v>
      </c>
      <c r="BH64" s="223">
        <v>0</v>
      </c>
      <c r="BI64" s="223">
        <f>SUM(BE64:BH64)</f>
        <v>0</v>
      </c>
      <c r="BJ64" s="223">
        <v>0</v>
      </c>
      <c r="BK64" s="223">
        <v>0</v>
      </c>
      <c r="BL64" s="223">
        <v>0</v>
      </c>
      <c r="BM64" s="223">
        <v>0</v>
      </c>
      <c r="BN64" s="223">
        <f>SUM(BJ64:BM64)</f>
        <v>0</v>
      </c>
      <c r="BO64" s="213">
        <v>0</v>
      </c>
      <c r="BP64" s="213">
        <v>0</v>
      </c>
      <c r="BQ64" s="213">
        <v>0</v>
      </c>
      <c r="BR64" s="213">
        <v>0</v>
      </c>
      <c r="BS64" s="213">
        <v>0</v>
      </c>
      <c r="BT64" s="224">
        <f t="shared" ref="BT64" si="61">SUM(BO64:BS64)</f>
        <v>0</v>
      </c>
    </row>
    <row r="65" spans="2:72" ht="15">
      <c r="B65" s="196">
        <f t="shared" si="0"/>
        <v>52</v>
      </c>
      <c r="C65" s="184"/>
      <c r="D65" s="207" t="s">
        <v>329</v>
      </c>
      <c r="E65" s="223">
        <f>E61*2%</f>
        <v>0</v>
      </c>
      <c r="F65" s="223">
        <v>0</v>
      </c>
      <c r="G65" s="223">
        <v>0</v>
      </c>
      <c r="H65" s="223">
        <v>0</v>
      </c>
      <c r="I65" s="223">
        <v>0</v>
      </c>
      <c r="J65" s="223">
        <f>SUM(F65:I65)</f>
        <v>0</v>
      </c>
      <c r="K65" s="223">
        <v>0</v>
      </c>
      <c r="L65" s="223">
        <v>0</v>
      </c>
      <c r="M65" s="223">
        <v>0</v>
      </c>
      <c r="N65" s="223">
        <v>0</v>
      </c>
      <c r="O65" s="223">
        <f>SUM(K65:N65)</f>
        <v>0</v>
      </c>
      <c r="P65" s="223">
        <v>0</v>
      </c>
      <c r="Q65" s="223">
        <v>0</v>
      </c>
      <c r="R65" s="223">
        <v>0</v>
      </c>
      <c r="S65" s="223">
        <v>0</v>
      </c>
      <c r="T65" s="223">
        <f>SUM(P65:S65)</f>
        <v>0</v>
      </c>
      <c r="U65" s="213">
        <f>U62*0.02</f>
        <v>3431708.9334615003</v>
      </c>
      <c r="V65" s="213">
        <f t="shared" ref="V65:X65" si="62">V62*0.02</f>
        <v>8789621.5873259995</v>
      </c>
      <c r="W65" s="213">
        <f t="shared" si="62"/>
        <v>1525519.8063740002</v>
      </c>
      <c r="X65" s="213">
        <f t="shared" si="62"/>
        <v>6232853.2264840007</v>
      </c>
      <c r="Y65" s="213">
        <f>(Y71*0.02)</f>
        <v>14743792.80170726</v>
      </c>
      <c r="Z65" s="223">
        <f>Z62*2%</f>
        <v>19979703.553645503</v>
      </c>
      <c r="AA65" s="180"/>
      <c r="AB65" s="223">
        <f>AB61*2%</f>
        <v>0</v>
      </c>
      <c r="AC65" s="223">
        <v>0</v>
      </c>
      <c r="AD65" s="223">
        <v>0</v>
      </c>
      <c r="AE65" s="223">
        <v>0</v>
      </c>
      <c r="AF65" s="223">
        <v>0</v>
      </c>
      <c r="AG65" s="223">
        <f>SUM(AC65:AF65)</f>
        <v>0</v>
      </c>
      <c r="AH65" s="223">
        <v>0</v>
      </c>
      <c r="AI65" s="223">
        <v>0</v>
      </c>
      <c r="AJ65" s="223">
        <v>0</v>
      </c>
      <c r="AK65" s="223">
        <v>0</v>
      </c>
      <c r="AL65" s="223">
        <f>SUM(AH65:AK65)</f>
        <v>0</v>
      </c>
      <c r="AM65" s="223">
        <v>0</v>
      </c>
      <c r="AN65" s="223">
        <v>0</v>
      </c>
      <c r="AO65" s="223">
        <v>0</v>
      </c>
      <c r="AP65" s="223">
        <v>0</v>
      </c>
      <c r="AQ65" s="223">
        <f>SUM(AM65:AP65)</f>
        <v>0</v>
      </c>
      <c r="AR65" s="213">
        <v>0</v>
      </c>
      <c r="AS65" s="213">
        <v>0</v>
      </c>
      <c r="AT65" s="213">
        <v>0</v>
      </c>
      <c r="AU65" s="213">
        <v>0</v>
      </c>
      <c r="AV65" s="213">
        <v>0</v>
      </c>
      <c r="AW65" s="223">
        <f>AW62*2%</f>
        <v>0</v>
      </c>
      <c r="AX65" s="180"/>
      <c r="AY65" s="223">
        <f>AY61*2%</f>
        <v>0</v>
      </c>
      <c r="AZ65" s="223">
        <v>0</v>
      </c>
      <c r="BA65" s="223">
        <v>0</v>
      </c>
      <c r="BB65" s="223">
        <v>0</v>
      </c>
      <c r="BC65" s="223">
        <v>0</v>
      </c>
      <c r="BD65" s="223">
        <f>SUM(AZ65:BC65)</f>
        <v>0</v>
      </c>
      <c r="BE65" s="223">
        <v>0</v>
      </c>
      <c r="BF65" s="223">
        <v>0</v>
      </c>
      <c r="BG65" s="223">
        <v>0</v>
      </c>
      <c r="BH65" s="223">
        <v>0</v>
      </c>
      <c r="BI65" s="223">
        <f>SUM(BE65:BH65)</f>
        <v>0</v>
      </c>
      <c r="BJ65" s="223">
        <v>0</v>
      </c>
      <c r="BK65" s="223">
        <v>0</v>
      </c>
      <c r="BL65" s="223">
        <v>0</v>
      </c>
      <c r="BM65" s="223">
        <v>0</v>
      </c>
      <c r="BN65" s="223">
        <f>SUM(BJ65:BM65)</f>
        <v>0</v>
      </c>
      <c r="BO65" s="213">
        <v>0</v>
      </c>
      <c r="BP65" s="213">
        <v>0</v>
      </c>
      <c r="BQ65" s="213">
        <v>0</v>
      </c>
      <c r="BR65" s="213">
        <v>0</v>
      </c>
      <c r="BS65" s="213">
        <v>0</v>
      </c>
      <c r="BT65" s="224">
        <f>BT62*2%</f>
        <v>23103402.536301728</v>
      </c>
    </row>
    <row r="66" spans="2:72" ht="15">
      <c r="B66" s="196">
        <f t="shared" si="0"/>
        <v>53</v>
      </c>
      <c r="C66" s="184"/>
      <c r="D66" s="207" t="s">
        <v>330</v>
      </c>
      <c r="E66" s="223">
        <v>0</v>
      </c>
      <c r="F66" s="223">
        <v>0</v>
      </c>
      <c r="G66" s="223">
        <v>0</v>
      </c>
      <c r="H66" s="223">
        <v>0</v>
      </c>
      <c r="I66" s="223">
        <v>0</v>
      </c>
      <c r="J66" s="223">
        <f>SUM(F66:I66)</f>
        <v>0</v>
      </c>
      <c r="K66" s="223">
        <v>0</v>
      </c>
      <c r="L66" s="223">
        <v>0</v>
      </c>
      <c r="M66" s="223">
        <v>0</v>
      </c>
      <c r="N66" s="223">
        <v>0</v>
      </c>
      <c r="O66" s="223">
        <f>SUM(K66:N66)</f>
        <v>0</v>
      </c>
      <c r="P66" s="223">
        <v>0</v>
      </c>
      <c r="Q66" s="223">
        <v>0</v>
      </c>
      <c r="R66" s="223">
        <v>0</v>
      </c>
      <c r="S66" s="223">
        <v>0</v>
      </c>
      <c r="T66" s="223">
        <f>SUM(P66:S66)</f>
        <v>0</v>
      </c>
      <c r="U66" s="213">
        <v>0</v>
      </c>
      <c r="V66" s="213">
        <v>0</v>
      </c>
      <c r="W66" s="213">
        <v>0</v>
      </c>
      <c r="X66" s="213">
        <v>0</v>
      </c>
      <c r="Y66" s="213">
        <v>0</v>
      </c>
      <c r="Z66" s="223">
        <f t="shared" si="59"/>
        <v>0</v>
      </c>
      <c r="AA66" s="180"/>
      <c r="AB66" s="223">
        <v>0</v>
      </c>
      <c r="AC66" s="223">
        <v>0</v>
      </c>
      <c r="AD66" s="223">
        <v>0</v>
      </c>
      <c r="AE66" s="223">
        <v>0</v>
      </c>
      <c r="AF66" s="223">
        <v>0</v>
      </c>
      <c r="AG66" s="223">
        <f>SUM(AC66:AF66)</f>
        <v>0</v>
      </c>
      <c r="AH66" s="223">
        <v>0</v>
      </c>
      <c r="AI66" s="223">
        <v>0</v>
      </c>
      <c r="AJ66" s="223">
        <v>0</v>
      </c>
      <c r="AK66" s="223">
        <v>0</v>
      </c>
      <c r="AL66" s="223">
        <f>SUM(AH66:AK66)</f>
        <v>0</v>
      </c>
      <c r="AM66" s="223">
        <v>0</v>
      </c>
      <c r="AN66" s="223">
        <v>0</v>
      </c>
      <c r="AO66" s="223">
        <v>0</v>
      </c>
      <c r="AP66" s="223">
        <v>0</v>
      </c>
      <c r="AQ66" s="223">
        <f>SUM(AM66:AP66)</f>
        <v>0</v>
      </c>
      <c r="AR66" s="213">
        <v>0</v>
      </c>
      <c r="AS66" s="213">
        <v>0</v>
      </c>
      <c r="AT66" s="213">
        <v>0</v>
      </c>
      <c r="AU66" s="213">
        <v>0</v>
      </c>
      <c r="AV66" s="213">
        <v>0</v>
      </c>
      <c r="AW66" s="223">
        <f t="shared" ref="AW66:AW67" si="63">SUM(AR66:AV66)</f>
        <v>0</v>
      </c>
      <c r="AX66" s="180"/>
      <c r="AY66" s="223">
        <v>0</v>
      </c>
      <c r="AZ66" s="223">
        <v>0</v>
      </c>
      <c r="BA66" s="223">
        <v>0</v>
      </c>
      <c r="BB66" s="223">
        <v>0</v>
      </c>
      <c r="BC66" s="223">
        <v>0</v>
      </c>
      <c r="BD66" s="223">
        <f>SUM(AZ66:BC66)</f>
        <v>0</v>
      </c>
      <c r="BE66" s="223">
        <v>0</v>
      </c>
      <c r="BF66" s="223">
        <v>0</v>
      </c>
      <c r="BG66" s="223">
        <v>0</v>
      </c>
      <c r="BH66" s="223">
        <v>0</v>
      </c>
      <c r="BI66" s="223">
        <f>SUM(BE66:BH66)</f>
        <v>0</v>
      </c>
      <c r="BJ66" s="223">
        <v>0</v>
      </c>
      <c r="BK66" s="223">
        <v>0</v>
      </c>
      <c r="BL66" s="223">
        <v>0</v>
      </c>
      <c r="BM66" s="223">
        <v>0</v>
      </c>
      <c r="BN66" s="223">
        <f>SUM(BJ66:BM66)</f>
        <v>0</v>
      </c>
      <c r="BO66" s="213">
        <v>0</v>
      </c>
      <c r="BP66" s="213">
        <v>0</v>
      </c>
      <c r="BQ66" s="213">
        <v>0</v>
      </c>
      <c r="BR66" s="213">
        <v>0</v>
      </c>
      <c r="BS66" s="213">
        <v>0</v>
      </c>
      <c r="BT66" s="224">
        <f t="shared" ref="BT66:BT67" si="64">SUM(BO66:BS66)</f>
        <v>0</v>
      </c>
    </row>
    <row r="67" spans="2:72" ht="15">
      <c r="B67" s="196">
        <f t="shared" si="0"/>
        <v>54</v>
      </c>
      <c r="C67" s="184"/>
      <c r="D67" s="207" t="s">
        <v>331</v>
      </c>
      <c r="E67" s="223">
        <v>0</v>
      </c>
      <c r="F67" s="223">
        <v>0</v>
      </c>
      <c r="G67" s="223">
        <v>0</v>
      </c>
      <c r="H67" s="223">
        <v>0</v>
      </c>
      <c r="I67" s="223">
        <v>0</v>
      </c>
      <c r="J67" s="223">
        <f>SUM(F67:I67)</f>
        <v>0</v>
      </c>
      <c r="K67" s="223">
        <v>0</v>
      </c>
      <c r="L67" s="223">
        <v>0</v>
      </c>
      <c r="M67" s="223">
        <v>0</v>
      </c>
      <c r="N67" s="223">
        <v>0</v>
      </c>
      <c r="O67" s="223">
        <f>SUM(K67:N67)</f>
        <v>0</v>
      </c>
      <c r="P67" s="223">
        <v>0</v>
      </c>
      <c r="Q67" s="223">
        <v>0</v>
      </c>
      <c r="R67" s="223">
        <v>0</v>
      </c>
      <c r="S67" s="223">
        <v>0</v>
      </c>
      <c r="T67" s="223">
        <f>SUM(P67:S67)</f>
        <v>0</v>
      </c>
      <c r="U67" s="213">
        <v>0</v>
      </c>
      <c r="V67" s="213">
        <v>0</v>
      </c>
      <c r="W67" s="213">
        <v>0</v>
      </c>
      <c r="X67" s="213">
        <v>0</v>
      </c>
      <c r="Y67" s="213">
        <v>0</v>
      </c>
      <c r="Z67" s="223">
        <f t="shared" si="59"/>
        <v>0</v>
      </c>
      <c r="AA67" s="180"/>
      <c r="AB67" s="223">
        <v>0</v>
      </c>
      <c r="AC67" s="223">
        <v>0</v>
      </c>
      <c r="AD67" s="223">
        <v>0</v>
      </c>
      <c r="AE67" s="223">
        <v>0</v>
      </c>
      <c r="AF67" s="223">
        <v>0</v>
      </c>
      <c r="AG67" s="223">
        <f>SUM(AC67:AF67)</f>
        <v>0</v>
      </c>
      <c r="AH67" s="223">
        <v>0</v>
      </c>
      <c r="AI67" s="223">
        <v>0</v>
      </c>
      <c r="AJ67" s="223">
        <v>0</v>
      </c>
      <c r="AK67" s="223">
        <v>0</v>
      </c>
      <c r="AL67" s="223">
        <f>SUM(AH67:AK67)</f>
        <v>0</v>
      </c>
      <c r="AM67" s="223">
        <v>0</v>
      </c>
      <c r="AN67" s="223">
        <v>0</v>
      </c>
      <c r="AO67" s="223">
        <v>0</v>
      </c>
      <c r="AP67" s="223">
        <v>0</v>
      </c>
      <c r="AQ67" s="223">
        <f>SUM(AM67:AP67)</f>
        <v>0</v>
      </c>
      <c r="AR67" s="213">
        <v>0</v>
      </c>
      <c r="AS67" s="213">
        <v>0</v>
      </c>
      <c r="AT67" s="213">
        <v>0</v>
      </c>
      <c r="AU67" s="213">
        <v>0</v>
      </c>
      <c r="AV67" s="213">
        <v>0</v>
      </c>
      <c r="AW67" s="223">
        <f t="shared" si="63"/>
        <v>0</v>
      </c>
      <c r="AX67" s="180"/>
      <c r="AY67" s="223">
        <v>0</v>
      </c>
      <c r="AZ67" s="223">
        <v>0</v>
      </c>
      <c r="BA67" s="223">
        <v>0</v>
      </c>
      <c r="BB67" s="223">
        <v>0</v>
      </c>
      <c r="BC67" s="223">
        <v>0</v>
      </c>
      <c r="BD67" s="223">
        <f>SUM(AZ67:BC67)</f>
        <v>0</v>
      </c>
      <c r="BE67" s="223">
        <v>0</v>
      </c>
      <c r="BF67" s="223">
        <v>0</v>
      </c>
      <c r="BG67" s="223">
        <v>0</v>
      </c>
      <c r="BH67" s="223">
        <v>0</v>
      </c>
      <c r="BI67" s="223">
        <f>SUM(BE67:BH67)</f>
        <v>0</v>
      </c>
      <c r="BJ67" s="223">
        <v>0</v>
      </c>
      <c r="BK67" s="223">
        <v>0</v>
      </c>
      <c r="BL67" s="223">
        <v>0</v>
      </c>
      <c r="BM67" s="223">
        <v>0</v>
      </c>
      <c r="BN67" s="223">
        <f>SUM(BJ67:BM67)</f>
        <v>0</v>
      </c>
      <c r="BO67" s="213">
        <v>0</v>
      </c>
      <c r="BP67" s="213">
        <v>0</v>
      </c>
      <c r="BQ67" s="213">
        <v>0</v>
      </c>
      <c r="BR67" s="213">
        <v>0</v>
      </c>
      <c r="BS67" s="213">
        <v>0</v>
      </c>
      <c r="BT67" s="224">
        <f t="shared" si="64"/>
        <v>0</v>
      </c>
    </row>
    <row r="68" spans="2:72" ht="15">
      <c r="B68" s="196">
        <f t="shared" si="0"/>
        <v>55</v>
      </c>
      <c r="C68" s="184"/>
      <c r="D68" s="225" t="s">
        <v>332</v>
      </c>
      <c r="E68" s="226">
        <f>SUM(E64:E67)</f>
        <v>0</v>
      </c>
      <c r="F68" s="226">
        <f t="shared" ref="F68:Z68" si="65">SUM(F64:F67)</f>
        <v>0</v>
      </c>
      <c r="G68" s="226">
        <f t="shared" si="65"/>
        <v>0</v>
      </c>
      <c r="H68" s="226">
        <f t="shared" si="65"/>
        <v>0</v>
      </c>
      <c r="I68" s="226">
        <f t="shared" si="65"/>
        <v>0</v>
      </c>
      <c r="J68" s="226">
        <f t="shared" si="65"/>
        <v>0</v>
      </c>
      <c r="K68" s="226">
        <f t="shared" si="65"/>
        <v>0</v>
      </c>
      <c r="L68" s="226">
        <f t="shared" si="65"/>
        <v>0</v>
      </c>
      <c r="M68" s="226">
        <f t="shared" si="65"/>
        <v>0</v>
      </c>
      <c r="N68" s="226">
        <f t="shared" si="65"/>
        <v>0</v>
      </c>
      <c r="O68" s="226">
        <f t="shared" si="65"/>
        <v>0</v>
      </c>
      <c r="P68" s="226">
        <f t="shared" si="65"/>
        <v>0</v>
      </c>
      <c r="Q68" s="226">
        <f t="shared" si="65"/>
        <v>0</v>
      </c>
      <c r="R68" s="226">
        <f t="shared" si="65"/>
        <v>0</v>
      </c>
      <c r="S68" s="226">
        <f t="shared" si="65"/>
        <v>0</v>
      </c>
      <c r="T68" s="226">
        <f t="shared" si="65"/>
        <v>0</v>
      </c>
      <c r="U68" s="227">
        <f t="shared" si="65"/>
        <v>3431708.9334615003</v>
      </c>
      <c r="V68" s="227">
        <f t="shared" si="65"/>
        <v>8789621.5873259995</v>
      </c>
      <c r="W68" s="227">
        <f t="shared" si="65"/>
        <v>1525519.8063740002</v>
      </c>
      <c r="X68" s="227">
        <f t="shared" si="65"/>
        <v>6232853.2264840007</v>
      </c>
      <c r="Y68" s="227">
        <f t="shared" si="65"/>
        <v>14743792.80170726</v>
      </c>
      <c r="Z68" s="226">
        <f t="shared" si="65"/>
        <v>19979703.553645503</v>
      </c>
      <c r="AA68" s="228"/>
      <c r="AB68" s="226">
        <f>SUM(AB64:AB67)</f>
        <v>0</v>
      </c>
      <c r="AC68" s="226">
        <f t="shared" ref="AC68:AW68" si="66">SUM(AC64:AC67)</f>
        <v>0</v>
      </c>
      <c r="AD68" s="226">
        <f t="shared" si="66"/>
        <v>0</v>
      </c>
      <c r="AE68" s="226">
        <f t="shared" si="66"/>
        <v>0</v>
      </c>
      <c r="AF68" s="226">
        <f t="shared" si="66"/>
        <v>0</v>
      </c>
      <c r="AG68" s="226">
        <f t="shared" si="66"/>
        <v>0</v>
      </c>
      <c r="AH68" s="226">
        <f t="shared" si="66"/>
        <v>0</v>
      </c>
      <c r="AI68" s="226">
        <f t="shared" si="66"/>
        <v>0</v>
      </c>
      <c r="AJ68" s="226">
        <f t="shared" si="66"/>
        <v>0</v>
      </c>
      <c r="AK68" s="226">
        <f t="shared" si="66"/>
        <v>0</v>
      </c>
      <c r="AL68" s="226">
        <f t="shared" si="66"/>
        <v>0</v>
      </c>
      <c r="AM68" s="226">
        <f t="shared" si="66"/>
        <v>0</v>
      </c>
      <c r="AN68" s="226">
        <f t="shared" si="66"/>
        <v>0</v>
      </c>
      <c r="AO68" s="226">
        <f t="shared" si="66"/>
        <v>0</v>
      </c>
      <c r="AP68" s="226">
        <f t="shared" si="66"/>
        <v>0</v>
      </c>
      <c r="AQ68" s="226">
        <f t="shared" si="66"/>
        <v>0</v>
      </c>
      <c r="AR68" s="227">
        <f t="shared" si="66"/>
        <v>0</v>
      </c>
      <c r="AS68" s="227">
        <f t="shared" si="66"/>
        <v>0</v>
      </c>
      <c r="AT68" s="227">
        <f t="shared" si="66"/>
        <v>0</v>
      </c>
      <c r="AU68" s="227">
        <f t="shared" si="66"/>
        <v>0</v>
      </c>
      <c r="AV68" s="227">
        <f t="shared" si="66"/>
        <v>0</v>
      </c>
      <c r="AW68" s="226">
        <f t="shared" si="66"/>
        <v>0</v>
      </c>
      <c r="AX68" s="228"/>
      <c r="AY68" s="226">
        <f>SUM(AY64:AY67)</f>
        <v>0</v>
      </c>
      <c r="AZ68" s="226">
        <f t="shared" ref="AZ68:BT68" si="67">SUM(AZ64:AZ67)</f>
        <v>0</v>
      </c>
      <c r="BA68" s="226">
        <f t="shared" si="67"/>
        <v>0</v>
      </c>
      <c r="BB68" s="226">
        <f t="shared" si="67"/>
        <v>0</v>
      </c>
      <c r="BC68" s="226">
        <f t="shared" si="67"/>
        <v>0</v>
      </c>
      <c r="BD68" s="226">
        <f t="shared" si="67"/>
        <v>0</v>
      </c>
      <c r="BE68" s="226">
        <f t="shared" si="67"/>
        <v>0</v>
      </c>
      <c r="BF68" s="226">
        <f t="shared" si="67"/>
        <v>0</v>
      </c>
      <c r="BG68" s="226">
        <f t="shared" si="67"/>
        <v>0</v>
      </c>
      <c r="BH68" s="226">
        <f t="shared" si="67"/>
        <v>0</v>
      </c>
      <c r="BI68" s="226">
        <f t="shared" si="67"/>
        <v>0</v>
      </c>
      <c r="BJ68" s="226">
        <f t="shared" si="67"/>
        <v>0</v>
      </c>
      <c r="BK68" s="226">
        <f t="shared" si="67"/>
        <v>0</v>
      </c>
      <c r="BL68" s="226">
        <f t="shared" si="67"/>
        <v>0</v>
      </c>
      <c r="BM68" s="226">
        <f t="shared" si="67"/>
        <v>0</v>
      </c>
      <c r="BN68" s="226">
        <f t="shared" si="67"/>
        <v>0</v>
      </c>
      <c r="BO68" s="227">
        <f t="shared" si="67"/>
        <v>0</v>
      </c>
      <c r="BP68" s="227">
        <f t="shared" si="67"/>
        <v>0</v>
      </c>
      <c r="BQ68" s="227">
        <f t="shared" si="67"/>
        <v>0</v>
      </c>
      <c r="BR68" s="227">
        <f t="shared" si="67"/>
        <v>0</v>
      </c>
      <c r="BS68" s="227">
        <f t="shared" si="67"/>
        <v>0</v>
      </c>
      <c r="BT68" s="229">
        <f t="shared" si="67"/>
        <v>23103402.536301728</v>
      </c>
    </row>
    <row r="69" spans="2:72" ht="15">
      <c r="B69" s="196" t="str">
        <f t="shared" si="0"/>
        <v/>
      </c>
      <c r="C69" s="184"/>
      <c r="D69" s="198"/>
      <c r="E69" s="198"/>
      <c r="F69" s="198"/>
      <c r="G69" s="198"/>
      <c r="H69" s="198"/>
      <c r="I69" s="198"/>
      <c r="J69" s="198"/>
      <c r="K69" s="198"/>
      <c r="L69" s="198"/>
      <c r="M69" s="198"/>
      <c r="N69" s="198"/>
      <c r="O69" s="198"/>
      <c r="P69" s="198"/>
      <c r="Q69" s="198"/>
      <c r="R69" s="198"/>
      <c r="S69" s="198"/>
      <c r="T69" s="198"/>
      <c r="U69" s="199"/>
      <c r="V69" s="199"/>
      <c r="W69" s="199"/>
      <c r="X69" s="199"/>
      <c r="Y69" s="199"/>
      <c r="Z69" s="198"/>
      <c r="AA69" s="180"/>
      <c r="AB69" s="198"/>
      <c r="AC69" s="198"/>
      <c r="AD69" s="198"/>
      <c r="AE69" s="198"/>
      <c r="AF69" s="198"/>
      <c r="AG69" s="198"/>
      <c r="AH69" s="198"/>
      <c r="AI69" s="198"/>
      <c r="AJ69" s="198"/>
      <c r="AK69" s="198"/>
      <c r="AL69" s="198"/>
      <c r="AM69" s="198"/>
      <c r="AN69" s="198"/>
      <c r="AO69" s="198"/>
      <c r="AP69" s="198"/>
      <c r="AQ69" s="198"/>
      <c r="AR69" s="199"/>
      <c r="AS69" s="199"/>
      <c r="AT69" s="199"/>
      <c r="AU69" s="199"/>
      <c r="AV69" s="199"/>
      <c r="AW69" s="198"/>
      <c r="AX69" s="180"/>
      <c r="AY69" s="198"/>
      <c r="AZ69" s="198"/>
      <c r="BA69" s="198"/>
      <c r="BB69" s="198"/>
      <c r="BC69" s="198"/>
      <c r="BD69" s="198"/>
      <c r="BE69" s="198"/>
      <c r="BF69" s="198"/>
      <c r="BG69" s="198"/>
      <c r="BH69" s="198"/>
      <c r="BI69" s="198"/>
      <c r="BJ69" s="198"/>
      <c r="BK69" s="198"/>
      <c r="BL69" s="198"/>
      <c r="BM69" s="198"/>
      <c r="BN69" s="198"/>
      <c r="BO69" s="199"/>
      <c r="BP69" s="199"/>
      <c r="BQ69" s="199"/>
      <c r="BR69" s="199"/>
      <c r="BS69" s="199"/>
      <c r="BT69" s="200"/>
    </row>
    <row r="70" spans="2:72">
      <c r="B70" s="196">
        <f t="shared" si="0"/>
        <v>56</v>
      </c>
      <c r="C70" s="184"/>
      <c r="D70" s="198" t="s">
        <v>333</v>
      </c>
      <c r="E70" s="198"/>
      <c r="F70" s="198"/>
      <c r="G70" s="198"/>
      <c r="H70" s="198"/>
      <c r="I70" s="198"/>
      <c r="J70" s="198"/>
      <c r="K70" s="198"/>
      <c r="L70" s="198"/>
      <c r="M70" s="198"/>
      <c r="N70" s="198"/>
      <c r="O70" s="198"/>
      <c r="P70" s="198"/>
      <c r="Q70" s="198"/>
      <c r="R70" s="198"/>
      <c r="S70" s="198"/>
      <c r="T70" s="198"/>
      <c r="U70" s="199"/>
      <c r="V70" s="199"/>
      <c r="W70" s="199"/>
      <c r="X70" s="199"/>
      <c r="Y70" s="199"/>
      <c r="Z70" s="198"/>
      <c r="AA70" s="198"/>
      <c r="AB70" s="198"/>
      <c r="AC70" s="198"/>
      <c r="AD70" s="198"/>
      <c r="AE70" s="198"/>
      <c r="AF70" s="198"/>
      <c r="AG70" s="198"/>
      <c r="AH70" s="198"/>
      <c r="AI70" s="198"/>
      <c r="AJ70" s="198"/>
      <c r="AK70" s="198"/>
      <c r="AL70" s="198"/>
      <c r="AM70" s="198"/>
      <c r="AN70" s="198"/>
      <c r="AO70" s="198"/>
      <c r="AP70" s="198"/>
      <c r="AQ70" s="198"/>
      <c r="AR70" s="199"/>
      <c r="AS70" s="199"/>
      <c r="AT70" s="199"/>
      <c r="AU70" s="199"/>
      <c r="AV70" s="199"/>
      <c r="AW70" s="198"/>
      <c r="AX70" s="198"/>
      <c r="AY70" s="198"/>
      <c r="AZ70" s="198"/>
      <c r="BA70" s="198"/>
      <c r="BB70" s="198"/>
      <c r="BC70" s="198"/>
      <c r="BD70" s="198"/>
      <c r="BE70" s="198"/>
      <c r="BF70" s="198"/>
      <c r="BG70" s="198"/>
      <c r="BH70" s="198"/>
      <c r="BI70" s="198"/>
      <c r="BJ70" s="198"/>
      <c r="BK70" s="198"/>
      <c r="BL70" s="198"/>
      <c r="BM70" s="198"/>
      <c r="BN70" s="198"/>
      <c r="BO70" s="199"/>
      <c r="BP70" s="199"/>
      <c r="BQ70" s="199"/>
      <c r="BR70" s="199"/>
      <c r="BS70" s="199"/>
      <c r="BT70" s="200"/>
    </row>
    <row r="71" spans="2:72" ht="14.25" customHeight="1">
      <c r="B71" s="196">
        <f t="shared" si="0"/>
        <v>57</v>
      </c>
      <c r="C71" s="184"/>
      <c r="D71" s="207" t="s">
        <v>334</v>
      </c>
      <c r="E71" s="223">
        <v>0</v>
      </c>
      <c r="F71" s="223">
        <v>0</v>
      </c>
      <c r="G71" s="223">
        <v>0</v>
      </c>
      <c r="H71" s="223">
        <v>0</v>
      </c>
      <c r="I71" s="223">
        <v>0</v>
      </c>
      <c r="J71" s="223">
        <f>SUM(F71:I71)</f>
        <v>0</v>
      </c>
      <c r="K71" s="223">
        <v>0</v>
      </c>
      <c r="L71" s="223">
        <v>0</v>
      </c>
      <c r="M71" s="223">
        <v>0</v>
      </c>
      <c r="N71" s="223">
        <v>0</v>
      </c>
      <c r="O71" s="223">
        <f>SUM(K71:N71)</f>
        <v>0</v>
      </c>
      <c r="P71" s="223">
        <v>0</v>
      </c>
      <c r="Q71" s="223">
        <v>0</v>
      </c>
      <c r="R71" s="223">
        <v>0</v>
      </c>
      <c r="S71" s="223">
        <v>0</v>
      </c>
      <c r="T71" s="223">
        <f>SUM(P71:S71)</f>
        <v>0</v>
      </c>
      <c r="U71" s="213">
        <v>0</v>
      </c>
      <c r="V71" s="213">
        <v>0</v>
      </c>
      <c r="W71" s="213">
        <v>0</v>
      </c>
      <c r="X71" s="213">
        <v>0</v>
      </c>
      <c r="Y71" s="213">
        <f>SUM('D-1-Optimal'!I7:I16,'D-1-Optimal'!I40:I43,'D-1-Optimal'!I46:I50,'D-1-Optimal'!I53:I61,'D-1-Optimal'!I58:I60,'D-1-Optimal'!I64:I75,'D-1-Optimal'!I78:I88)</f>
        <v>737189640.08536303</v>
      </c>
      <c r="Z71" s="223">
        <f t="shared" ref="Z71:Z74" si="68">SUM(U71:Y71)</f>
        <v>737189640.08536303</v>
      </c>
      <c r="AA71" s="180"/>
      <c r="AB71" s="223">
        <v>0</v>
      </c>
      <c r="AC71" s="223">
        <v>0</v>
      </c>
      <c r="AD71" s="223">
        <v>0</v>
      </c>
      <c r="AE71" s="223">
        <v>0</v>
      </c>
      <c r="AF71" s="223">
        <v>0</v>
      </c>
      <c r="AG71" s="223">
        <f>SUM(AC71:AF71)</f>
        <v>0</v>
      </c>
      <c r="AH71" s="223">
        <v>0</v>
      </c>
      <c r="AI71" s="223">
        <v>0</v>
      </c>
      <c r="AJ71" s="223">
        <v>0</v>
      </c>
      <c r="AK71" s="223">
        <v>0</v>
      </c>
      <c r="AL71" s="223">
        <f>SUM(AH71:AK71)</f>
        <v>0</v>
      </c>
      <c r="AM71" s="223">
        <v>0</v>
      </c>
      <c r="AN71" s="223">
        <v>0</v>
      </c>
      <c r="AO71" s="223">
        <v>0</v>
      </c>
      <c r="AP71" s="223">
        <v>0</v>
      </c>
      <c r="AQ71" s="223">
        <f>SUM(AM71:AP71)</f>
        <v>0</v>
      </c>
      <c r="AR71" s="213">
        <v>0</v>
      </c>
      <c r="AS71" s="213">
        <v>0</v>
      </c>
      <c r="AT71" s="213">
        <v>0</v>
      </c>
      <c r="AU71" s="213">
        <v>0</v>
      </c>
      <c r="AV71" s="213">
        <v>0</v>
      </c>
      <c r="AW71" s="223">
        <f t="shared" ref="AW71:AW74" si="69">SUM(AR71:AV71)</f>
        <v>0</v>
      </c>
      <c r="AX71" s="180"/>
      <c r="AY71" s="223">
        <v>0</v>
      </c>
      <c r="AZ71" s="223">
        <v>0</v>
      </c>
      <c r="BA71" s="223">
        <v>0</v>
      </c>
      <c r="BB71" s="223">
        <v>0</v>
      </c>
      <c r="BC71" s="223">
        <v>0</v>
      </c>
      <c r="BD71" s="223">
        <f>SUM(AZ71:BC71)</f>
        <v>0</v>
      </c>
      <c r="BE71" s="223">
        <v>0</v>
      </c>
      <c r="BF71" s="223">
        <v>0</v>
      </c>
      <c r="BG71" s="223">
        <v>0</v>
      </c>
      <c r="BH71" s="223">
        <v>0</v>
      </c>
      <c r="BI71" s="223">
        <f>SUM(BE71:BH71)</f>
        <v>0</v>
      </c>
      <c r="BJ71" s="223">
        <v>0</v>
      </c>
      <c r="BK71" s="223">
        <v>0</v>
      </c>
      <c r="BL71" s="223">
        <v>0</v>
      </c>
      <c r="BM71" s="223">
        <v>0</v>
      </c>
      <c r="BN71" s="223">
        <f>SUM(BJ71:BM71)</f>
        <v>0</v>
      </c>
      <c r="BO71" s="213">
        <v>0</v>
      </c>
      <c r="BP71" s="213">
        <v>0</v>
      </c>
      <c r="BQ71" s="213">
        <v>0</v>
      </c>
      <c r="BR71" s="213">
        <v>0</v>
      </c>
      <c r="BS71" s="213">
        <v>0</v>
      </c>
      <c r="BT71" s="224">
        <f t="shared" ref="BT71:BT74" si="70">SUM(BO71:BS71)</f>
        <v>0</v>
      </c>
    </row>
    <row r="72" spans="2:72" ht="14.25" customHeight="1">
      <c r="B72" s="196">
        <f t="shared" si="0"/>
        <v>58</v>
      </c>
      <c r="C72" s="184"/>
      <c r="D72" s="207" t="s">
        <v>248</v>
      </c>
      <c r="E72" s="223">
        <v>0</v>
      </c>
      <c r="F72" s="223">
        <v>0</v>
      </c>
      <c r="G72" s="223">
        <v>0</v>
      </c>
      <c r="H72" s="223">
        <v>0</v>
      </c>
      <c r="I72" s="223">
        <v>0</v>
      </c>
      <c r="J72" s="223">
        <f>SUM(F72:I72)</f>
        <v>0</v>
      </c>
      <c r="K72" s="223">
        <v>0</v>
      </c>
      <c r="L72" s="223">
        <v>0</v>
      </c>
      <c r="M72" s="223">
        <v>0</v>
      </c>
      <c r="N72" s="223">
        <v>0</v>
      </c>
      <c r="O72" s="223">
        <f>SUM(K72:N72)</f>
        <v>0</v>
      </c>
      <c r="P72" s="223">
        <v>0</v>
      </c>
      <c r="Q72" s="223">
        <v>0</v>
      </c>
      <c r="R72" s="223">
        <v>0</v>
      </c>
      <c r="S72" s="223">
        <v>0</v>
      </c>
      <c r="T72" s="223">
        <f>SUM(P72:S72)</f>
        <v>0</v>
      </c>
      <c r="U72" s="213">
        <v>0</v>
      </c>
      <c r="V72" s="213">
        <v>0</v>
      </c>
      <c r="W72" s="213">
        <v>0</v>
      </c>
      <c r="X72" s="213">
        <v>0</v>
      </c>
      <c r="Y72" s="213">
        <v>0</v>
      </c>
      <c r="Z72" s="223">
        <f t="shared" si="68"/>
        <v>0</v>
      </c>
      <c r="AA72" s="180"/>
      <c r="AB72" s="223">
        <v>0</v>
      </c>
      <c r="AC72" s="223">
        <v>0</v>
      </c>
      <c r="AD72" s="223">
        <v>0</v>
      </c>
      <c r="AE72" s="223">
        <v>0</v>
      </c>
      <c r="AF72" s="223">
        <v>0</v>
      </c>
      <c r="AG72" s="223">
        <f>SUM(AC72:AF72)</f>
        <v>0</v>
      </c>
      <c r="AH72" s="223">
        <v>0</v>
      </c>
      <c r="AI72" s="223">
        <v>0</v>
      </c>
      <c r="AJ72" s="223">
        <v>0</v>
      </c>
      <c r="AK72" s="223">
        <v>0</v>
      </c>
      <c r="AL72" s="223">
        <f>SUM(AH72:AK72)</f>
        <v>0</v>
      </c>
      <c r="AM72" s="223">
        <v>0</v>
      </c>
      <c r="AN72" s="223">
        <v>0</v>
      </c>
      <c r="AO72" s="223">
        <v>0</v>
      </c>
      <c r="AP72" s="223">
        <v>0</v>
      </c>
      <c r="AQ72" s="223">
        <f>SUM(AM72:AP72)</f>
        <v>0</v>
      </c>
      <c r="AR72" s="213">
        <v>0</v>
      </c>
      <c r="AS72" s="213">
        <v>0</v>
      </c>
      <c r="AT72" s="213">
        <v>0</v>
      </c>
      <c r="AU72" s="213">
        <v>0</v>
      </c>
      <c r="AV72" s="213">
        <v>0</v>
      </c>
      <c r="AW72" s="223">
        <f t="shared" si="69"/>
        <v>0</v>
      </c>
      <c r="AX72" s="180"/>
      <c r="AY72" s="223">
        <v>0</v>
      </c>
      <c r="AZ72" s="223">
        <v>0</v>
      </c>
      <c r="BA72" s="223">
        <v>0</v>
      </c>
      <c r="BB72" s="223">
        <v>0</v>
      </c>
      <c r="BC72" s="223">
        <v>0</v>
      </c>
      <c r="BD72" s="223">
        <f>SUM(AZ72:BC72)</f>
        <v>0</v>
      </c>
      <c r="BE72" s="223">
        <v>0</v>
      </c>
      <c r="BF72" s="223">
        <v>0</v>
      </c>
      <c r="BG72" s="223">
        <v>0</v>
      </c>
      <c r="BH72" s="223">
        <v>0</v>
      </c>
      <c r="BI72" s="223">
        <f>SUM(BE72:BH72)</f>
        <v>0</v>
      </c>
      <c r="BJ72" s="223">
        <v>0</v>
      </c>
      <c r="BK72" s="223">
        <v>0</v>
      </c>
      <c r="BL72" s="223">
        <v>0</v>
      </c>
      <c r="BM72" s="223">
        <v>0</v>
      </c>
      <c r="BN72" s="223">
        <f>SUM(BJ72:BM72)</f>
        <v>0</v>
      </c>
      <c r="BO72" s="213">
        <v>0</v>
      </c>
      <c r="BP72" s="213">
        <v>0</v>
      </c>
      <c r="BQ72" s="213">
        <v>0</v>
      </c>
      <c r="BR72" s="213">
        <v>0</v>
      </c>
      <c r="BS72" s="213">
        <v>0</v>
      </c>
      <c r="BT72" s="224">
        <f t="shared" si="70"/>
        <v>0</v>
      </c>
    </row>
    <row r="73" spans="2:72" ht="14.25" customHeight="1">
      <c r="B73" s="196">
        <f t="shared" si="0"/>
        <v>59</v>
      </c>
      <c r="C73" s="184"/>
      <c r="D73" s="207" t="s">
        <v>253</v>
      </c>
      <c r="E73" s="223">
        <v>0</v>
      </c>
      <c r="F73" s="223">
        <v>0</v>
      </c>
      <c r="G73" s="223">
        <v>0</v>
      </c>
      <c r="H73" s="223">
        <v>0</v>
      </c>
      <c r="I73" s="223">
        <v>0</v>
      </c>
      <c r="J73" s="223">
        <f>SUM(F73:I73)</f>
        <v>0</v>
      </c>
      <c r="K73" s="223">
        <v>0</v>
      </c>
      <c r="L73" s="223">
        <v>0</v>
      </c>
      <c r="M73" s="223">
        <v>0</v>
      </c>
      <c r="N73" s="223">
        <v>0</v>
      </c>
      <c r="O73" s="223">
        <f>SUM(K73:N73)</f>
        <v>0</v>
      </c>
      <c r="P73" s="223">
        <v>0</v>
      </c>
      <c r="Q73" s="223">
        <v>0</v>
      </c>
      <c r="R73" s="223">
        <v>0</v>
      </c>
      <c r="S73" s="223">
        <v>0</v>
      </c>
      <c r="T73" s="223">
        <f>SUM(P73:S73)</f>
        <v>0</v>
      </c>
      <c r="U73" s="213">
        <v>0</v>
      </c>
      <c r="V73" s="213">
        <v>0</v>
      </c>
      <c r="W73" s="213">
        <v>0</v>
      </c>
      <c r="X73" s="213">
        <v>0</v>
      </c>
      <c r="Y73" s="213">
        <v>0</v>
      </c>
      <c r="Z73" s="223">
        <f t="shared" si="68"/>
        <v>0</v>
      </c>
      <c r="AA73" s="180"/>
      <c r="AB73" s="223">
        <v>0</v>
      </c>
      <c r="AC73" s="223">
        <v>0</v>
      </c>
      <c r="AD73" s="223">
        <v>0</v>
      </c>
      <c r="AE73" s="223">
        <v>0</v>
      </c>
      <c r="AF73" s="223">
        <v>0</v>
      </c>
      <c r="AG73" s="223">
        <f>SUM(AC73:AF73)</f>
        <v>0</v>
      </c>
      <c r="AH73" s="223">
        <v>0</v>
      </c>
      <c r="AI73" s="223">
        <v>0</v>
      </c>
      <c r="AJ73" s="223">
        <v>0</v>
      </c>
      <c r="AK73" s="223">
        <v>0</v>
      </c>
      <c r="AL73" s="223">
        <f>SUM(AH73:AK73)</f>
        <v>0</v>
      </c>
      <c r="AM73" s="223">
        <v>0</v>
      </c>
      <c r="AN73" s="223">
        <v>0</v>
      </c>
      <c r="AO73" s="223">
        <v>0</v>
      </c>
      <c r="AP73" s="223">
        <v>0</v>
      </c>
      <c r="AQ73" s="223">
        <f>SUM(AM73:AP73)</f>
        <v>0</v>
      </c>
      <c r="AR73" s="213">
        <v>0</v>
      </c>
      <c r="AS73" s="213">
        <v>0</v>
      </c>
      <c r="AT73" s="213">
        <v>0</v>
      </c>
      <c r="AU73" s="213">
        <v>0</v>
      </c>
      <c r="AV73" s="213">
        <v>0</v>
      </c>
      <c r="AW73" s="223">
        <f t="shared" si="69"/>
        <v>0</v>
      </c>
      <c r="AX73" s="180"/>
      <c r="AY73" s="223">
        <v>0</v>
      </c>
      <c r="AZ73" s="223">
        <v>0</v>
      </c>
      <c r="BA73" s="223">
        <v>0</v>
      </c>
      <c r="BB73" s="223">
        <v>0</v>
      </c>
      <c r="BC73" s="223">
        <v>0</v>
      </c>
      <c r="BD73" s="223">
        <f>SUM(AZ73:BC73)</f>
        <v>0</v>
      </c>
      <c r="BE73" s="223">
        <v>0</v>
      </c>
      <c r="BF73" s="223">
        <v>0</v>
      </c>
      <c r="BG73" s="223">
        <v>0</v>
      </c>
      <c r="BH73" s="223">
        <v>0</v>
      </c>
      <c r="BI73" s="223">
        <f>SUM(BE73:BH73)</f>
        <v>0</v>
      </c>
      <c r="BJ73" s="223">
        <v>0</v>
      </c>
      <c r="BK73" s="223">
        <v>0</v>
      </c>
      <c r="BL73" s="223">
        <v>0</v>
      </c>
      <c r="BM73" s="223">
        <v>0</v>
      </c>
      <c r="BN73" s="223">
        <f>SUM(BJ73:BM73)</f>
        <v>0</v>
      </c>
      <c r="BO73" s="213">
        <v>0</v>
      </c>
      <c r="BP73" s="213">
        <v>0</v>
      </c>
      <c r="BQ73" s="213">
        <v>0</v>
      </c>
      <c r="BR73" s="213">
        <v>0</v>
      </c>
      <c r="BS73" s="213">
        <v>0</v>
      </c>
      <c r="BT73" s="224">
        <f t="shared" si="70"/>
        <v>0</v>
      </c>
    </row>
    <row r="74" spans="2:72" ht="15">
      <c r="B74" s="196">
        <f t="shared" si="0"/>
        <v>60</v>
      </c>
      <c r="C74" s="184"/>
      <c r="D74" s="207" t="s">
        <v>258</v>
      </c>
      <c r="E74" s="223">
        <v>0</v>
      </c>
      <c r="F74" s="223">
        <v>0</v>
      </c>
      <c r="G74" s="223">
        <v>0</v>
      </c>
      <c r="H74" s="223">
        <v>0</v>
      </c>
      <c r="I74" s="223">
        <v>0</v>
      </c>
      <c r="J74" s="223">
        <f>SUM(F74:I74)</f>
        <v>0</v>
      </c>
      <c r="K74" s="223">
        <v>0</v>
      </c>
      <c r="L74" s="223">
        <v>0</v>
      </c>
      <c r="M74" s="223">
        <v>0</v>
      </c>
      <c r="N74" s="223">
        <v>0</v>
      </c>
      <c r="O74" s="223">
        <f>SUM(K74:N74)</f>
        <v>0</v>
      </c>
      <c r="P74" s="223">
        <v>0</v>
      </c>
      <c r="Q74" s="223">
        <v>0</v>
      </c>
      <c r="R74" s="223">
        <v>0</v>
      </c>
      <c r="S74" s="223">
        <v>0</v>
      </c>
      <c r="T74" s="223">
        <f>SUM(P74:S74)</f>
        <v>0</v>
      </c>
      <c r="U74" s="213">
        <v>0</v>
      </c>
      <c r="V74" s="213">
        <v>0</v>
      </c>
      <c r="W74" s="213">
        <v>0</v>
      </c>
      <c r="X74" s="213">
        <v>0</v>
      </c>
      <c r="Y74" s="213">
        <v>0</v>
      </c>
      <c r="Z74" s="223">
        <f t="shared" si="68"/>
        <v>0</v>
      </c>
      <c r="AA74" s="180"/>
      <c r="AB74" s="223">
        <v>0</v>
      </c>
      <c r="AC74" s="223">
        <v>0</v>
      </c>
      <c r="AD74" s="223">
        <v>0</v>
      </c>
      <c r="AE74" s="223">
        <v>0</v>
      </c>
      <c r="AF74" s="223">
        <v>0</v>
      </c>
      <c r="AG74" s="223">
        <f>SUM(AC74:AF74)</f>
        <v>0</v>
      </c>
      <c r="AH74" s="223">
        <v>0</v>
      </c>
      <c r="AI74" s="223">
        <v>0</v>
      </c>
      <c r="AJ74" s="223">
        <v>0</v>
      </c>
      <c r="AK74" s="223">
        <v>0</v>
      </c>
      <c r="AL74" s="223">
        <f>SUM(AH74:AK74)</f>
        <v>0</v>
      </c>
      <c r="AM74" s="223">
        <v>0</v>
      </c>
      <c r="AN74" s="223">
        <v>0</v>
      </c>
      <c r="AO74" s="223">
        <v>0</v>
      </c>
      <c r="AP74" s="223">
        <v>0</v>
      </c>
      <c r="AQ74" s="223">
        <f>SUM(AM74:AP74)</f>
        <v>0</v>
      </c>
      <c r="AR74" s="213">
        <v>0</v>
      </c>
      <c r="AS74" s="213">
        <v>0</v>
      </c>
      <c r="AT74" s="213">
        <v>0</v>
      </c>
      <c r="AU74" s="213">
        <v>0</v>
      </c>
      <c r="AV74" s="213">
        <v>0</v>
      </c>
      <c r="AW74" s="223">
        <f t="shared" si="69"/>
        <v>0</v>
      </c>
      <c r="AX74" s="180"/>
      <c r="AY74" s="223">
        <v>0</v>
      </c>
      <c r="AZ74" s="223">
        <v>0</v>
      </c>
      <c r="BA74" s="223">
        <v>0</v>
      </c>
      <c r="BB74" s="223">
        <v>0</v>
      </c>
      <c r="BC74" s="223">
        <v>0</v>
      </c>
      <c r="BD74" s="223">
        <f>SUM(AZ74:BC74)</f>
        <v>0</v>
      </c>
      <c r="BE74" s="223">
        <v>0</v>
      </c>
      <c r="BF74" s="223">
        <v>0</v>
      </c>
      <c r="BG74" s="223">
        <v>0</v>
      </c>
      <c r="BH74" s="223">
        <v>0</v>
      </c>
      <c r="BI74" s="223">
        <f>SUM(BE74:BH74)</f>
        <v>0</v>
      </c>
      <c r="BJ74" s="223">
        <v>0</v>
      </c>
      <c r="BK74" s="223">
        <v>0</v>
      </c>
      <c r="BL74" s="223">
        <v>0</v>
      </c>
      <c r="BM74" s="223">
        <v>0</v>
      </c>
      <c r="BN74" s="223">
        <f>SUM(BJ74:BM74)</f>
        <v>0</v>
      </c>
      <c r="BO74" s="213">
        <v>0</v>
      </c>
      <c r="BP74" s="213">
        <v>0</v>
      </c>
      <c r="BQ74" s="213">
        <v>0</v>
      </c>
      <c r="BR74" s="213">
        <v>0</v>
      </c>
      <c r="BS74" s="213">
        <v>0</v>
      </c>
      <c r="BT74" s="224">
        <f t="shared" si="70"/>
        <v>0</v>
      </c>
    </row>
    <row r="75" spans="2:72" ht="15">
      <c r="B75" s="196">
        <f t="shared" ref="B75:B81" si="71">IF(D75&lt;&gt;"",MAX(B72:B74)+1,"")</f>
        <v>61</v>
      </c>
      <c r="C75" s="184"/>
      <c r="D75" s="207" t="s">
        <v>335</v>
      </c>
      <c r="E75" s="233" t="s">
        <v>279</v>
      </c>
      <c r="F75" s="233"/>
      <c r="G75" s="233"/>
      <c r="H75" s="233"/>
      <c r="I75" s="233"/>
      <c r="J75" s="233" t="s">
        <v>279</v>
      </c>
      <c r="K75" s="233"/>
      <c r="L75" s="233"/>
      <c r="M75" s="233"/>
      <c r="N75" s="233"/>
      <c r="O75" s="233" t="s">
        <v>279</v>
      </c>
      <c r="P75" s="233"/>
      <c r="Q75" s="233"/>
      <c r="R75" s="233"/>
      <c r="S75" s="233"/>
      <c r="T75" s="233" t="s">
        <v>279</v>
      </c>
      <c r="U75" s="234"/>
      <c r="V75" s="234"/>
      <c r="W75" s="234"/>
      <c r="X75" s="234"/>
      <c r="Y75" s="234"/>
      <c r="Z75" s="233" t="s">
        <v>279</v>
      </c>
      <c r="AA75" s="180"/>
      <c r="AB75" s="233" t="s">
        <v>279</v>
      </c>
      <c r="AC75" s="233"/>
      <c r="AD75" s="233"/>
      <c r="AE75" s="233"/>
      <c r="AF75" s="233"/>
      <c r="AG75" s="233" t="s">
        <v>279</v>
      </c>
      <c r="AH75" s="233"/>
      <c r="AI75" s="233"/>
      <c r="AJ75" s="233"/>
      <c r="AK75" s="233"/>
      <c r="AL75" s="233" t="s">
        <v>279</v>
      </c>
      <c r="AM75" s="233"/>
      <c r="AN75" s="233"/>
      <c r="AO75" s="233"/>
      <c r="AP75" s="233"/>
      <c r="AQ75" s="233" t="s">
        <v>279</v>
      </c>
      <c r="AR75" s="234"/>
      <c r="AS75" s="234"/>
      <c r="AT75" s="234"/>
      <c r="AU75" s="234"/>
      <c r="AV75" s="234"/>
      <c r="AW75" s="233" t="s">
        <v>279</v>
      </c>
      <c r="AX75" s="180"/>
      <c r="AY75" s="233" t="s">
        <v>279</v>
      </c>
      <c r="AZ75" s="233"/>
      <c r="BA75" s="233"/>
      <c r="BB75" s="233"/>
      <c r="BC75" s="233"/>
      <c r="BD75" s="233" t="s">
        <v>279</v>
      </c>
      <c r="BE75" s="233"/>
      <c r="BF75" s="233"/>
      <c r="BG75" s="233"/>
      <c r="BH75" s="233"/>
      <c r="BI75" s="233" t="s">
        <v>279</v>
      </c>
      <c r="BJ75" s="233"/>
      <c r="BK75" s="233"/>
      <c r="BL75" s="233"/>
      <c r="BM75" s="233"/>
      <c r="BN75" s="233" t="s">
        <v>279</v>
      </c>
      <c r="BO75" s="234"/>
      <c r="BP75" s="234"/>
      <c r="BQ75" s="234"/>
      <c r="BR75" s="234"/>
      <c r="BS75" s="234"/>
      <c r="BT75" s="235" t="s">
        <v>279</v>
      </c>
    </row>
    <row r="76" spans="2:72" ht="15">
      <c r="B76" s="196">
        <f t="shared" si="71"/>
        <v>62</v>
      </c>
      <c r="C76" s="184"/>
      <c r="D76" s="207" t="s">
        <v>336</v>
      </c>
      <c r="E76" s="233" t="s">
        <v>279</v>
      </c>
      <c r="F76" s="233"/>
      <c r="G76" s="233"/>
      <c r="H76" s="233"/>
      <c r="I76" s="233"/>
      <c r="J76" s="233" t="s">
        <v>279</v>
      </c>
      <c r="K76" s="233"/>
      <c r="L76" s="233"/>
      <c r="M76" s="233"/>
      <c r="N76" s="233"/>
      <c r="O76" s="233" t="s">
        <v>279</v>
      </c>
      <c r="P76" s="233"/>
      <c r="Q76" s="233"/>
      <c r="R76" s="233"/>
      <c r="S76" s="233"/>
      <c r="T76" s="233" t="s">
        <v>279</v>
      </c>
      <c r="U76" s="234"/>
      <c r="V76" s="234"/>
      <c r="W76" s="234"/>
      <c r="X76" s="234"/>
      <c r="Y76" s="234"/>
      <c r="Z76" s="233" t="s">
        <v>279</v>
      </c>
      <c r="AA76" s="180"/>
      <c r="AB76" s="233" t="s">
        <v>279</v>
      </c>
      <c r="AC76" s="233"/>
      <c r="AD76" s="233"/>
      <c r="AE76" s="233"/>
      <c r="AF76" s="233"/>
      <c r="AG76" s="233" t="s">
        <v>279</v>
      </c>
      <c r="AH76" s="233"/>
      <c r="AI76" s="233"/>
      <c r="AJ76" s="233"/>
      <c r="AK76" s="233"/>
      <c r="AL76" s="233" t="s">
        <v>279</v>
      </c>
      <c r="AM76" s="233"/>
      <c r="AN76" s="233"/>
      <c r="AO76" s="233"/>
      <c r="AP76" s="233"/>
      <c r="AQ76" s="233" t="s">
        <v>279</v>
      </c>
      <c r="AR76" s="234"/>
      <c r="AS76" s="234"/>
      <c r="AT76" s="234"/>
      <c r="AU76" s="234"/>
      <c r="AV76" s="234"/>
      <c r="AW76" s="233" t="s">
        <v>279</v>
      </c>
      <c r="AX76" s="180"/>
      <c r="AY76" s="233" t="s">
        <v>279</v>
      </c>
      <c r="AZ76" s="233"/>
      <c r="BA76" s="233"/>
      <c r="BB76" s="233"/>
      <c r="BC76" s="233"/>
      <c r="BD76" s="233" t="s">
        <v>279</v>
      </c>
      <c r="BE76" s="233"/>
      <c r="BF76" s="233"/>
      <c r="BG76" s="233"/>
      <c r="BH76" s="233"/>
      <c r="BI76" s="233" t="s">
        <v>279</v>
      </c>
      <c r="BJ76" s="233"/>
      <c r="BK76" s="233"/>
      <c r="BL76" s="233"/>
      <c r="BM76" s="233"/>
      <c r="BN76" s="233" t="s">
        <v>279</v>
      </c>
      <c r="BO76" s="234"/>
      <c r="BP76" s="234"/>
      <c r="BQ76" s="234"/>
      <c r="BR76" s="234"/>
      <c r="BS76" s="234"/>
      <c r="BT76" s="235" t="s">
        <v>279</v>
      </c>
    </row>
    <row r="77" spans="2:72" ht="15">
      <c r="B77" s="196">
        <f t="shared" si="71"/>
        <v>63</v>
      </c>
      <c r="C77" s="184"/>
      <c r="D77" s="207" t="s">
        <v>337</v>
      </c>
      <c r="E77" s="233" t="s">
        <v>279</v>
      </c>
      <c r="F77" s="233"/>
      <c r="G77" s="233"/>
      <c r="H77" s="233"/>
      <c r="I77" s="233"/>
      <c r="J77" s="233" t="s">
        <v>279</v>
      </c>
      <c r="K77" s="233"/>
      <c r="L77" s="233"/>
      <c r="M77" s="233"/>
      <c r="N77" s="233"/>
      <c r="O77" s="233" t="s">
        <v>279</v>
      </c>
      <c r="P77" s="233"/>
      <c r="Q77" s="233"/>
      <c r="R77" s="233"/>
      <c r="S77" s="233"/>
      <c r="T77" s="233" t="s">
        <v>279</v>
      </c>
      <c r="U77" s="234"/>
      <c r="V77" s="234"/>
      <c r="W77" s="234"/>
      <c r="X77" s="234"/>
      <c r="Y77" s="234"/>
      <c r="Z77" s="233" t="s">
        <v>279</v>
      </c>
      <c r="AA77" s="180"/>
      <c r="AB77" s="233" t="s">
        <v>279</v>
      </c>
      <c r="AC77" s="233"/>
      <c r="AD77" s="233"/>
      <c r="AE77" s="233"/>
      <c r="AF77" s="233"/>
      <c r="AG77" s="233" t="s">
        <v>279</v>
      </c>
      <c r="AH77" s="233"/>
      <c r="AI77" s="233"/>
      <c r="AJ77" s="233"/>
      <c r="AK77" s="233"/>
      <c r="AL77" s="233" t="s">
        <v>279</v>
      </c>
      <c r="AM77" s="233"/>
      <c r="AN77" s="233"/>
      <c r="AO77" s="233"/>
      <c r="AP77" s="233"/>
      <c r="AQ77" s="233" t="s">
        <v>279</v>
      </c>
      <c r="AR77" s="234"/>
      <c r="AS77" s="234"/>
      <c r="AT77" s="234"/>
      <c r="AU77" s="234"/>
      <c r="AV77" s="234"/>
      <c r="AW77" s="233" t="s">
        <v>279</v>
      </c>
      <c r="AX77" s="180"/>
      <c r="AY77" s="233" t="s">
        <v>279</v>
      </c>
      <c r="AZ77" s="233"/>
      <c r="BA77" s="233"/>
      <c r="BB77" s="233"/>
      <c r="BC77" s="233"/>
      <c r="BD77" s="233" t="s">
        <v>279</v>
      </c>
      <c r="BE77" s="233"/>
      <c r="BF77" s="233"/>
      <c r="BG77" s="233"/>
      <c r="BH77" s="233"/>
      <c r="BI77" s="233" t="s">
        <v>279</v>
      </c>
      <c r="BJ77" s="233"/>
      <c r="BK77" s="233"/>
      <c r="BL77" s="233"/>
      <c r="BM77" s="233"/>
      <c r="BN77" s="233" t="s">
        <v>279</v>
      </c>
      <c r="BO77" s="234"/>
      <c r="BP77" s="234"/>
      <c r="BQ77" s="234"/>
      <c r="BR77" s="234"/>
      <c r="BS77" s="234"/>
      <c r="BT77" s="235" t="s">
        <v>279</v>
      </c>
    </row>
    <row r="78" spans="2:72" ht="15">
      <c r="B78" s="196">
        <f t="shared" si="71"/>
        <v>64</v>
      </c>
      <c r="C78" s="184"/>
      <c r="D78" s="225" t="s">
        <v>338</v>
      </c>
      <c r="E78" s="226">
        <f>SUM(E71:E74)</f>
        <v>0</v>
      </c>
      <c r="F78" s="226">
        <f t="shared" ref="F78:Z78" si="72">SUM(F71:F74)</f>
        <v>0</v>
      </c>
      <c r="G78" s="226">
        <f t="shared" si="72"/>
        <v>0</v>
      </c>
      <c r="H78" s="226">
        <f t="shared" si="72"/>
        <v>0</v>
      </c>
      <c r="I78" s="226">
        <f t="shared" si="72"/>
        <v>0</v>
      </c>
      <c r="J78" s="226">
        <f t="shared" si="72"/>
        <v>0</v>
      </c>
      <c r="K78" s="226">
        <f t="shared" si="72"/>
        <v>0</v>
      </c>
      <c r="L78" s="226">
        <f t="shared" si="72"/>
        <v>0</v>
      </c>
      <c r="M78" s="226">
        <f t="shared" si="72"/>
        <v>0</v>
      </c>
      <c r="N78" s="226">
        <f t="shared" si="72"/>
        <v>0</v>
      </c>
      <c r="O78" s="226">
        <f t="shared" si="72"/>
        <v>0</v>
      </c>
      <c r="P78" s="226">
        <f t="shared" si="72"/>
        <v>0</v>
      </c>
      <c r="Q78" s="226">
        <f t="shared" si="72"/>
        <v>0</v>
      </c>
      <c r="R78" s="226">
        <f t="shared" si="72"/>
        <v>0</v>
      </c>
      <c r="S78" s="226">
        <f t="shared" si="72"/>
        <v>0</v>
      </c>
      <c r="T78" s="226">
        <f t="shared" si="72"/>
        <v>0</v>
      </c>
      <c r="U78" s="227">
        <f t="shared" si="72"/>
        <v>0</v>
      </c>
      <c r="V78" s="227">
        <f t="shared" si="72"/>
        <v>0</v>
      </c>
      <c r="W78" s="227">
        <f t="shared" si="72"/>
        <v>0</v>
      </c>
      <c r="X78" s="227">
        <f t="shared" si="72"/>
        <v>0</v>
      </c>
      <c r="Y78" s="227">
        <f t="shared" si="72"/>
        <v>737189640.08536303</v>
      </c>
      <c r="Z78" s="226">
        <f t="shared" si="72"/>
        <v>737189640.08536303</v>
      </c>
      <c r="AA78" s="228"/>
      <c r="AB78" s="226">
        <f>SUM(AB71:AB74)</f>
        <v>0</v>
      </c>
      <c r="AC78" s="226">
        <f t="shared" ref="AC78:AW78" si="73">SUM(AC71:AC74)</f>
        <v>0</v>
      </c>
      <c r="AD78" s="226">
        <f t="shared" si="73"/>
        <v>0</v>
      </c>
      <c r="AE78" s="226">
        <f t="shared" si="73"/>
        <v>0</v>
      </c>
      <c r="AF78" s="226">
        <f t="shared" si="73"/>
        <v>0</v>
      </c>
      <c r="AG78" s="226">
        <f t="shared" si="73"/>
        <v>0</v>
      </c>
      <c r="AH78" s="226">
        <f t="shared" si="73"/>
        <v>0</v>
      </c>
      <c r="AI78" s="226">
        <f t="shared" si="73"/>
        <v>0</v>
      </c>
      <c r="AJ78" s="226">
        <f t="shared" si="73"/>
        <v>0</v>
      </c>
      <c r="AK78" s="226">
        <f t="shared" si="73"/>
        <v>0</v>
      </c>
      <c r="AL78" s="226">
        <f t="shared" si="73"/>
        <v>0</v>
      </c>
      <c r="AM78" s="226">
        <f t="shared" si="73"/>
        <v>0</v>
      </c>
      <c r="AN78" s="226">
        <f t="shared" si="73"/>
        <v>0</v>
      </c>
      <c r="AO78" s="226">
        <f t="shared" si="73"/>
        <v>0</v>
      </c>
      <c r="AP78" s="226">
        <f t="shared" si="73"/>
        <v>0</v>
      </c>
      <c r="AQ78" s="226">
        <f t="shared" si="73"/>
        <v>0</v>
      </c>
      <c r="AR78" s="227">
        <f t="shared" si="73"/>
        <v>0</v>
      </c>
      <c r="AS78" s="227">
        <f t="shared" si="73"/>
        <v>0</v>
      </c>
      <c r="AT78" s="227">
        <f t="shared" si="73"/>
        <v>0</v>
      </c>
      <c r="AU78" s="227">
        <f t="shared" si="73"/>
        <v>0</v>
      </c>
      <c r="AV78" s="227">
        <f t="shared" si="73"/>
        <v>0</v>
      </c>
      <c r="AW78" s="226">
        <f t="shared" si="73"/>
        <v>0</v>
      </c>
      <c r="AX78" s="228"/>
      <c r="AY78" s="226">
        <f>SUM(AY71:AY74)</f>
        <v>0</v>
      </c>
      <c r="AZ78" s="226">
        <f t="shared" ref="AZ78:BT78" si="74">SUM(AZ71:AZ74)</f>
        <v>0</v>
      </c>
      <c r="BA78" s="226">
        <f t="shared" si="74"/>
        <v>0</v>
      </c>
      <c r="BB78" s="226">
        <f t="shared" si="74"/>
        <v>0</v>
      </c>
      <c r="BC78" s="226">
        <f t="shared" si="74"/>
        <v>0</v>
      </c>
      <c r="BD78" s="226">
        <f t="shared" si="74"/>
        <v>0</v>
      </c>
      <c r="BE78" s="226">
        <f t="shared" si="74"/>
        <v>0</v>
      </c>
      <c r="BF78" s="226">
        <f t="shared" si="74"/>
        <v>0</v>
      </c>
      <c r="BG78" s="226">
        <f t="shared" si="74"/>
        <v>0</v>
      </c>
      <c r="BH78" s="226">
        <f t="shared" si="74"/>
        <v>0</v>
      </c>
      <c r="BI78" s="226">
        <f t="shared" si="74"/>
        <v>0</v>
      </c>
      <c r="BJ78" s="226">
        <f t="shared" si="74"/>
        <v>0</v>
      </c>
      <c r="BK78" s="226">
        <f t="shared" si="74"/>
        <v>0</v>
      </c>
      <c r="BL78" s="226">
        <f t="shared" si="74"/>
        <v>0</v>
      </c>
      <c r="BM78" s="226">
        <f t="shared" si="74"/>
        <v>0</v>
      </c>
      <c r="BN78" s="226">
        <f t="shared" si="74"/>
        <v>0</v>
      </c>
      <c r="BO78" s="227">
        <f t="shared" si="74"/>
        <v>0</v>
      </c>
      <c r="BP78" s="227">
        <f t="shared" si="74"/>
        <v>0</v>
      </c>
      <c r="BQ78" s="227">
        <f t="shared" si="74"/>
        <v>0</v>
      </c>
      <c r="BR78" s="227">
        <f t="shared" si="74"/>
        <v>0</v>
      </c>
      <c r="BS78" s="227">
        <f t="shared" si="74"/>
        <v>0</v>
      </c>
      <c r="BT78" s="229">
        <f t="shared" si="74"/>
        <v>0</v>
      </c>
    </row>
    <row r="79" spans="2:72" ht="15">
      <c r="B79" s="196">
        <f t="shared" si="71"/>
        <v>65</v>
      </c>
      <c r="C79" s="184"/>
      <c r="D79" s="207" t="s">
        <v>339</v>
      </c>
      <c r="E79" s="231">
        <v>0</v>
      </c>
      <c r="F79" s="231">
        <v>0</v>
      </c>
      <c r="G79" s="231">
        <v>0</v>
      </c>
      <c r="H79" s="231">
        <v>0</v>
      </c>
      <c r="I79" s="231">
        <v>0</v>
      </c>
      <c r="J79" s="223">
        <f>SUM(F79:I79)</f>
        <v>0</v>
      </c>
      <c r="K79" s="231">
        <v>0</v>
      </c>
      <c r="L79" s="231">
        <v>0</v>
      </c>
      <c r="M79" s="231">
        <v>0</v>
      </c>
      <c r="N79" s="231">
        <v>0</v>
      </c>
      <c r="O79" s="223">
        <f>SUM(K79:N79)</f>
        <v>0</v>
      </c>
      <c r="P79" s="231">
        <v>0</v>
      </c>
      <c r="Q79" s="231">
        <v>0</v>
      </c>
      <c r="R79" s="231">
        <v>0</v>
      </c>
      <c r="S79" s="231">
        <v>0</v>
      </c>
      <c r="T79" s="223">
        <f>SUM(P79:S79)</f>
        <v>0</v>
      </c>
      <c r="U79" s="232">
        <v>0</v>
      </c>
      <c r="V79" s="232">
        <v>0</v>
      </c>
      <c r="W79" s="232">
        <v>0</v>
      </c>
      <c r="X79" s="232">
        <v>0</v>
      </c>
      <c r="Y79" s="232">
        <v>0</v>
      </c>
      <c r="Z79" s="223">
        <f>SUM(U79:Y79)</f>
        <v>0</v>
      </c>
      <c r="AA79" s="180"/>
      <c r="AB79" s="231">
        <v>0</v>
      </c>
      <c r="AC79" s="231">
        <v>0</v>
      </c>
      <c r="AD79" s="231">
        <v>0</v>
      </c>
      <c r="AE79" s="231">
        <v>0</v>
      </c>
      <c r="AF79" s="231">
        <v>0</v>
      </c>
      <c r="AG79" s="223">
        <f>SUM(AC79:AF79)</f>
        <v>0</v>
      </c>
      <c r="AH79" s="231">
        <v>0</v>
      </c>
      <c r="AI79" s="231">
        <v>0</v>
      </c>
      <c r="AJ79" s="231">
        <v>0</v>
      </c>
      <c r="AK79" s="231">
        <v>0</v>
      </c>
      <c r="AL79" s="223">
        <f>SUM(AH79:AK79)</f>
        <v>0</v>
      </c>
      <c r="AM79" s="231">
        <v>0</v>
      </c>
      <c r="AN79" s="231">
        <v>0</v>
      </c>
      <c r="AO79" s="231">
        <v>0</v>
      </c>
      <c r="AP79" s="231">
        <v>0</v>
      </c>
      <c r="AQ79" s="223">
        <f>SUM(AM79:AP79)</f>
        <v>0</v>
      </c>
      <c r="AR79" s="232">
        <v>0</v>
      </c>
      <c r="AS79" s="232">
        <v>0</v>
      </c>
      <c r="AT79" s="232">
        <v>0</v>
      </c>
      <c r="AU79" s="232">
        <v>0</v>
      </c>
      <c r="AV79" s="232">
        <v>0</v>
      </c>
      <c r="AW79" s="223">
        <f>SUM(AR79:AV79)</f>
        <v>0</v>
      </c>
      <c r="AX79" s="180"/>
      <c r="AY79" s="231">
        <v>0</v>
      </c>
      <c r="AZ79" s="231">
        <v>0</v>
      </c>
      <c r="BA79" s="231">
        <v>0</v>
      </c>
      <c r="BB79" s="231">
        <v>0</v>
      </c>
      <c r="BC79" s="231">
        <v>0</v>
      </c>
      <c r="BD79" s="223">
        <f>SUM(AZ79:BC79)</f>
        <v>0</v>
      </c>
      <c r="BE79" s="231">
        <v>0</v>
      </c>
      <c r="BF79" s="231">
        <v>0</v>
      </c>
      <c r="BG79" s="231">
        <v>0</v>
      </c>
      <c r="BH79" s="231">
        <v>0</v>
      </c>
      <c r="BI79" s="223">
        <f>SUM(BE79:BH79)</f>
        <v>0</v>
      </c>
      <c r="BJ79" s="231">
        <v>0</v>
      </c>
      <c r="BK79" s="231">
        <v>0</v>
      </c>
      <c r="BL79" s="231">
        <v>0</v>
      </c>
      <c r="BM79" s="231">
        <v>0</v>
      </c>
      <c r="BN79" s="223">
        <f>SUM(BJ79:BM79)</f>
        <v>0</v>
      </c>
      <c r="BO79" s="232">
        <v>0</v>
      </c>
      <c r="BP79" s="232">
        <v>0</v>
      </c>
      <c r="BQ79" s="232">
        <v>0</v>
      </c>
      <c r="BR79" s="232">
        <v>0</v>
      </c>
      <c r="BS79" s="232">
        <v>0</v>
      </c>
      <c r="BT79" s="224">
        <f>SUM(BO79:BS79)</f>
        <v>0</v>
      </c>
    </row>
    <row r="80" spans="2:72" ht="14.25" customHeight="1">
      <c r="B80" s="196">
        <f t="shared" si="71"/>
        <v>66</v>
      </c>
      <c r="C80" s="184"/>
      <c r="D80" s="207" t="s">
        <v>340</v>
      </c>
      <c r="E80" s="236">
        <f>E37+E59+E78</f>
        <v>0</v>
      </c>
      <c r="F80" s="236">
        <f t="shared" ref="F80:Z80" si="75">F37+F59+F78</f>
        <v>0</v>
      </c>
      <c r="G80" s="236">
        <f t="shared" si="75"/>
        <v>0</v>
      </c>
      <c r="H80" s="236">
        <f t="shared" si="75"/>
        <v>0</v>
      </c>
      <c r="I80" s="236">
        <f t="shared" si="75"/>
        <v>0</v>
      </c>
      <c r="J80" s="236">
        <f t="shared" si="75"/>
        <v>0</v>
      </c>
      <c r="K80" s="236">
        <f t="shared" si="75"/>
        <v>0</v>
      </c>
      <c r="L80" s="236">
        <f t="shared" si="75"/>
        <v>0</v>
      </c>
      <c r="M80" s="236">
        <f t="shared" si="75"/>
        <v>0</v>
      </c>
      <c r="N80" s="236">
        <f t="shared" si="75"/>
        <v>0</v>
      </c>
      <c r="O80" s="236">
        <f t="shared" si="75"/>
        <v>0</v>
      </c>
      <c r="P80" s="236">
        <f t="shared" si="75"/>
        <v>0</v>
      </c>
      <c r="Q80" s="236">
        <f t="shared" si="75"/>
        <v>0</v>
      </c>
      <c r="R80" s="236">
        <f t="shared" si="75"/>
        <v>0</v>
      </c>
      <c r="S80" s="236">
        <f t="shared" si="75"/>
        <v>0</v>
      </c>
      <c r="T80" s="236">
        <f t="shared" si="75"/>
        <v>0</v>
      </c>
      <c r="U80" s="237">
        <f t="shared" si="75"/>
        <v>171585446.67307502</v>
      </c>
      <c r="V80" s="237">
        <f t="shared" si="75"/>
        <v>439481079.36629999</v>
      </c>
      <c r="W80" s="237">
        <f t="shared" si="75"/>
        <v>76275990.318700001</v>
      </c>
      <c r="X80" s="237">
        <f t="shared" si="75"/>
        <v>311642661.32420003</v>
      </c>
      <c r="Y80" s="237">
        <f t="shared" si="75"/>
        <v>737189640.08536303</v>
      </c>
      <c r="Z80" s="236">
        <f t="shared" si="75"/>
        <v>1736174817.7676382</v>
      </c>
      <c r="AA80" s="180"/>
      <c r="AB80" s="236">
        <f>AB37+AB59+AB78</f>
        <v>0</v>
      </c>
      <c r="AC80" s="236">
        <f t="shared" ref="AC80:AW80" si="76">AC37+AC59+AC78</f>
        <v>0</v>
      </c>
      <c r="AD80" s="236">
        <f t="shared" si="76"/>
        <v>0</v>
      </c>
      <c r="AE80" s="236">
        <f t="shared" si="76"/>
        <v>0</v>
      </c>
      <c r="AF80" s="236">
        <f t="shared" si="76"/>
        <v>0</v>
      </c>
      <c r="AG80" s="236">
        <f t="shared" si="76"/>
        <v>0</v>
      </c>
      <c r="AH80" s="236">
        <f t="shared" si="76"/>
        <v>0</v>
      </c>
      <c r="AI80" s="236">
        <f t="shared" si="76"/>
        <v>0</v>
      </c>
      <c r="AJ80" s="236">
        <f t="shared" si="76"/>
        <v>0</v>
      </c>
      <c r="AK80" s="236">
        <f t="shared" si="76"/>
        <v>0</v>
      </c>
      <c r="AL80" s="236">
        <f t="shared" si="76"/>
        <v>0</v>
      </c>
      <c r="AM80" s="236">
        <f t="shared" si="76"/>
        <v>0</v>
      </c>
      <c r="AN80" s="236">
        <f t="shared" si="76"/>
        <v>0</v>
      </c>
      <c r="AO80" s="236">
        <f t="shared" si="76"/>
        <v>0</v>
      </c>
      <c r="AP80" s="236">
        <f t="shared" si="76"/>
        <v>0</v>
      </c>
      <c r="AQ80" s="236">
        <f t="shared" si="76"/>
        <v>0</v>
      </c>
      <c r="AR80" s="237">
        <f t="shared" si="76"/>
        <v>0</v>
      </c>
      <c r="AS80" s="237">
        <f t="shared" si="76"/>
        <v>0</v>
      </c>
      <c r="AT80" s="237">
        <f t="shared" si="76"/>
        <v>0</v>
      </c>
      <c r="AU80" s="237">
        <f t="shared" si="76"/>
        <v>0</v>
      </c>
      <c r="AV80" s="237">
        <f t="shared" si="76"/>
        <v>0</v>
      </c>
      <c r="AW80" s="236">
        <f t="shared" si="76"/>
        <v>0</v>
      </c>
      <c r="AX80" s="180"/>
      <c r="AY80" s="236">
        <f>AY37+AY59+AY78</f>
        <v>0</v>
      </c>
      <c r="AZ80" s="236">
        <f t="shared" ref="AZ80:BT80" si="77">AZ37+AZ59+AZ78</f>
        <v>0</v>
      </c>
      <c r="BA80" s="236">
        <f t="shared" si="77"/>
        <v>0</v>
      </c>
      <c r="BB80" s="236">
        <f t="shared" si="77"/>
        <v>0</v>
      </c>
      <c r="BC80" s="236">
        <f t="shared" si="77"/>
        <v>0</v>
      </c>
      <c r="BD80" s="236">
        <f t="shared" si="77"/>
        <v>0</v>
      </c>
      <c r="BE80" s="236">
        <f t="shared" si="77"/>
        <v>0</v>
      </c>
      <c r="BF80" s="236">
        <f t="shared" si="77"/>
        <v>0</v>
      </c>
      <c r="BG80" s="236">
        <f t="shared" si="77"/>
        <v>0</v>
      </c>
      <c r="BH80" s="236">
        <f t="shared" si="77"/>
        <v>0</v>
      </c>
      <c r="BI80" s="236">
        <f t="shared" si="77"/>
        <v>0</v>
      </c>
      <c r="BJ80" s="236">
        <f t="shared" si="77"/>
        <v>0</v>
      </c>
      <c r="BK80" s="236">
        <f t="shared" si="77"/>
        <v>0</v>
      </c>
      <c r="BL80" s="236">
        <f t="shared" si="77"/>
        <v>0</v>
      </c>
      <c r="BM80" s="236">
        <f t="shared" si="77"/>
        <v>0</v>
      </c>
      <c r="BN80" s="236">
        <f t="shared" si="77"/>
        <v>0</v>
      </c>
      <c r="BO80" s="237">
        <f t="shared" si="77"/>
        <v>180710596.28193295</v>
      </c>
      <c r="BP80" s="237">
        <f t="shared" si="77"/>
        <v>490087718.26421541</v>
      </c>
      <c r="BQ80" s="237">
        <f t="shared" si="77"/>
        <v>110669464.84784922</v>
      </c>
      <c r="BR80" s="237">
        <f t="shared" si="77"/>
        <v>373702347.42108887</v>
      </c>
      <c r="BS80" s="237">
        <f t="shared" si="77"/>
        <v>0</v>
      </c>
      <c r="BT80" s="238">
        <f t="shared" si="77"/>
        <v>1155170126.8150864</v>
      </c>
    </row>
    <row r="81" spans="2:72" ht="14.25" customHeight="1">
      <c r="B81" s="196">
        <f t="shared" si="71"/>
        <v>67</v>
      </c>
      <c r="C81" s="184"/>
      <c r="D81" s="225" t="s">
        <v>341</v>
      </c>
      <c r="E81" s="226">
        <f>E29+E37+E59+E61+E68+E78</f>
        <v>0</v>
      </c>
      <c r="F81" s="226">
        <f t="shared" ref="F81:Z81" si="78">F29+F37+F59+F61+F68+F78</f>
        <v>0</v>
      </c>
      <c r="G81" s="226">
        <f t="shared" si="78"/>
        <v>0</v>
      </c>
      <c r="H81" s="226">
        <f t="shared" si="78"/>
        <v>0</v>
      </c>
      <c r="I81" s="226">
        <f t="shared" si="78"/>
        <v>0</v>
      </c>
      <c r="J81" s="226">
        <f t="shared" si="78"/>
        <v>0</v>
      </c>
      <c r="K81" s="226">
        <f t="shared" si="78"/>
        <v>0</v>
      </c>
      <c r="L81" s="226">
        <f t="shared" si="78"/>
        <v>0</v>
      </c>
      <c r="M81" s="226">
        <f t="shared" si="78"/>
        <v>0</v>
      </c>
      <c r="N81" s="226">
        <f t="shared" si="78"/>
        <v>0</v>
      </c>
      <c r="O81" s="226">
        <f t="shared" si="78"/>
        <v>0</v>
      </c>
      <c r="P81" s="226">
        <f t="shared" si="78"/>
        <v>0</v>
      </c>
      <c r="Q81" s="226">
        <f t="shared" si="78"/>
        <v>0</v>
      </c>
      <c r="R81" s="226">
        <f t="shared" si="78"/>
        <v>0</v>
      </c>
      <c r="S81" s="226">
        <f t="shared" si="78"/>
        <v>0</v>
      </c>
      <c r="T81" s="226">
        <f t="shared" si="78"/>
        <v>0</v>
      </c>
      <c r="U81" s="227">
        <f t="shared" si="78"/>
        <v>175017155.60653651</v>
      </c>
      <c r="V81" s="227">
        <f t="shared" si="78"/>
        <v>448270700.95362598</v>
      </c>
      <c r="W81" s="227">
        <f t="shared" si="78"/>
        <v>77801510.125073999</v>
      </c>
      <c r="X81" s="227">
        <f t="shared" si="78"/>
        <v>317875514.55068403</v>
      </c>
      <c r="Y81" s="227">
        <f t="shared" si="78"/>
        <v>751933432.8870703</v>
      </c>
      <c r="Z81" s="226">
        <f t="shared" si="78"/>
        <v>1756154521.3212836</v>
      </c>
      <c r="AA81" s="228"/>
      <c r="AB81" s="226">
        <f>AB29+AB37+AB59+AB61+AB68+AB78</f>
        <v>0</v>
      </c>
      <c r="AC81" s="226">
        <f t="shared" ref="AC81:AW81" si="79">AC29+AC37+AC59+AC61+AC68+AC78</f>
        <v>0</v>
      </c>
      <c r="AD81" s="226">
        <f t="shared" si="79"/>
        <v>0</v>
      </c>
      <c r="AE81" s="226">
        <f t="shared" si="79"/>
        <v>0</v>
      </c>
      <c r="AF81" s="226">
        <f t="shared" si="79"/>
        <v>0</v>
      </c>
      <c r="AG81" s="226">
        <f t="shared" si="79"/>
        <v>0</v>
      </c>
      <c r="AH81" s="226">
        <f t="shared" si="79"/>
        <v>0</v>
      </c>
      <c r="AI81" s="226">
        <f t="shared" si="79"/>
        <v>0</v>
      </c>
      <c r="AJ81" s="226">
        <f t="shared" si="79"/>
        <v>0</v>
      </c>
      <c r="AK81" s="226">
        <f t="shared" si="79"/>
        <v>0</v>
      </c>
      <c r="AL81" s="226">
        <f t="shared" si="79"/>
        <v>0</v>
      </c>
      <c r="AM81" s="226">
        <f t="shared" si="79"/>
        <v>0</v>
      </c>
      <c r="AN81" s="226">
        <f t="shared" si="79"/>
        <v>0</v>
      </c>
      <c r="AO81" s="226">
        <f t="shared" si="79"/>
        <v>0</v>
      </c>
      <c r="AP81" s="226">
        <f t="shared" si="79"/>
        <v>0</v>
      </c>
      <c r="AQ81" s="226">
        <f t="shared" si="79"/>
        <v>0</v>
      </c>
      <c r="AR81" s="227">
        <f t="shared" si="79"/>
        <v>0</v>
      </c>
      <c r="AS81" s="227">
        <f t="shared" si="79"/>
        <v>0</v>
      </c>
      <c r="AT81" s="227">
        <f t="shared" si="79"/>
        <v>0</v>
      </c>
      <c r="AU81" s="227">
        <f t="shared" si="79"/>
        <v>0</v>
      </c>
      <c r="AV81" s="227">
        <f t="shared" si="79"/>
        <v>0</v>
      </c>
      <c r="AW81" s="226">
        <f t="shared" si="79"/>
        <v>0</v>
      </c>
      <c r="AX81" s="228"/>
      <c r="AY81" s="226">
        <f>AY29+AY37+AY59+AY61+AY68+AY78</f>
        <v>0</v>
      </c>
      <c r="AZ81" s="226">
        <f t="shared" ref="AZ81:BT81" si="80">AZ29+AZ37+AZ59+AZ61+AZ68+AZ78</f>
        <v>0</v>
      </c>
      <c r="BA81" s="226">
        <f t="shared" si="80"/>
        <v>0</v>
      </c>
      <c r="BB81" s="226">
        <f t="shared" si="80"/>
        <v>0</v>
      </c>
      <c r="BC81" s="226">
        <f t="shared" si="80"/>
        <v>0</v>
      </c>
      <c r="BD81" s="226">
        <f t="shared" si="80"/>
        <v>0</v>
      </c>
      <c r="BE81" s="226">
        <f t="shared" si="80"/>
        <v>0</v>
      </c>
      <c r="BF81" s="226">
        <f t="shared" si="80"/>
        <v>0</v>
      </c>
      <c r="BG81" s="226">
        <f t="shared" si="80"/>
        <v>0</v>
      </c>
      <c r="BH81" s="226">
        <f t="shared" si="80"/>
        <v>0</v>
      </c>
      <c r="BI81" s="226">
        <f t="shared" si="80"/>
        <v>0</v>
      </c>
      <c r="BJ81" s="226">
        <f t="shared" si="80"/>
        <v>0</v>
      </c>
      <c r="BK81" s="226">
        <f t="shared" si="80"/>
        <v>0</v>
      </c>
      <c r="BL81" s="226">
        <f t="shared" si="80"/>
        <v>0</v>
      </c>
      <c r="BM81" s="226">
        <f t="shared" si="80"/>
        <v>0</v>
      </c>
      <c r="BN81" s="226">
        <f t="shared" si="80"/>
        <v>0</v>
      </c>
      <c r="BO81" s="227">
        <f t="shared" si="80"/>
        <v>180710596.28193295</v>
      </c>
      <c r="BP81" s="227">
        <f t="shared" si="80"/>
        <v>490087718.26421541</v>
      </c>
      <c r="BQ81" s="227">
        <f t="shared" si="80"/>
        <v>110669464.84784922</v>
      </c>
      <c r="BR81" s="227">
        <f t="shared" si="80"/>
        <v>373702347.42108887</v>
      </c>
      <c r="BS81" s="227">
        <f t="shared" si="80"/>
        <v>0</v>
      </c>
      <c r="BT81" s="229">
        <f t="shared" si="80"/>
        <v>1178273529.351388</v>
      </c>
    </row>
    <row r="82" spans="2:72" ht="14.25" customHeight="1">
      <c r="B82" s="196"/>
      <c r="C82" s="184"/>
      <c r="D82" s="198"/>
      <c r="E82" s="239"/>
      <c r="F82" s="239"/>
      <c r="G82" s="239"/>
      <c r="H82" s="239"/>
      <c r="I82" s="239"/>
      <c r="J82" s="239"/>
      <c r="K82" s="239"/>
      <c r="L82" s="239"/>
      <c r="M82" s="239"/>
      <c r="N82" s="239"/>
      <c r="O82" s="239"/>
      <c r="P82" s="239"/>
      <c r="Q82" s="239"/>
      <c r="R82" s="239"/>
      <c r="S82" s="239"/>
      <c r="T82" s="239"/>
      <c r="U82" s="240"/>
      <c r="V82" s="240"/>
      <c r="W82" s="240"/>
      <c r="X82" s="240"/>
      <c r="Y82" s="240"/>
      <c r="Z82" s="239"/>
      <c r="AA82" s="180"/>
      <c r="AB82" s="239"/>
      <c r="AC82" s="239"/>
      <c r="AD82" s="239"/>
      <c r="AE82" s="239"/>
      <c r="AF82" s="239"/>
      <c r="AG82" s="239"/>
      <c r="AH82" s="239"/>
      <c r="AI82" s="239"/>
      <c r="AJ82" s="239"/>
      <c r="AK82" s="239"/>
      <c r="AL82" s="239"/>
      <c r="AM82" s="239"/>
      <c r="AN82" s="239"/>
      <c r="AO82" s="239"/>
      <c r="AP82" s="239"/>
      <c r="AQ82" s="239"/>
      <c r="AR82" s="240"/>
      <c r="AS82" s="240"/>
      <c r="AT82" s="240"/>
      <c r="AU82" s="240"/>
      <c r="AV82" s="240"/>
      <c r="AW82" s="239"/>
      <c r="AX82" s="180"/>
      <c r="AY82" s="239"/>
      <c r="AZ82" s="239"/>
      <c r="BA82" s="239"/>
      <c r="BB82" s="239"/>
      <c r="BC82" s="239"/>
      <c r="BD82" s="239"/>
      <c r="BE82" s="239"/>
      <c r="BF82" s="239"/>
      <c r="BG82" s="239"/>
      <c r="BH82" s="239"/>
      <c r="BI82" s="239"/>
      <c r="BJ82" s="239"/>
      <c r="BK82" s="239"/>
      <c r="BL82" s="239"/>
      <c r="BM82" s="239"/>
      <c r="BN82" s="239"/>
      <c r="BO82" s="240"/>
      <c r="BP82" s="240"/>
      <c r="BQ82" s="240"/>
      <c r="BR82" s="240"/>
      <c r="BS82" s="240"/>
      <c r="BT82" s="241"/>
    </row>
    <row r="83" spans="2:72" ht="14.25" customHeight="1">
      <c r="B83" s="196">
        <f>IF(D83&lt;&gt;"",MAX(B79:B81)+1,"")</f>
        <v>68</v>
      </c>
      <c r="C83" s="184"/>
      <c r="D83" s="204" t="s">
        <v>342</v>
      </c>
      <c r="E83" s="236">
        <f>E21-E81</f>
        <v>0</v>
      </c>
      <c r="F83" s="236">
        <f t="shared" ref="F83:Z83" si="81">F21-F81</f>
        <v>0</v>
      </c>
      <c r="G83" s="236">
        <f t="shared" si="81"/>
        <v>0</v>
      </c>
      <c r="H83" s="236">
        <f t="shared" si="81"/>
        <v>0</v>
      </c>
      <c r="I83" s="236">
        <f t="shared" si="81"/>
        <v>0</v>
      </c>
      <c r="J83" s="236">
        <f t="shared" si="81"/>
        <v>0</v>
      </c>
      <c r="K83" s="236">
        <f t="shared" si="81"/>
        <v>0</v>
      </c>
      <c r="L83" s="236">
        <f t="shared" si="81"/>
        <v>0</v>
      </c>
      <c r="M83" s="236">
        <f t="shared" si="81"/>
        <v>0</v>
      </c>
      <c r="N83" s="236">
        <f t="shared" si="81"/>
        <v>0</v>
      </c>
      <c r="O83" s="236">
        <f t="shared" si="81"/>
        <v>0</v>
      </c>
      <c r="P83" s="236">
        <f t="shared" si="81"/>
        <v>0</v>
      </c>
      <c r="Q83" s="236">
        <f t="shared" si="81"/>
        <v>0</v>
      </c>
      <c r="R83" s="236">
        <f t="shared" si="81"/>
        <v>0</v>
      </c>
      <c r="S83" s="236">
        <f t="shared" si="81"/>
        <v>0</v>
      </c>
      <c r="T83" s="236">
        <f t="shared" si="81"/>
        <v>0</v>
      </c>
      <c r="U83" s="237">
        <f t="shared" si="81"/>
        <v>-175017155.60653651</v>
      </c>
      <c r="V83" s="237">
        <f t="shared" si="81"/>
        <v>-448270700.95362598</v>
      </c>
      <c r="W83" s="237">
        <f t="shared" si="81"/>
        <v>-77801510.125073999</v>
      </c>
      <c r="X83" s="237">
        <f t="shared" si="81"/>
        <v>-317875514.55068403</v>
      </c>
      <c r="Y83" s="237">
        <f t="shared" si="81"/>
        <v>-751933432.8870703</v>
      </c>
      <c r="Z83" s="236">
        <f t="shared" si="81"/>
        <v>-1756154521.3212836</v>
      </c>
      <c r="AA83" s="242"/>
      <c r="AB83" s="236">
        <f>AB21-AB81</f>
        <v>0</v>
      </c>
      <c r="AC83" s="236">
        <f t="shared" ref="AC83:AW83" si="82">AC21-AC81</f>
        <v>0</v>
      </c>
      <c r="AD83" s="236">
        <f t="shared" si="82"/>
        <v>0</v>
      </c>
      <c r="AE83" s="236">
        <f t="shared" si="82"/>
        <v>0</v>
      </c>
      <c r="AF83" s="236">
        <f t="shared" si="82"/>
        <v>0</v>
      </c>
      <c r="AG83" s="236">
        <f t="shared" si="82"/>
        <v>0</v>
      </c>
      <c r="AH83" s="236">
        <f t="shared" si="82"/>
        <v>0</v>
      </c>
      <c r="AI83" s="236">
        <f t="shared" si="82"/>
        <v>0</v>
      </c>
      <c r="AJ83" s="236">
        <f t="shared" si="82"/>
        <v>0</v>
      </c>
      <c r="AK83" s="236">
        <f t="shared" si="82"/>
        <v>0</v>
      </c>
      <c r="AL83" s="236">
        <f t="shared" si="82"/>
        <v>0</v>
      </c>
      <c r="AM83" s="236">
        <f t="shared" si="82"/>
        <v>0</v>
      </c>
      <c r="AN83" s="236">
        <f t="shared" si="82"/>
        <v>0</v>
      </c>
      <c r="AO83" s="236">
        <f t="shared" si="82"/>
        <v>0</v>
      </c>
      <c r="AP83" s="236">
        <f t="shared" si="82"/>
        <v>0</v>
      </c>
      <c r="AQ83" s="236">
        <f t="shared" si="82"/>
        <v>0</v>
      </c>
      <c r="AR83" s="237">
        <f t="shared" si="82"/>
        <v>0</v>
      </c>
      <c r="AS83" s="237">
        <f t="shared" si="82"/>
        <v>0</v>
      </c>
      <c r="AT83" s="237">
        <f t="shared" si="82"/>
        <v>0</v>
      </c>
      <c r="AU83" s="237">
        <f t="shared" si="82"/>
        <v>0</v>
      </c>
      <c r="AV83" s="237">
        <f t="shared" si="82"/>
        <v>0</v>
      </c>
      <c r="AW83" s="236">
        <f t="shared" si="82"/>
        <v>0</v>
      </c>
      <c r="AX83" s="180"/>
      <c r="AY83" s="236">
        <f>AY21-AY81</f>
        <v>0</v>
      </c>
      <c r="AZ83" s="236">
        <f t="shared" ref="AZ83:BT83" si="83">AZ21-AZ81</f>
        <v>0</v>
      </c>
      <c r="BA83" s="236">
        <f t="shared" si="83"/>
        <v>0</v>
      </c>
      <c r="BB83" s="236">
        <f t="shared" si="83"/>
        <v>0</v>
      </c>
      <c r="BC83" s="236">
        <f t="shared" si="83"/>
        <v>0</v>
      </c>
      <c r="BD83" s="236">
        <f t="shared" si="83"/>
        <v>0</v>
      </c>
      <c r="BE83" s="236">
        <f t="shared" si="83"/>
        <v>0</v>
      </c>
      <c r="BF83" s="236">
        <f t="shared" si="83"/>
        <v>0</v>
      </c>
      <c r="BG83" s="236">
        <f t="shared" si="83"/>
        <v>0</v>
      </c>
      <c r="BH83" s="236">
        <f t="shared" si="83"/>
        <v>0</v>
      </c>
      <c r="BI83" s="236">
        <f t="shared" si="83"/>
        <v>0</v>
      </c>
      <c r="BJ83" s="236">
        <f t="shared" si="83"/>
        <v>0</v>
      </c>
      <c r="BK83" s="236">
        <f t="shared" si="83"/>
        <v>0</v>
      </c>
      <c r="BL83" s="236">
        <f t="shared" si="83"/>
        <v>0</v>
      </c>
      <c r="BM83" s="236">
        <f t="shared" si="83"/>
        <v>0</v>
      </c>
      <c r="BN83" s="236">
        <f t="shared" si="83"/>
        <v>0</v>
      </c>
      <c r="BO83" s="237">
        <f t="shared" si="83"/>
        <v>-180710596.28193295</v>
      </c>
      <c r="BP83" s="237">
        <f t="shared" si="83"/>
        <v>-490087718.26421541</v>
      </c>
      <c r="BQ83" s="237">
        <f t="shared" si="83"/>
        <v>-110669464.84784922</v>
      </c>
      <c r="BR83" s="237">
        <f t="shared" si="83"/>
        <v>-373702347.42108887</v>
      </c>
      <c r="BS83" s="237">
        <f t="shared" si="83"/>
        <v>0</v>
      </c>
      <c r="BT83" s="238">
        <f t="shared" si="83"/>
        <v>-1178273529.351388</v>
      </c>
    </row>
    <row r="84" spans="2:72" ht="14.25" customHeight="1">
      <c r="B84" s="196">
        <f>IF(D84&lt;&gt;"",MAX(B81:B83)+1,"")</f>
        <v>69</v>
      </c>
      <c r="C84" s="184"/>
      <c r="D84" s="204" t="s">
        <v>343</v>
      </c>
      <c r="E84" s="243">
        <v>0</v>
      </c>
      <c r="F84" s="243">
        <v>0</v>
      </c>
      <c r="G84" s="243">
        <v>0</v>
      </c>
      <c r="H84" s="243">
        <v>0</v>
      </c>
      <c r="I84" s="243">
        <v>0</v>
      </c>
      <c r="J84" s="223">
        <f>SUM(F84:I84)</f>
        <v>0</v>
      </c>
      <c r="K84" s="243">
        <v>0</v>
      </c>
      <c r="L84" s="243">
        <v>0</v>
      </c>
      <c r="M84" s="243">
        <v>0</v>
      </c>
      <c r="N84" s="243">
        <v>0</v>
      </c>
      <c r="O84" s="223">
        <f>SUM(K84:N84)</f>
        <v>0</v>
      </c>
      <c r="P84" s="243">
        <v>0</v>
      </c>
      <c r="Q84" s="243">
        <v>0</v>
      </c>
      <c r="R84" s="243">
        <v>0</v>
      </c>
      <c r="S84" s="243">
        <v>0</v>
      </c>
      <c r="T84" s="223">
        <f>SUM(P84:S84)</f>
        <v>0</v>
      </c>
      <c r="U84" s="244">
        <v>0</v>
      </c>
      <c r="V84" s="244">
        <v>0</v>
      </c>
      <c r="W84" s="244">
        <v>0</v>
      </c>
      <c r="X84" s="244">
        <v>0</v>
      </c>
      <c r="Y84" s="244">
        <v>0</v>
      </c>
      <c r="Z84" s="223">
        <f>SUM(U84:Y84)</f>
        <v>0</v>
      </c>
      <c r="AA84" s="180"/>
      <c r="AB84" s="243">
        <v>0</v>
      </c>
      <c r="AC84" s="243">
        <v>0</v>
      </c>
      <c r="AD84" s="243">
        <v>0</v>
      </c>
      <c r="AE84" s="243">
        <v>0</v>
      </c>
      <c r="AF84" s="243">
        <v>0</v>
      </c>
      <c r="AG84" s="223">
        <f>SUM(AC84:AF84)</f>
        <v>0</v>
      </c>
      <c r="AH84" s="243">
        <v>0</v>
      </c>
      <c r="AI84" s="243">
        <v>0</v>
      </c>
      <c r="AJ84" s="243">
        <v>0</v>
      </c>
      <c r="AK84" s="243">
        <v>0</v>
      </c>
      <c r="AL84" s="223">
        <f>SUM(AH84:AK84)</f>
        <v>0</v>
      </c>
      <c r="AM84" s="243">
        <v>0</v>
      </c>
      <c r="AN84" s="243">
        <v>0</v>
      </c>
      <c r="AO84" s="243">
        <v>0</v>
      </c>
      <c r="AP84" s="243">
        <v>0</v>
      </c>
      <c r="AQ84" s="223">
        <f>SUM(AM84:AP84)</f>
        <v>0</v>
      </c>
      <c r="AR84" s="244">
        <v>0</v>
      </c>
      <c r="AS84" s="244">
        <v>0</v>
      </c>
      <c r="AT84" s="244">
        <v>0</v>
      </c>
      <c r="AU84" s="244">
        <v>0</v>
      </c>
      <c r="AV84" s="244">
        <v>0</v>
      </c>
      <c r="AW84" s="223">
        <f>SUM(AR84:AV84)</f>
        <v>0</v>
      </c>
      <c r="AX84" s="180"/>
      <c r="AY84" s="243">
        <v>0</v>
      </c>
      <c r="AZ84" s="243">
        <v>0</v>
      </c>
      <c r="BA84" s="243">
        <v>0</v>
      </c>
      <c r="BB84" s="243">
        <v>0</v>
      </c>
      <c r="BC84" s="243">
        <v>0</v>
      </c>
      <c r="BD84" s="223">
        <f>SUM(AZ84:BC84)</f>
        <v>0</v>
      </c>
      <c r="BE84" s="243">
        <v>0</v>
      </c>
      <c r="BF84" s="243">
        <v>0</v>
      </c>
      <c r="BG84" s="243">
        <v>0</v>
      </c>
      <c r="BH84" s="243">
        <v>0</v>
      </c>
      <c r="BI84" s="223">
        <f>SUM(BE84:BH84)</f>
        <v>0</v>
      </c>
      <c r="BJ84" s="243">
        <v>0</v>
      </c>
      <c r="BK84" s="243">
        <v>0</v>
      </c>
      <c r="BL84" s="243">
        <v>0</v>
      </c>
      <c r="BM84" s="243">
        <v>0</v>
      </c>
      <c r="BN84" s="223">
        <f>SUM(BJ84:BM84)</f>
        <v>0</v>
      </c>
      <c r="BO84" s="244">
        <v>0</v>
      </c>
      <c r="BP84" s="244">
        <v>0</v>
      </c>
      <c r="BQ84" s="244">
        <v>0</v>
      </c>
      <c r="BR84" s="244">
        <v>0</v>
      </c>
      <c r="BS84" s="244">
        <v>0</v>
      </c>
      <c r="BT84" s="224">
        <f>SUM(BO84:BS84)</f>
        <v>0</v>
      </c>
    </row>
    <row r="85" spans="2:72" ht="14.25" customHeight="1">
      <c r="B85" s="196">
        <f>IF(D85&lt;&gt;"",MAX(B83:B84)+1,"")</f>
        <v>70</v>
      </c>
      <c r="C85" s="184"/>
      <c r="D85" s="225" t="s">
        <v>344</v>
      </c>
      <c r="E85" s="245">
        <f>E83-E84</f>
        <v>0</v>
      </c>
      <c r="F85" s="245">
        <f t="shared" ref="F85:Z85" si="84">F83-F84</f>
        <v>0</v>
      </c>
      <c r="G85" s="245">
        <f t="shared" si="84"/>
        <v>0</v>
      </c>
      <c r="H85" s="245">
        <f t="shared" si="84"/>
        <v>0</v>
      </c>
      <c r="I85" s="245">
        <f t="shared" si="84"/>
        <v>0</v>
      </c>
      <c r="J85" s="245">
        <f t="shared" si="84"/>
        <v>0</v>
      </c>
      <c r="K85" s="245">
        <f t="shared" si="84"/>
        <v>0</v>
      </c>
      <c r="L85" s="245">
        <f t="shared" si="84"/>
        <v>0</v>
      </c>
      <c r="M85" s="245">
        <f t="shared" si="84"/>
        <v>0</v>
      </c>
      <c r="N85" s="245">
        <f t="shared" si="84"/>
        <v>0</v>
      </c>
      <c r="O85" s="245">
        <f t="shared" si="84"/>
        <v>0</v>
      </c>
      <c r="P85" s="245">
        <f t="shared" si="84"/>
        <v>0</v>
      </c>
      <c r="Q85" s="245">
        <f t="shared" si="84"/>
        <v>0</v>
      </c>
      <c r="R85" s="245">
        <f t="shared" si="84"/>
        <v>0</v>
      </c>
      <c r="S85" s="245">
        <f t="shared" si="84"/>
        <v>0</v>
      </c>
      <c r="T85" s="245">
        <f t="shared" si="84"/>
        <v>0</v>
      </c>
      <c r="U85" s="246">
        <f t="shared" si="84"/>
        <v>-175017155.60653651</v>
      </c>
      <c r="V85" s="246">
        <f t="shared" si="84"/>
        <v>-448270700.95362598</v>
      </c>
      <c r="W85" s="246">
        <f t="shared" si="84"/>
        <v>-77801510.125073999</v>
      </c>
      <c r="X85" s="246">
        <f t="shared" si="84"/>
        <v>-317875514.55068403</v>
      </c>
      <c r="Y85" s="246">
        <f t="shared" si="84"/>
        <v>-751933432.8870703</v>
      </c>
      <c r="Z85" s="245">
        <f t="shared" si="84"/>
        <v>-1756154521.3212836</v>
      </c>
      <c r="AA85" s="228"/>
      <c r="AB85" s="245">
        <f>AB83-AB84</f>
        <v>0</v>
      </c>
      <c r="AC85" s="245">
        <f t="shared" ref="AC85:AW85" si="85">AC83-AC84</f>
        <v>0</v>
      </c>
      <c r="AD85" s="245">
        <f t="shared" si="85"/>
        <v>0</v>
      </c>
      <c r="AE85" s="245">
        <f t="shared" si="85"/>
        <v>0</v>
      </c>
      <c r="AF85" s="245">
        <f t="shared" si="85"/>
        <v>0</v>
      </c>
      <c r="AG85" s="245">
        <f t="shared" si="85"/>
        <v>0</v>
      </c>
      <c r="AH85" s="245">
        <f t="shared" si="85"/>
        <v>0</v>
      </c>
      <c r="AI85" s="245">
        <f t="shared" si="85"/>
        <v>0</v>
      </c>
      <c r="AJ85" s="245">
        <f t="shared" si="85"/>
        <v>0</v>
      </c>
      <c r="AK85" s="245">
        <f t="shared" si="85"/>
        <v>0</v>
      </c>
      <c r="AL85" s="245">
        <f t="shared" si="85"/>
        <v>0</v>
      </c>
      <c r="AM85" s="245">
        <f t="shared" si="85"/>
        <v>0</v>
      </c>
      <c r="AN85" s="245">
        <f t="shared" si="85"/>
        <v>0</v>
      </c>
      <c r="AO85" s="245">
        <f t="shared" si="85"/>
        <v>0</v>
      </c>
      <c r="AP85" s="245">
        <f t="shared" si="85"/>
        <v>0</v>
      </c>
      <c r="AQ85" s="245">
        <f t="shared" si="85"/>
        <v>0</v>
      </c>
      <c r="AR85" s="246">
        <f t="shared" si="85"/>
        <v>0</v>
      </c>
      <c r="AS85" s="246">
        <f t="shared" si="85"/>
        <v>0</v>
      </c>
      <c r="AT85" s="246">
        <f t="shared" si="85"/>
        <v>0</v>
      </c>
      <c r="AU85" s="246">
        <f t="shared" si="85"/>
        <v>0</v>
      </c>
      <c r="AV85" s="246">
        <f t="shared" si="85"/>
        <v>0</v>
      </c>
      <c r="AW85" s="245">
        <f t="shared" si="85"/>
        <v>0</v>
      </c>
      <c r="AX85" s="228"/>
      <c r="AY85" s="245">
        <f>AY83-AY84</f>
        <v>0</v>
      </c>
      <c r="AZ85" s="245">
        <f t="shared" ref="AZ85:BT85" si="86">AZ83-AZ84</f>
        <v>0</v>
      </c>
      <c r="BA85" s="245">
        <f t="shared" si="86"/>
        <v>0</v>
      </c>
      <c r="BB85" s="245">
        <f t="shared" si="86"/>
        <v>0</v>
      </c>
      <c r="BC85" s="245">
        <f t="shared" si="86"/>
        <v>0</v>
      </c>
      <c r="BD85" s="245">
        <f t="shared" si="86"/>
        <v>0</v>
      </c>
      <c r="BE85" s="245">
        <f t="shared" si="86"/>
        <v>0</v>
      </c>
      <c r="BF85" s="245">
        <f t="shared" si="86"/>
        <v>0</v>
      </c>
      <c r="BG85" s="245">
        <f t="shared" si="86"/>
        <v>0</v>
      </c>
      <c r="BH85" s="245">
        <f t="shared" si="86"/>
        <v>0</v>
      </c>
      <c r="BI85" s="245">
        <f t="shared" si="86"/>
        <v>0</v>
      </c>
      <c r="BJ85" s="245">
        <f t="shared" si="86"/>
        <v>0</v>
      </c>
      <c r="BK85" s="245">
        <f t="shared" si="86"/>
        <v>0</v>
      </c>
      <c r="BL85" s="245">
        <f t="shared" si="86"/>
        <v>0</v>
      </c>
      <c r="BM85" s="245">
        <f t="shared" si="86"/>
        <v>0</v>
      </c>
      <c r="BN85" s="245">
        <f t="shared" si="86"/>
        <v>0</v>
      </c>
      <c r="BO85" s="246">
        <f t="shared" si="86"/>
        <v>-180710596.28193295</v>
      </c>
      <c r="BP85" s="246">
        <f t="shared" si="86"/>
        <v>-490087718.26421541</v>
      </c>
      <c r="BQ85" s="246">
        <f t="shared" si="86"/>
        <v>-110669464.84784922</v>
      </c>
      <c r="BR85" s="246">
        <f t="shared" si="86"/>
        <v>-373702347.42108887</v>
      </c>
      <c r="BS85" s="246">
        <f t="shared" si="86"/>
        <v>0</v>
      </c>
      <c r="BT85" s="247">
        <f t="shared" si="86"/>
        <v>-1178273529.351388</v>
      </c>
    </row>
    <row r="86" spans="2:72" ht="14.25" customHeight="1">
      <c r="B86" s="196">
        <v>71</v>
      </c>
      <c r="C86" s="184"/>
      <c r="D86" s="225" t="s">
        <v>345</v>
      </c>
      <c r="E86" s="172"/>
      <c r="F86" s="174"/>
      <c r="G86" s="245"/>
      <c r="H86" s="245"/>
      <c r="I86" s="245"/>
      <c r="J86" s="245"/>
      <c r="K86" s="245"/>
      <c r="L86" s="245"/>
      <c r="M86" s="245"/>
      <c r="N86" s="245"/>
      <c r="O86" s="245"/>
      <c r="P86" s="245"/>
      <c r="Q86" s="245"/>
      <c r="R86" s="245"/>
      <c r="S86" s="245"/>
      <c r="T86" s="245"/>
      <c r="U86" s="246"/>
      <c r="V86" s="246"/>
      <c r="W86" s="246"/>
      <c r="X86" s="246"/>
      <c r="Y86" s="246"/>
      <c r="Z86" s="245"/>
      <c r="AA86" s="228"/>
      <c r="AB86" s="172"/>
      <c r="AC86" s="174"/>
      <c r="AD86" s="245"/>
      <c r="AE86" s="245"/>
      <c r="AF86" s="245"/>
      <c r="AG86" s="245"/>
      <c r="AH86" s="245"/>
      <c r="AI86" s="245"/>
      <c r="AJ86" s="245"/>
      <c r="AK86" s="245"/>
      <c r="AL86" s="245"/>
      <c r="AM86" s="245"/>
      <c r="AN86" s="245"/>
      <c r="AO86" s="245"/>
      <c r="AP86" s="245"/>
      <c r="AQ86" s="245"/>
      <c r="AR86" s="246"/>
      <c r="AS86" s="246"/>
      <c r="AT86" s="246"/>
      <c r="AU86" s="246"/>
      <c r="AV86" s="246"/>
      <c r="AW86" s="245"/>
      <c r="AX86" s="228"/>
      <c r="AY86" s="172"/>
      <c r="AZ86" s="174"/>
      <c r="BA86" s="245"/>
      <c r="BB86" s="245"/>
      <c r="BC86" s="245"/>
      <c r="BD86" s="245"/>
      <c r="BE86" s="245"/>
      <c r="BF86" s="245"/>
      <c r="BG86" s="245"/>
      <c r="BH86" s="245"/>
      <c r="BI86" s="245"/>
      <c r="BJ86" s="245"/>
      <c r="BK86" s="245"/>
      <c r="BL86" s="245"/>
      <c r="BM86" s="245"/>
      <c r="BN86" s="245"/>
      <c r="BO86" s="246"/>
      <c r="BP86" s="246"/>
      <c r="BQ86" s="246"/>
      <c r="BR86" s="246"/>
      <c r="BS86" s="246"/>
      <c r="BT86" s="247"/>
    </row>
    <row r="87" spans="2:72" ht="14.25" customHeight="1">
      <c r="B87" s="196">
        <v>72</v>
      </c>
      <c r="C87" s="184"/>
      <c r="D87" s="225" t="s">
        <v>346</v>
      </c>
      <c r="E87" s="172"/>
      <c r="F87" s="174"/>
      <c r="G87" s="245"/>
      <c r="H87" s="245"/>
      <c r="I87" s="245"/>
      <c r="J87" s="245"/>
      <c r="K87" s="245"/>
      <c r="L87" s="245"/>
      <c r="M87" s="245"/>
      <c r="N87" s="245"/>
      <c r="O87" s="245"/>
      <c r="P87" s="245"/>
      <c r="Q87" s="245"/>
      <c r="R87" s="245"/>
      <c r="S87" s="245"/>
      <c r="T87" s="245"/>
      <c r="U87" s="246"/>
      <c r="V87" s="246"/>
      <c r="W87" s="246"/>
      <c r="X87" s="246"/>
      <c r="Y87" s="246"/>
      <c r="Z87" s="245"/>
      <c r="AA87" s="228"/>
      <c r="AB87" s="172"/>
      <c r="AC87" s="174"/>
      <c r="AD87" s="245"/>
      <c r="AE87" s="245"/>
      <c r="AF87" s="245"/>
      <c r="AG87" s="245"/>
      <c r="AH87" s="245"/>
      <c r="AI87" s="245"/>
      <c r="AJ87" s="245"/>
      <c r="AK87" s="245"/>
      <c r="AL87" s="245"/>
      <c r="AM87" s="245"/>
      <c r="AN87" s="245"/>
      <c r="AO87" s="245"/>
      <c r="AP87" s="245"/>
      <c r="AQ87" s="245"/>
      <c r="AR87" s="246"/>
      <c r="AS87" s="246"/>
      <c r="AT87" s="246"/>
      <c r="AU87" s="246"/>
      <c r="AV87" s="246"/>
      <c r="AW87" s="245"/>
      <c r="AX87" s="228"/>
      <c r="AY87" s="172"/>
      <c r="AZ87" s="174"/>
      <c r="BA87" s="245"/>
      <c r="BB87" s="245"/>
      <c r="BC87" s="245"/>
      <c r="BD87" s="245"/>
      <c r="BE87" s="245"/>
      <c r="BF87" s="245"/>
      <c r="BG87" s="245"/>
      <c r="BH87" s="245"/>
      <c r="BI87" s="245"/>
      <c r="BJ87" s="245"/>
      <c r="BK87" s="245"/>
      <c r="BL87" s="245"/>
      <c r="BM87" s="245"/>
      <c r="BN87" s="245"/>
      <c r="BO87" s="246"/>
      <c r="BP87" s="246"/>
      <c r="BQ87" s="246"/>
      <c r="BR87" s="246"/>
      <c r="BS87" s="246"/>
      <c r="BT87" s="247"/>
    </row>
    <row r="88" spans="2:72" ht="14.25" customHeight="1">
      <c r="B88" s="196">
        <v>73</v>
      </c>
      <c r="C88" s="184"/>
      <c r="D88" s="225" t="s">
        <v>347</v>
      </c>
      <c r="E88" s="172"/>
      <c r="F88" s="174"/>
      <c r="G88" s="245"/>
      <c r="H88" s="245"/>
      <c r="I88" s="245"/>
      <c r="J88" s="245"/>
      <c r="K88" s="245"/>
      <c r="L88" s="245"/>
      <c r="M88" s="245"/>
      <c r="N88" s="245"/>
      <c r="O88" s="245"/>
      <c r="P88" s="245"/>
      <c r="Q88" s="245"/>
      <c r="R88" s="245"/>
      <c r="S88" s="245"/>
      <c r="T88" s="245"/>
      <c r="U88" s="246"/>
      <c r="V88" s="246"/>
      <c r="W88" s="246"/>
      <c r="X88" s="246"/>
      <c r="Y88" s="246"/>
      <c r="Z88" s="245"/>
      <c r="AA88" s="228"/>
      <c r="AB88" s="172"/>
      <c r="AC88" s="174"/>
      <c r="AD88" s="245"/>
      <c r="AE88" s="245"/>
      <c r="AF88" s="245"/>
      <c r="AG88" s="245"/>
      <c r="AH88" s="245"/>
      <c r="AI88" s="245"/>
      <c r="AJ88" s="245"/>
      <c r="AK88" s="245"/>
      <c r="AL88" s="245"/>
      <c r="AM88" s="245"/>
      <c r="AN88" s="245"/>
      <c r="AO88" s="245"/>
      <c r="AP88" s="245"/>
      <c r="AQ88" s="245"/>
      <c r="AR88" s="246"/>
      <c r="AS88" s="246"/>
      <c r="AT88" s="246"/>
      <c r="AU88" s="246"/>
      <c r="AV88" s="246"/>
      <c r="AW88" s="245"/>
      <c r="AX88" s="228"/>
      <c r="AY88" s="172"/>
      <c r="AZ88" s="174"/>
      <c r="BA88" s="245"/>
      <c r="BB88" s="245"/>
      <c r="BC88" s="245"/>
      <c r="BD88" s="245"/>
      <c r="BE88" s="245"/>
      <c r="BF88" s="245"/>
      <c r="BG88" s="245"/>
      <c r="BH88" s="245"/>
      <c r="BI88" s="245"/>
      <c r="BJ88" s="245"/>
      <c r="BK88" s="245"/>
      <c r="BL88" s="245"/>
      <c r="BM88" s="245"/>
      <c r="BN88" s="245"/>
      <c r="BO88" s="246"/>
      <c r="BP88" s="246"/>
      <c r="BQ88" s="246"/>
      <c r="BR88" s="246"/>
      <c r="BS88" s="246"/>
      <c r="BT88" s="247"/>
    </row>
    <row r="89" spans="2:72" ht="14.25" customHeight="1">
      <c r="B89" s="196">
        <v>74</v>
      </c>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row>
    <row r="90" spans="2:72" ht="14.25" customHeight="1">
      <c r="B90" s="196"/>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6"/>
    </row>
    <row r="91" spans="2:72" ht="14.25" customHeight="1">
      <c r="B91" s="196">
        <f>IF(D91&lt;&gt;"",MAX(B84:B90)+1,"")</f>
        <v>75</v>
      </c>
      <c r="C91" s="184"/>
      <c r="D91" s="248" t="s">
        <v>348</v>
      </c>
      <c r="E91" s="249">
        <v>0</v>
      </c>
      <c r="F91" s="249">
        <v>0</v>
      </c>
      <c r="G91" s="249">
        <v>0</v>
      </c>
      <c r="H91" s="249">
        <v>0</v>
      </c>
      <c r="I91" s="249">
        <v>0</v>
      </c>
      <c r="J91" s="212">
        <f>SUM(F91:I91)</f>
        <v>0</v>
      </c>
      <c r="K91" s="249">
        <v>0</v>
      </c>
      <c r="L91" s="249">
        <v>0</v>
      </c>
      <c r="M91" s="249">
        <v>0</v>
      </c>
      <c r="N91" s="249">
        <v>0</v>
      </c>
      <c r="O91" s="212">
        <f>SUM(K91:N91)</f>
        <v>0</v>
      </c>
      <c r="P91" s="249">
        <v>0</v>
      </c>
      <c r="Q91" s="249">
        <v>0</v>
      </c>
      <c r="R91" s="249">
        <v>0</v>
      </c>
      <c r="S91" s="249">
        <v>0</v>
      </c>
      <c r="T91" s="212">
        <f>SUM(P91:S91)</f>
        <v>0</v>
      </c>
      <c r="U91" s="249">
        <v>0</v>
      </c>
      <c r="V91" s="249">
        <v>0</v>
      </c>
      <c r="W91" s="249">
        <v>0</v>
      </c>
      <c r="X91" s="249">
        <v>0</v>
      </c>
      <c r="Y91" s="249">
        <v>0</v>
      </c>
      <c r="Z91" s="212">
        <f>SUM(U91:Y91)</f>
        <v>0</v>
      </c>
      <c r="AA91" s="180"/>
      <c r="AB91" s="249">
        <v>0</v>
      </c>
      <c r="AC91" s="249">
        <v>0</v>
      </c>
      <c r="AD91" s="249">
        <v>0</v>
      </c>
      <c r="AE91" s="249">
        <v>0</v>
      </c>
      <c r="AF91" s="249">
        <v>0</v>
      </c>
      <c r="AG91" s="212">
        <f>SUM(AC91:AF91)</f>
        <v>0</v>
      </c>
      <c r="AH91" s="249">
        <v>0</v>
      </c>
      <c r="AI91" s="249">
        <v>0</v>
      </c>
      <c r="AJ91" s="249">
        <v>0</v>
      </c>
      <c r="AK91" s="249">
        <v>0</v>
      </c>
      <c r="AL91" s="212">
        <f>SUM(AH91:AK91)</f>
        <v>0</v>
      </c>
      <c r="AM91" s="249">
        <v>0</v>
      </c>
      <c r="AN91" s="249">
        <v>0</v>
      </c>
      <c r="AO91" s="249">
        <v>0</v>
      </c>
      <c r="AP91" s="249">
        <v>0</v>
      </c>
      <c r="AQ91" s="212">
        <f>SUM(AM91:AP91)</f>
        <v>0</v>
      </c>
      <c r="AR91" s="249">
        <v>0</v>
      </c>
      <c r="AS91" s="249">
        <v>0</v>
      </c>
      <c r="AT91" s="249">
        <v>0</v>
      </c>
      <c r="AU91" s="249">
        <v>0</v>
      </c>
      <c r="AV91" s="249">
        <v>0</v>
      </c>
      <c r="AW91" s="212">
        <f>SUM(AR91:AV91)</f>
        <v>0</v>
      </c>
      <c r="AX91" s="184"/>
      <c r="AY91" s="249">
        <v>0</v>
      </c>
      <c r="AZ91" s="249">
        <v>0</v>
      </c>
      <c r="BA91" s="249">
        <v>0</v>
      </c>
      <c r="BB91" s="249">
        <v>0</v>
      </c>
      <c r="BC91" s="249">
        <v>0</v>
      </c>
      <c r="BD91" s="212">
        <f>SUM(AZ91:BC91)</f>
        <v>0</v>
      </c>
      <c r="BE91" s="249">
        <v>0</v>
      </c>
      <c r="BF91" s="249">
        <v>0</v>
      </c>
      <c r="BG91" s="249">
        <v>0</v>
      </c>
      <c r="BH91" s="249">
        <v>0</v>
      </c>
      <c r="BI91" s="212">
        <f>SUM(BE91:BH91)</f>
        <v>0</v>
      </c>
      <c r="BJ91" s="249">
        <v>0</v>
      </c>
      <c r="BK91" s="249">
        <v>0</v>
      </c>
      <c r="BL91" s="249">
        <v>0</v>
      </c>
      <c r="BM91" s="249">
        <v>0</v>
      </c>
      <c r="BN91" s="212">
        <f>SUM(BJ91:BM91)</f>
        <v>0</v>
      </c>
      <c r="BO91" s="249">
        <v>0</v>
      </c>
      <c r="BP91" s="249">
        <v>0</v>
      </c>
      <c r="BQ91" s="249">
        <v>0</v>
      </c>
      <c r="BR91" s="249">
        <v>0</v>
      </c>
      <c r="BS91" s="249">
        <v>0</v>
      </c>
      <c r="BT91" s="214">
        <f>SUM(BO91:BS91)</f>
        <v>0</v>
      </c>
    </row>
    <row r="92" spans="2:72" ht="15" thickBot="1">
      <c r="B92" s="250"/>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51"/>
      <c r="AV92" s="251"/>
      <c r="AW92" s="251"/>
      <c r="AX92" s="251"/>
      <c r="AY92" s="251"/>
      <c r="AZ92" s="251"/>
      <c r="BA92" s="251"/>
      <c r="BB92" s="251"/>
      <c r="BC92" s="251"/>
      <c r="BD92" s="251"/>
      <c r="BE92" s="251"/>
      <c r="BF92" s="251"/>
      <c r="BG92" s="251"/>
      <c r="BH92" s="251"/>
      <c r="BI92" s="251"/>
      <c r="BJ92" s="251"/>
      <c r="BK92" s="251"/>
      <c r="BL92" s="251"/>
      <c r="BM92" s="251"/>
      <c r="BN92" s="251"/>
      <c r="BO92" s="251"/>
      <c r="BP92" s="251"/>
      <c r="BQ92" s="251"/>
      <c r="BR92" s="251"/>
      <c r="BS92" s="251"/>
      <c r="BT92" s="252"/>
    </row>
    <row r="93" spans="2:72">
      <c r="B93" s="185"/>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row>
    <row r="94" spans="2:72" ht="1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2:72" ht="1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2:72" ht="14.25" customHeight="1">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2:72" ht="14.25" customHeight="1">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2:72" ht="14.25" customHeight="1">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2:72" ht="14.25" customHeight="1">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2:72" ht="14.25" customHeight="1">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2:72" ht="14.25" customHeight="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2:72" ht="14.25" customHeight="1">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2:72" ht="14.25" customHeight="1">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2:72" ht="14.25" customHeight="1">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2:72" ht="14.25" customHeight="1">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2:72" ht="14.25" customHeight="1">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row>
    <row r="107" spans="2:72" ht="14.25" customHeight="1">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row>
    <row r="108" spans="2:72" ht="14.25" customHeight="1">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row>
    <row r="109" spans="2:72" ht="14.25" customHeight="1">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row>
    <row r="110" spans="2:72" ht="14.25" customHeight="1">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row>
    <row r="111" spans="2:72" ht="14.25" customHeight="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row>
    <row r="112" spans="2:72" ht="14.25" customHeight="1">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row>
    <row r="113" spans="2:72" ht="14.25" customHeight="1">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row>
    <row r="114" spans="2:72" ht="14.25" customHeight="1">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row>
    <row r="115" spans="2:72" ht="14.25" customHeight="1">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row>
    <row r="116" spans="2:72" ht="14.25" customHeight="1">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row>
    <row r="117" spans="2:72" ht="14.25" customHeight="1">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row>
    <row r="118" spans="2:72" ht="14.25" customHeight="1">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row>
    <row r="119" spans="2:72" ht="14.25" customHeight="1">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row>
    <row r="120" spans="2:72" ht="14.25" customHeight="1">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row>
    <row r="121" spans="2:72" ht="14.25" customHeight="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row>
    <row r="122" spans="2:72" ht="14.25" customHeight="1">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row>
    <row r="123" spans="2:72" ht="14.25" customHeight="1">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row>
    <row r="124" spans="2:72" ht="14.25" customHeight="1">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row>
    <row r="125" spans="2:72" ht="14.25" customHeight="1">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row>
    <row r="126" spans="2:72" ht="14.25" customHeight="1">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row>
    <row r="127" spans="2:72" ht="14.25" customHeight="1">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row>
    <row r="128" spans="2:72" ht="14.25" customHeight="1">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2:72" ht="14.25" customHeight="1">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2:72" ht="14.25" customHeight="1">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2:72" ht="14.25" customHeight="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2:72" ht="14.25" customHeight="1">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2:72" ht="14.25" customHeight="1">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2:72" ht="14.25" customHeight="1">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2:72" ht="14.25" customHeight="1">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2:72" ht="14.25" customHeight="1">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2:72" ht="14.25" customHeight="1">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2:72" ht="14.25" customHeight="1">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2:72" ht="14.25" customHeight="1">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2:72" ht="14.25" customHeight="1">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2:72" ht="14.25" customHeight="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2:72" ht="14.25" customHeight="1">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2:72" ht="14.25" customHeight="1">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2:72" ht="14.25" customHeight="1">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2:72" ht="14.25" customHeight="1">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2:72" ht="14.25" customHeight="1">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2:72" ht="14.25" customHeight="1">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2:72" ht="14.25" customHeight="1">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2:72" ht="15">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2:72" ht="15">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2:72" ht="15">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2:72" ht="15">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2:72" ht="15">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2:72" ht="15">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2:72" ht="1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2:72" ht="15">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2:72" ht="15">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2:72" ht="15">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2:72" ht="15">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2:72" ht="15">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2:72" ht="15">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2:72" ht="15">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2:72" ht="15">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2:72" ht="15">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2:72" ht="1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2:72" ht="15">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2:72" ht="15">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2:72" ht="15">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2:72" ht="15">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2:72" ht="15">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2:72" ht="15">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2:72" ht="15">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2:72" ht="15">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2:72" ht="15">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2:72" ht="1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2:72" ht="15">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2:72" ht="15">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2:72" ht="15">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row>
    <row r="179" spans="2:72" ht="15">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row>
    <row r="180" spans="2:72" ht="15">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row>
    <row r="181" spans="2:72" ht="15">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row>
    <row r="182" spans="2:72" ht="15">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row>
  </sheetData>
  <mergeCells count="1">
    <mergeCell ref="B4:BT4"/>
  </mergeCells>
  <phoneticPr fontId="67" type="noConversion"/>
  <pageMargins left="0.7" right="0.7" top="0.75" bottom="0.75" header="0.3" footer="0.3"/>
  <legacy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7D50-D856-4232-8983-416606F69F8D}">
  <sheetPr>
    <tabColor rgb="FF99CCFF"/>
  </sheetPr>
  <dimension ref="B2:J2"/>
  <sheetViews>
    <sheetView workbookViewId="0"/>
    <sheetView workbookViewId="1"/>
    <sheetView workbookViewId="2"/>
  </sheetViews>
  <sheetFormatPr defaultRowHeight="15"/>
  <cols>
    <col min="2" max="2" width="8.5703125" customWidth="1"/>
    <col min="3" max="3" width="14.5703125" customWidth="1"/>
  </cols>
  <sheetData>
    <row r="2" spans="2:10" ht="39.950000000000003" customHeight="1">
      <c r="B2" s="1203" t="s">
        <v>2649</v>
      </c>
      <c r="C2" s="1203"/>
      <c r="D2" s="1203"/>
      <c r="E2" s="1203"/>
      <c r="F2" s="1203"/>
      <c r="G2" s="1203"/>
      <c r="H2" s="1203"/>
      <c r="I2" s="346"/>
      <c r="J2" s="346"/>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Customer Bill Impact Analysis
&amp;RSchedule E-4
Page &amp;P of &amp;N</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5059-A6CB-44E4-9DBD-66D7862A613C}">
  <sheetPr>
    <tabColor theme="8" tint="0.79998168889431442"/>
  </sheetPr>
  <dimension ref="A1"/>
  <sheetViews>
    <sheetView workbookViewId="0"/>
    <sheetView workbookViewId="1"/>
    <sheetView workbookViewId="2"/>
  </sheetViews>
  <sheetFormatPr defaultRowHeight="15"/>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C9C28-F448-476B-AFC6-2D0001BC2A83}">
  <sheetPr>
    <tabColor rgb="FF6699FF"/>
  </sheetPr>
  <dimension ref="A1"/>
  <sheetViews>
    <sheetView workbookViewId="0">
      <selection sqref="A1:XFD1048576"/>
    </sheetView>
    <sheetView workbookViewId="1">
      <selection sqref="A1:XFD1048576"/>
    </sheetView>
    <sheetView workbookViewId="2">
      <selection sqref="A1:XFD1048576"/>
    </sheetView>
  </sheetViews>
  <sheetFormatPr defaultColWidth="8.5703125" defaultRowHeight="15"/>
  <cols>
    <col min="1" max="16384" width="8.5703125" style="1189"/>
  </cols>
  <sheetData/>
  <mergeCells count="1">
    <mergeCell ref="A1:XFD1048576"/>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0051E-7B76-43B4-BFAE-827661945D12}">
  <sheetPr>
    <tabColor rgb="FF99CCFF"/>
  </sheetPr>
  <dimension ref="B1:J1"/>
  <sheetViews>
    <sheetView workbookViewId="0"/>
    <sheetView workbookViewId="1"/>
    <sheetView workbookViewId="2"/>
  </sheetViews>
  <sheetFormatPr defaultRowHeight="15"/>
  <cols>
    <col min="2" max="2" width="8.5703125" customWidth="1"/>
    <col min="3" max="3" width="14.5703125" customWidth="1"/>
  </cols>
  <sheetData>
    <row r="1" spans="2:10" ht="45.95" customHeight="1">
      <c r="B1" s="1203" t="s">
        <v>2650</v>
      </c>
      <c r="C1" s="1203"/>
      <c r="D1" s="1203"/>
      <c r="E1" s="1203"/>
      <c r="F1" s="1203"/>
      <c r="G1" s="1203"/>
      <c r="H1" s="1203"/>
      <c r="I1" s="346"/>
      <c r="J1" s="346"/>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Proposed Tariffs 
&amp;RSchedule F-1
Page &amp;P of &amp;N</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89F6F-E996-436B-BFF5-C11E856600E6}">
  <sheetPr>
    <tabColor rgb="FF99CCFF"/>
  </sheetPr>
  <dimension ref="B2:J2"/>
  <sheetViews>
    <sheetView workbookViewId="0"/>
    <sheetView workbookViewId="1"/>
    <sheetView workbookViewId="2"/>
  </sheetViews>
  <sheetFormatPr defaultRowHeight="15"/>
  <cols>
    <col min="2" max="2" width="8.5703125" customWidth="1"/>
    <col min="3" max="3" width="14.5703125" customWidth="1"/>
  </cols>
  <sheetData>
    <row r="2" spans="2:10" ht="19.5" customHeight="1">
      <c r="B2" s="1203" t="s">
        <v>2651</v>
      </c>
      <c r="C2" s="1203"/>
      <c r="D2" s="1203"/>
      <c r="E2" s="1203"/>
      <c r="F2" s="1203"/>
      <c r="G2" s="1203"/>
      <c r="H2" s="1203"/>
      <c r="I2" s="346"/>
      <c r="J2" s="346"/>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Current Tariffs Redlined
&amp;RSchedule F-2
Page &amp;P of &amp;N</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E90CA-D49A-42F9-B8DE-3F582E5239B1}">
  <sheetPr>
    <tabColor rgb="FF99CCFF"/>
  </sheetPr>
  <dimension ref="B3:J3"/>
  <sheetViews>
    <sheetView workbookViewId="0"/>
    <sheetView workbookViewId="1"/>
    <sheetView workbookViewId="2"/>
  </sheetViews>
  <sheetFormatPr defaultRowHeight="15"/>
  <cols>
    <col min="2" max="2" width="8.5703125" customWidth="1"/>
    <col min="3" max="3" width="14.5703125" customWidth="1"/>
  </cols>
  <sheetData>
    <row r="3" spans="2:10" ht="19.5" customHeight="1">
      <c r="B3" s="1203" t="s">
        <v>2652</v>
      </c>
      <c r="C3" s="1203"/>
      <c r="D3" s="1203"/>
      <c r="E3" s="1203"/>
      <c r="F3" s="1203"/>
      <c r="G3" s="1203"/>
      <c r="H3" s="1203"/>
      <c r="I3" s="346"/>
      <c r="J3" s="346"/>
    </row>
  </sheetData>
  <mergeCells count="1">
    <mergeCell ref="B3:H3"/>
  </mergeCells>
  <pageMargins left="0.7" right="0.7" top="0.75" bottom="0.75" header="0.3" footer="0.3"/>
  <pageSetup orientation="portrait" horizontalDpi="1200" verticalDpi="1200" r:id="rId1"/>
  <headerFooter>
    <oddHeader>&amp;LPuerto Rico Electric Power Authority 
Rate Review (NEPR-AP-2023-0003)
PREPA's Current Riders and Surcharges
&amp;RSchedule F-3
Page &amp;P of &amp;N</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9F47A-8B4A-4751-98D9-AF1382C4F094}">
  <sheetPr>
    <tabColor rgb="FF99CCFF"/>
  </sheetPr>
  <dimension ref="A1:H13"/>
  <sheetViews>
    <sheetView workbookViewId="0"/>
    <sheetView workbookViewId="1"/>
    <sheetView workbookViewId="2"/>
  </sheetViews>
  <sheetFormatPr defaultRowHeight="15" customHeight="1"/>
  <cols>
    <col min="2" max="3" width="46.85546875" customWidth="1"/>
  </cols>
  <sheetData>
    <row r="1" spans="1:8" ht="14.85" customHeight="1">
      <c r="A1" s="29" t="s">
        <v>0</v>
      </c>
      <c r="B1" s="29"/>
      <c r="C1" s="6" t="s">
        <v>2653</v>
      </c>
    </row>
    <row r="2" spans="1:8" ht="14.85" customHeight="1">
      <c r="A2" s="29" t="str">
        <f>_xlfn.CONCAT("Rate Review (", Cover!I12, ")")</f>
        <v>Rate Review (NEPR-AP-2023-0003)</v>
      </c>
      <c r="B2" s="29"/>
      <c r="C2" s="6" t="s">
        <v>2654</v>
      </c>
      <c r="H2" s="86" t="s">
        <v>2655</v>
      </c>
    </row>
    <row r="3" spans="1:8" ht="14.85" customHeight="1">
      <c r="A3" s="29" t="str">
        <f>Index!B47</f>
        <v>PREPA's Current Riders and Surcharges</v>
      </c>
      <c r="B3" s="29"/>
      <c r="C3" s="6" t="s">
        <v>2656</v>
      </c>
    </row>
    <row r="4" spans="1:8" ht="14.85" customHeight="1">
      <c r="C4" s="78"/>
    </row>
    <row r="5" spans="1:8" ht="14.85" customHeight="1">
      <c r="C5" s="1"/>
    </row>
    <row r="6" spans="1:8" ht="14.85" customHeight="1"/>
    <row r="7" spans="1:8">
      <c r="B7" s="56" t="s">
        <v>2657</v>
      </c>
      <c r="C7" s="56" t="s">
        <v>2658</v>
      </c>
    </row>
    <row r="8" spans="1:8" ht="70.5" customHeight="1">
      <c r="B8" s="83" t="s">
        <v>2659</v>
      </c>
      <c r="C8" s="84"/>
    </row>
    <row r="9" spans="1:8" ht="70.5" customHeight="1">
      <c r="B9" s="83" t="s">
        <v>2660</v>
      </c>
      <c r="C9" s="84"/>
    </row>
    <row r="10" spans="1:8" ht="70.5" customHeight="1">
      <c r="B10" s="83" t="s">
        <v>2661</v>
      </c>
      <c r="C10" s="84"/>
    </row>
    <row r="11" spans="1:8" ht="70.5" customHeight="1">
      <c r="B11" s="83" t="s">
        <v>2662</v>
      </c>
      <c r="C11" s="84"/>
    </row>
    <row r="12" spans="1:8" ht="70.5" customHeight="1">
      <c r="B12" s="83" t="s">
        <v>2663</v>
      </c>
      <c r="C12" s="84"/>
    </row>
    <row r="13" spans="1:8" ht="70.5" customHeight="1">
      <c r="B13" s="83" t="s">
        <v>2664</v>
      </c>
      <c r="C13" s="84"/>
    </row>
  </sheetData>
  <hyperlinks>
    <hyperlink ref="H2" location="Index!A1" display="Return to Index" xr:uid="{BDD8C062-DC6E-42C1-9EAA-B5BD1D9CF844}"/>
  </hyperlinks>
  <pageMargins left="0.7" right="0.7" top="0.75" bottom="0.75" header="0.3" footer="0.3"/>
  <pageSetup orientation="portrait" horizontalDpi="1200" verticalDpi="12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FDC75-8D60-403D-8C24-56F1681C31C7}">
  <sheetPr>
    <tabColor rgb="FF99CCFF"/>
  </sheetPr>
  <dimension ref="B2:J2"/>
  <sheetViews>
    <sheetView workbookViewId="0"/>
    <sheetView workbookViewId="1"/>
    <sheetView workbookViewId="2"/>
  </sheetViews>
  <sheetFormatPr defaultRowHeight="15"/>
  <cols>
    <col min="2" max="2" width="8.5703125" customWidth="1"/>
    <col min="3" max="3" width="14.5703125" customWidth="1"/>
  </cols>
  <sheetData>
    <row r="2" spans="2:10" ht="19.5" customHeight="1">
      <c r="B2" s="1203" t="s">
        <v>2665</v>
      </c>
      <c r="C2" s="1203"/>
      <c r="D2" s="1203"/>
      <c r="E2" s="1203"/>
      <c r="F2" s="1203"/>
      <c r="G2" s="1203"/>
      <c r="H2" s="1203"/>
      <c r="I2" s="346"/>
      <c r="J2" s="346"/>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Proposed Current Riders and Surcharges
&amp;RSchedule F-4
Page &amp;P of &amp;N</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7A8D1-22A5-469C-A7CE-4660E117103D}">
  <sheetPr>
    <tabColor rgb="FF99CCFF"/>
  </sheetPr>
  <dimension ref="B1:J1"/>
  <sheetViews>
    <sheetView workbookViewId="0"/>
    <sheetView workbookViewId="1"/>
    <sheetView workbookViewId="2"/>
  </sheetViews>
  <sheetFormatPr defaultRowHeight="15"/>
  <cols>
    <col min="2" max="2" width="8.5703125" customWidth="1"/>
    <col min="3" max="3" width="14.5703125" customWidth="1"/>
  </cols>
  <sheetData>
    <row r="1" spans="2:10" ht="81" customHeight="1">
      <c r="B1" s="1203" t="s">
        <v>2666</v>
      </c>
      <c r="C1" s="1203"/>
      <c r="D1" s="1203"/>
      <c r="E1" s="1203"/>
      <c r="F1" s="1203"/>
      <c r="G1" s="1203"/>
      <c r="H1" s="1203"/>
      <c r="I1" s="346"/>
      <c r="J1" s="346"/>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Subsidies Reflected in Proposed Rates
&amp;RSchedule F-5
Page &amp;P of &amp;N</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FBAE2-C79B-4BCD-86D8-A536A7F3903C}">
  <sheetPr>
    <tabColor rgb="FF99CCFF"/>
  </sheetPr>
  <dimension ref="A1:AB293"/>
  <sheetViews>
    <sheetView workbookViewId="0">
      <selection sqref="A1:K5"/>
    </sheetView>
    <sheetView workbookViewId="1">
      <selection sqref="A1:K5"/>
    </sheetView>
    <sheetView workbookViewId="2">
      <selection sqref="A1:K5"/>
    </sheetView>
  </sheetViews>
  <sheetFormatPr defaultColWidth="9.140625" defaultRowHeight="14.25"/>
  <cols>
    <col min="1" max="1" width="23.85546875" style="1" customWidth="1"/>
    <col min="2" max="2" width="11.140625" style="1" bestFit="1" customWidth="1"/>
    <col min="3" max="3" width="9.42578125" style="1" bestFit="1" customWidth="1"/>
    <col min="4" max="4" width="18" style="1" bestFit="1" customWidth="1"/>
    <col min="5" max="5" width="17.5703125" style="1" customWidth="1"/>
    <col min="6" max="6" width="20.42578125" style="1" customWidth="1"/>
    <col min="7" max="7" width="15" style="1" bestFit="1" customWidth="1"/>
    <col min="8" max="8" width="16.140625" style="1" bestFit="1" customWidth="1"/>
    <col min="9" max="9" width="8.85546875" style="1" customWidth="1"/>
    <col min="10" max="10" width="11" style="1" bestFit="1" customWidth="1"/>
    <col min="11" max="11" width="10.42578125" style="1" customWidth="1"/>
    <col min="12" max="12" width="14.42578125" style="1" customWidth="1"/>
    <col min="13" max="14" width="16.140625" style="1" bestFit="1" customWidth="1"/>
    <col min="15" max="15" width="17.85546875" style="1" bestFit="1" customWidth="1"/>
    <col min="16" max="16" width="16.140625" style="1" bestFit="1" customWidth="1"/>
    <col min="17" max="17" width="11" style="1" customWidth="1"/>
    <col min="18" max="18" width="14" style="1" customWidth="1"/>
    <col min="19" max="19" width="9.85546875" style="1" customWidth="1"/>
    <col min="20" max="20" width="11" style="1" customWidth="1"/>
    <col min="21" max="21" width="10.140625" style="1" customWidth="1"/>
    <col min="22" max="22" width="11" style="1" customWidth="1"/>
    <col min="23" max="23" width="20.140625" style="1" bestFit="1" customWidth="1"/>
    <col min="24" max="24" width="15.42578125" style="1" bestFit="1" customWidth="1"/>
    <col min="25" max="25" width="14.85546875" style="1" bestFit="1" customWidth="1"/>
    <col min="26" max="16384" width="9.140625" style="1"/>
  </cols>
  <sheetData>
    <row r="1" spans="1:22" ht="168.75" customHeight="1">
      <c r="A1" s="1266" t="s">
        <v>2667</v>
      </c>
      <c r="B1" s="1266"/>
      <c r="C1" s="1266"/>
      <c r="D1" s="1266"/>
      <c r="E1" s="1266"/>
      <c r="F1" s="1266"/>
      <c r="G1" s="1266"/>
      <c r="H1" s="1266"/>
      <c r="I1" s="1266"/>
      <c r="J1" s="1266"/>
      <c r="K1" s="1266"/>
      <c r="L1" s="556"/>
      <c r="M1" s="556"/>
      <c r="N1" s="556"/>
      <c r="O1" s="556"/>
      <c r="P1" s="556"/>
      <c r="Q1" s="556"/>
      <c r="R1" s="556"/>
      <c r="S1" s="556"/>
      <c r="T1" s="556"/>
      <c r="U1" s="556"/>
      <c r="V1" s="556"/>
    </row>
    <row r="2" spans="1:22" ht="18.75">
      <c r="A2" s="1266"/>
      <c r="B2" s="1266"/>
      <c r="C2" s="1266"/>
      <c r="D2" s="1266"/>
      <c r="E2" s="1266"/>
      <c r="F2" s="1266"/>
      <c r="G2" s="1266"/>
      <c r="H2" s="1266"/>
      <c r="I2" s="1266"/>
      <c r="J2" s="1266"/>
      <c r="K2" s="1266"/>
      <c r="L2" s="556"/>
      <c r="M2" s="556"/>
      <c r="N2" s="556"/>
      <c r="O2" s="556"/>
      <c r="P2" s="556"/>
      <c r="Q2" s="556"/>
      <c r="R2" s="556"/>
      <c r="S2" s="556"/>
      <c r="T2" s="556"/>
      <c r="U2" s="556"/>
      <c r="V2" s="556"/>
    </row>
    <row r="3" spans="1:22" ht="18.75">
      <c r="A3" s="1266"/>
      <c r="B3" s="1266"/>
      <c r="C3" s="1266"/>
      <c r="D3" s="1266"/>
      <c r="E3" s="1266"/>
      <c r="F3" s="1266"/>
      <c r="G3" s="1266"/>
      <c r="H3" s="1266"/>
      <c r="I3" s="1266"/>
      <c r="J3" s="1266"/>
      <c r="K3" s="1266"/>
      <c r="L3" s="556"/>
      <c r="M3" s="556"/>
      <c r="N3" s="556"/>
      <c r="O3" s="556"/>
      <c r="P3" s="556"/>
      <c r="Q3" s="556"/>
      <c r="R3" s="556"/>
      <c r="S3" s="556"/>
      <c r="T3" s="556"/>
      <c r="U3" s="556"/>
      <c r="V3" s="556"/>
    </row>
    <row r="4" spans="1:22" ht="18.75">
      <c r="A4" s="1266"/>
      <c r="B4" s="1266"/>
      <c r="C4" s="1266"/>
      <c r="D4" s="1266"/>
      <c r="E4" s="1266"/>
      <c r="F4" s="1266"/>
      <c r="G4" s="1266"/>
      <c r="H4" s="1266"/>
      <c r="I4" s="1266"/>
      <c r="J4" s="1266"/>
      <c r="K4" s="1266"/>
      <c r="L4" s="556"/>
      <c r="M4" s="556"/>
      <c r="N4" s="556"/>
      <c r="O4" s="556"/>
      <c r="P4" s="556"/>
      <c r="Q4" s="556"/>
      <c r="R4" s="556"/>
      <c r="S4" s="556"/>
      <c r="T4" s="556"/>
      <c r="U4" s="556"/>
      <c r="V4" s="556"/>
    </row>
    <row r="5" spans="1:22" ht="19.5" thickBot="1">
      <c r="A5" s="1266"/>
      <c r="B5" s="1266"/>
      <c r="C5" s="1266"/>
      <c r="D5" s="1266"/>
      <c r="E5" s="1266"/>
      <c r="F5" s="1266"/>
      <c r="G5" s="1266"/>
      <c r="H5" s="1266"/>
      <c r="I5" s="1266"/>
      <c r="J5" s="1266"/>
      <c r="K5" s="1266"/>
      <c r="L5" s="556"/>
      <c r="M5" s="556"/>
      <c r="N5" s="556"/>
      <c r="O5" s="556"/>
      <c r="P5" s="556"/>
      <c r="Q5" s="556"/>
      <c r="R5" s="556"/>
      <c r="S5" s="556"/>
      <c r="T5" s="556"/>
      <c r="U5" s="556"/>
      <c r="V5" s="556"/>
    </row>
    <row r="6" spans="1:22" ht="18.75" thickBot="1">
      <c r="A6" s="426" t="s">
        <v>2668</v>
      </c>
      <c r="B6" s="1277" t="s">
        <v>2669</v>
      </c>
      <c r="C6" s="1278"/>
      <c r="D6" s="1278"/>
      <c r="E6" s="1278"/>
      <c r="F6" s="1278"/>
      <c r="G6" s="1278"/>
      <c r="H6" s="1278"/>
      <c r="I6" s="1278"/>
      <c r="J6" s="1278"/>
      <c r="K6" s="1279"/>
      <c r="M6" s="15"/>
      <c r="N6" s="15"/>
      <c r="O6" s="15"/>
      <c r="P6" s="15"/>
    </row>
    <row r="7" spans="1:22" ht="16.5" customHeight="1" thickBot="1">
      <c r="A7" s="427" t="s">
        <v>2670</v>
      </c>
      <c r="B7" s="1289" t="s">
        <v>2671</v>
      </c>
      <c r="C7" s="1290"/>
      <c r="D7" s="1290"/>
      <c r="E7" s="1290"/>
      <c r="F7" s="1290"/>
      <c r="G7" s="1290"/>
      <c r="H7" s="1290"/>
      <c r="I7" s="1290"/>
      <c r="J7" s="1290"/>
      <c r="K7" s="1291"/>
      <c r="L7" s="428"/>
      <c r="M7" s="429"/>
      <c r="N7" s="430"/>
      <c r="O7" s="430"/>
      <c r="P7" s="430"/>
      <c r="Q7" s="430"/>
      <c r="R7" s="430"/>
      <c r="S7" s="430"/>
      <c r="T7" s="430"/>
      <c r="U7" s="430"/>
      <c r="V7" s="430"/>
    </row>
    <row r="8" spans="1:22" ht="30.75" thickBot="1">
      <c r="A8" s="431"/>
      <c r="B8" s="432" t="s">
        <v>2672</v>
      </c>
      <c r="C8" s="433" t="s">
        <v>2673</v>
      </c>
      <c r="D8" s="433" t="s">
        <v>2674</v>
      </c>
      <c r="E8" s="434" t="s">
        <v>2675</v>
      </c>
      <c r="F8" s="434" t="s">
        <v>2676</v>
      </c>
      <c r="G8" s="434" t="s">
        <v>2677</v>
      </c>
      <c r="H8" s="435" t="s">
        <v>2678</v>
      </c>
      <c r="J8" s="436" t="s">
        <v>2679</v>
      </c>
      <c r="K8" s="436" t="s">
        <v>2680</v>
      </c>
      <c r="M8" s="429"/>
      <c r="N8" s="52"/>
      <c r="O8" s="52"/>
      <c r="P8" s="52"/>
      <c r="Q8" s="52"/>
      <c r="R8" s="52"/>
      <c r="S8" s="52"/>
      <c r="T8" s="52"/>
      <c r="U8" s="52"/>
      <c r="V8" s="52"/>
    </row>
    <row r="9" spans="1:22" ht="15.75">
      <c r="A9" s="437">
        <v>45839</v>
      </c>
      <c r="B9" s="438">
        <v>272.35396825396828</v>
      </c>
      <c r="C9" s="439">
        <v>1715.83</v>
      </c>
      <c r="D9" s="440">
        <v>22951260</v>
      </c>
      <c r="E9" s="440">
        <v>108941.58730158732</v>
      </c>
      <c r="F9" s="440">
        <v>23060201.587301586</v>
      </c>
      <c r="G9" s="441">
        <v>84.669967304453223</v>
      </c>
      <c r="H9" s="442">
        <v>13.439677349913211</v>
      </c>
      <c r="J9" s="443">
        <v>159.41</v>
      </c>
      <c r="K9" s="444">
        <v>144.65969253686458</v>
      </c>
      <c r="M9" s="445"/>
      <c r="N9" s="445"/>
      <c r="O9" s="446"/>
      <c r="P9" s="429"/>
      <c r="Q9" s="429"/>
      <c r="R9" s="429"/>
      <c r="S9" s="429"/>
      <c r="T9" s="429"/>
      <c r="U9" s="429"/>
      <c r="V9" s="429"/>
    </row>
    <row r="10" spans="1:22" ht="15.75" customHeight="1">
      <c r="A10" s="447">
        <v>45870</v>
      </c>
      <c r="B10" s="438">
        <v>270.8984126984127</v>
      </c>
      <c r="C10" s="439">
        <v>1706.66</v>
      </c>
      <c r="D10" s="440">
        <v>22676610</v>
      </c>
      <c r="E10" s="440">
        <v>108359.36507936509</v>
      </c>
      <c r="F10" s="440">
        <v>22784969.365079366</v>
      </c>
      <c r="G10" s="441">
        <v>84.108906870729967</v>
      </c>
      <c r="H10" s="442">
        <v>13.350620138211106</v>
      </c>
      <c r="J10" s="443">
        <v>155.77000000000001</v>
      </c>
      <c r="K10" s="444">
        <v>146.27315506887953</v>
      </c>
      <c r="M10" s="445"/>
      <c r="N10" s="445"/>
      <c r="O10" s="446"/>
      <c r="P10" s="52"/>
      <c r="Q10" s="52"/>
      <c r="R10" s="52"/>
      <c r="S10" s="52"/>
      <c r="T10" s="52"/>
      <c r="U10" s="52"/>
      <c r="V10" s="429"/>
    </row>
    <row r="11" spans="1:22" ht="16.5" customHeight="1" thickBot="1">
      <c r="A11" s="448">
        <v>45901</v>
      </c>
      <c r="B11" s="438">
        <v>249.83809523809524</v>
      </c>
      <c r="C11" s="439">
        <v>1573.98</v>
      </c>
      <c r="D11" s="440">
        <v>20781670</v>
      </c>
      <c r="E11" s="440">
        <v>99935.238095238106</v>
      </c>
      <c r="F11" s="440">
        <v>20881605.238095235</v>
      </c>
      <c r="G11" s="441">
        <v>83.580549308123352</v>
      </c>
      <c r="H11" s="442">
        <v>13.266753858432276</v>
      </c>
      <c r="J11" s="443">
        <v>144.71</v>
      </c>
      <c r="K11" s="444">
        <v>144.29966994744822</v>
      </c>
      <c r="M11" s="445"/>
      <c r="N11" s="445"/>
      <c r="O11" s="446"/>
      <c r="P11" s="52"/>
      <c r="Q11" s="52"/>
      <c r="R11" s="52"/>
      <c r="S11" s="52"/>
      <c r="T11" s="52"/>
      <c r="U11" s="52"/>
    </row>
    <row r="12" spans="1:22" ht="16.5" customHeight="1" thickBot="1">
      <c r="A12" s="448">
        <v>45931</v>
      </c>
      <c r="B12" s="438">
        <v>295.85079365079366</v>
      </c>
      <c r="C12" s="439">
        <v>1863.86</v>
      </c>
      <c r="D12" s="440">
        <v>24469100</v>
      </c>
      <c r="E12" s="440">
        <v>118340.31746031747</v>
      </c>
      <c r="F12" s="440">
        <v>24587440.317460317</v>
      </c>
      <c r="G12" s="441">
        <v>83.107569238032895</v>
      </c>
      <c r="H12" s="442">
        <v>13.19167765683062</v>
      </c>
      <c r="J12" s="443">
        <v>174.11</v>
      </c>
      <c r="K12" s="444">
        <v>141.21785260731903</v>
      </c>
      <c r="M12" s="445"/>
      <c r="N12" s="445"/>
      <c r="O12" s="446"/>
      <c r="P12" s="52"/>
      <c r="Q12" s="52"/>
      <c r="R12" s="52"/>
      <c r="S12" s="52"/>
      <c r="T12" s="52"/>
      <c r="U12" s="52"/>
    </row>
    <row r="13" spans="1:22" ht="16.5" customHeight="1" thickBot="1">
      <c r="A13" s="448">
        <v>45962</v>
      </c>
      <c r="B13" s="438">
        <v>272.95079365079363</v>
      </c>
      <c r="C13" s="439">
        <v>1719.59</v>
      </c>
      <c r="D13" s="440">
        <v>22456110</v>
      </c>
      <c r="E13" s="440">
        <v>109180.31746031746</v>
      </c>
      <c r="F13" s="440">
        <v>22565290.317460321</v>
      </c>
      <c r="G13" s="441">
        <v>82.671642077471972</v>
      </c>
      <c r="H13" s="442">
        <v>13.122482869439995</v>
      </c>
      <c r="J13" s="443">
        <v>159.15</v>
      </c>
      <c r="K13" s="444">
        <v>141.78630422532402</v>
      </c>
      <c r="M13" s="445"/>
      <c r="N13" s="445"/>
      <c r="O13" s="446"/>
      <c r="P13" s="52"/>
      <c r="Q13" s="52"/>
      <c r="R13" s="52"/>
      <c r="S13" s="52"/>
      <c r="T13" s="52"/>
      <c r="U13" s="52"/>
    </row>
    <row r="14" spans="1:22" ht="16.5" customHeight="1" thickBot="1">
      <c r="A14" s="448">
        <v>45992</v>
      </c>
      <c r="B14" s="438">
        <v>278.92063492063494</v>
      </c>
      <c r="C14" s="439">
        <v>1757.2</v>
      </c>
      <c r="D14" s="440">
        <v>22827940</v>
      </c>
      <c r="E14" s="440">
        <v>111568.25396825398</v>
      </c>
      <c r="F14" s="440">
        <v>22939508.25396825</v>
      </c>
      <c r="G14" s="441">
        <v>82.243854996585469</v>
      </c>
      <c r="H14" s="442">
        <v>13.05458015818817</v>
      </c>
      <c r="J14" s="443">
        <v>162.08000000000001</v>
      </c>
      <c r="K14" s="444">
        <v>141.53201045143294</v>
      </c>
      <c r="M14" s="445"/>
      <c r="N14" s="445"/>
      <c r="O14" s="446"/>
      <c r="P14" s="52"/>
      <c r="Q14" s="52"/>
      <c r="R14" s="52"/>
      <c r="S14" s="52"/>
      <c r="T14" s="52"/>
      <c r="U14" s="52"/>
    </row>
    <row r="15" spans="1:22" ht="16.5" customHeight="1" thickBot="1">
      <c r="A15" s="448">
        <v>46023</v>
      </c>
      <c r="B15" s="438">
        <v>273.52698412698413</v>
      </c>
      <c r="C15" s="439">
        <v>1723.22</v>
      </c>
      <c r="D15" s="440">
        <v>22317470</v>
      </c>
      <c r="E15" s="440">
        <v>109410.79365079367</v>
      </c>
      <c r="F15" s="440">
        <v>22426880.793650795</v>
      </c>
      <c r="G15" s="441">
        <v>81.991474681120224</v>
      </c>
      <c r="H15" s="442">
        <v>13.014519790654004</v>
      </c>
      <c r="J15" s="443">
        <v>155.71</v>
      </c>
      <c r="K15" s="444">
        <v>144.02980408227342</v>
      </c>
      <c r="M15" s="445"/>
      <c r="N15" s="445"/>
      <c r="O15" s="446"/>
      <c r="P15" s="52"/>
      <c r="Q15" s="52"/>
      <c r="R15" s="52"/>
      <c r="S15" s="52"/>
      <c r="T15" s="52"/>
      <c r="U15" s="52"/>
    </row>
    <row r="16" spans="1:22" ht="16.5" customHeight="1" thickBot="1">
      <c r="A16" s="448">
        <v>46054</v>
      </c>
      <c r="B16" s="438">
        <v>244.00476190476192</v>
      </c>
      <c r="C16" s="439">
        <v>1537.23</v>
      </c>
      <c r="D16" s="440">
        <v>19853460</v>
      </c>
      <c r="E16" s="440">
        <v>97601.904761904778</v>
      </c>
      <c r="F16" s="440">
        <v>19951061.904761903</v>
      </c>
      <c r="G16" s="441">
        <v>81.76505142366463</v>
      </c>
      <c r="H16" s="442">
        <v>12.97857959105788</v>
      </c>
      <c r="J16" s="443">
        <v>140.81</v>
      </c>
      <c r="K16" s="444">
        <v>141.68781979093745</v>
      </c>
      <c r="M16" s="445"/>
      <c r="N16" s="445"/>
      <c r="O16" s="446"/>
      <c r="P16" s="52"/>
      <c r="Q16" s="52"/>
      <c r="R16" s="52"/>
      <c r="S16" s="52"/>
      <c r="T16" s="52"/>
      <c r="U16" s="52"/>
    </row>
    <row r="17" spans="1:21" ht="16.5" customHeight="1" thickBot="1">
      <c r="A17" s="448">
        <v>46082</v>
      </c>
      <c r="B17" s="438">
        <v>254.04126984126987</v>
      </c>
      <c r="C17" s="439">
        <v>1600.46</v>
      </c>
      <c r="D17" s="440">
        <v>20617430</v>
      </c>
      <c r="E17" s="440">
        <v>101616.50793650796</v>
      </c>
      <c r="F17" s="440">
        <v>20719046.507936511</v>
      </c>
      <c r="G17" s="441">
        <v>81.557797758144531</v>
      </c>
      <c r="H17" s="442">
        <v>12.945682183832467</v>
      </c>
      <c r="J17" s="443">
        <v>143.94999999999999</v>
      </c>
      <c r="K17" s="444">
        <v>143.93224388979863</v>
      </c>
      <c r="M17" s="445"/>
      <c r="N17" s="445"/>
      <c r="O17" s="446"/>
      <c r="P17" s="52"/>
      <c r="Q17" s="52"/>
      <c r="R17" s="52"/>
      <c r="S17" s="52"/>
      <c r="T17" s="52"/>
      <c r="U17" s="52"/>
    </row>
    <row r="18" spans="1:21" ht="16.5" customHeight="1" thickBot="1">
      <c r="A18" s="448">
        <v>46113</v>
      </c>
      <c r="B18" s="438">
        <v>278.74603174603175</v>
      </c>
      <c r="C18" s="439">
        <v>1756.1</v>
      </c>
      <c r="D18" s="440">
        <v>22571820</v>
      </c>
      <c r="E18" s="440">
        <v>111498.41269841271</v>
      </c>
      <c r="F18" s="440">
        <v>22683318.412698414</v>
      </c>
      <c r="G18" s="441">
        <v>81.376291782928078</v>
      </c>
      <c r="H18" s="442">
        <v>12.916871711575887</v>
      </c>
      <c r="J18" s="443">
        <v>162.05000000000001</v>
      </c>
      <c r="K18" s="444">
        <v>139.9772811644456</v>
      </c>
      <c r="M18" s="445"/>
      <c r="N18" s="445"/>
      <c r="O18" s="446"/>
      <c r="P18" s="52"/>
      <c r="Q18" s="52"/>
      <c r="R18" s="52"/>
      <c r="S18" s="52"/>
      <c r="T18" s="52"/>
      <c r="U18" s="52"/>
    </row>
    <row r="19" spans="1:21" ht="16.5" customHeight="1" thickBot="1">
      <c r="A19" s="448">
        <v>46143</v>
      </c>
      <c r="B19" s="438">
        <v>100.2</v>
      </c>
      <c r="C19" s="439">
        <v>631.26</v>
      </c>
      <c r="D19" s="440">
        <v>8096390</v>
      </c>
      <c r="E19" s="440">
        <v>40080.000000000007</v>
      </c>
      <c r="F19" s="440">
        <v>8136470</v>
      </c>
      <c r="G19" s="441">
        <v>81.20229540918163</v>
      </c>
      <c r="H19" s="442">
        <v>12.889253239552641</v>
      </c>
      <c r="J19" s="443">
        <v>58.57</v>
      </c>
      <c r="K19" s="444">
        <v>138.91872972511524</v>
      </c>
      <c r="M19" s="445"/>
      <c r="N19" s="445"/>
      <c r="O19" s="446"/>
      <c r="P19" s="52"/>
      <c r="Q19" s="52"/>
      <c r="R19" s="52"/>
      <c r="S19" s="52"/>
      <c r="T19" s="52"/>
      <c r="U19" s="52"/>
    </row>
    <row r="20" spans="1:21" ht="16.5" customHeight="1" thickBot="1">
      <c r="A20" s="448">
        <v>46174</v>
      </c>
      <c r="B20" s="438">
        <v>0</v>
      </c>
      <c r="C20" s="439">
        <v>0</v>
      </c>
      <c r="D20" s="440">
        <v>0</v>
      </c>
      <c r="E20" s="440">
        <v>0</v>
      </c>
      <c r="F20" s="440">
        <v>0</v>
      </c>
      <c r="G20" s="441">
        <v>0</v>
      </c>
      <c r="H20" s="442">
        <v>0</v>
      </c>
      <c r="J20" s="443">
        <v>0</v>
      </c>
      <c r="K20" s="444">
        <v>0</v>
      </c>
      <c r="M20" s="445"/>
      <c r="N20" s="445"/>
      <c r="O20" s="446"/>
      <c r="P20" s="52"/>
      <c r="Q20" s="52"/>
      <c r="R20" s="52"/>
      <c r="S20" s="52"/>
      <c r="T20" s="52"/>
      <c r="U20" s="52"/>
    </row>
    <row r="21" spans="1:21" ht="16.5" thickBot="1">
      <c r="A21" s="449" t="s">
        <v>656</v>
      </c>
      <c r="B21" s="450">
        <v>2791.3317460317458</v>
      </c>
      <c r="C21" s="451">
        <v>17585.389999999996</v>
      </c>
      <c r="D21" s="452">
        <v>229619259.99999997</v>
      </c>
      <c r="E21" s="453">
        <v>1116532.6984126985</v>
      </c>
      <c r="F21" s="452">
        <v>230735792.69841269</v>
      </c>
      <c r="G21" s="454">
        <v>82.661544270556419</v>
      </c>
      <c r="H21" s="455">
        <v>13.120880042945466</v>
      </c>
      <c r="I21" s="456"/>
      <c r="J21" s="450">
        <v>1616.32</v>
      </c>
      <c r="K21" s="457">
        <v>142.75378186152042</v>
      </c>
      <c r="M21" s="458"/>
      <c r="N21" s="458"/>
      <c r="O21" s="446"/>
      <c r="P21" s="429"/>
      <c r="Q21" s="429"/>
      <c r="R21" s="429"/>
      <c r="S21" s="429"/>
      <c r="T21" s="52"/>
    </row>
    <row r="22" spans="1:21" ht="16.5" thickBot="1">
      <c r="A22" s="459"/>
      <c r="B22" s="460"/>
    </row>
    <row r="23" spans="1:21" ht="18.75" thickBot="1">
      <c r="A23" s="427" t="s">
        <v>2668</v>
      </c>
      <c r="B23" s="1277" t="s">
        <v>2681</v>
      </c>
      <c r="C23" s="1278"/>
      <c r="D23" s="1278"/>
      <c r="E23" s="1278"/>
      <c r="F23" s="1278"/>
      <c r="G23" s="1278"/>
      <c r="H23" s="1278"/>
      <c r="I23" s="1278"/>
      <c r="J23" s="1278"/>
      <c r="K23" s="1279"/>
    </row>
    <row r="24" spans="1:21" ht="16.5" thickBot="1">
      <c r="A24" s="427" t="s">
        <v>2670</v>
      </c>
      <c r="B24" s="1289" t="s">
        <v>2671</v>
      </c>
      <c r="C24" s="1290"/>
      <c r="D24" s="1290"/>
      <c r="E24" s="1290"/>
      <c r="F24" s="1290"/>
      <c r="G24" s="1290"/>
      <c r="H24" s="1290"/>
      <c r="I24" s="1290"/>
      <c r="J24" s="1290"/>
      <c r="K24" s="1291"/>
      <c r="L24" s="428"/>
      <c r="M24" s="52"/>
      <c r="N24" s="52"/>
      <c r="O24" s="52"/>
      <c r="P24" s="52"/>
      <c r="Q24" s="52"/>
      <c r="R24" s="52"/>
    </row>
    <row r="25" spans="1:21" ht="30.75" thickBot="1">
      <c r="A25" s="431"/>
      <c r="B25" s="432" t="s">
        <v>2672</v>
      </c>
      <c r="C25" s="433" t="s">
        <v>2673</v>
      </c>
      <c r="D25" s="433" t="s">
        <v>2674</v>
      </c>
      <c r="E25" s="434" t="s">
        <v>2675</v>
      </c>
      <c r="F25" s="434" t="s">
        <v>2676</v>
      </c>
      <c r="G25" s="434" t="s">
        <v>2677</v>
      </c>
      <c r="H25" s="435" t="s">
        <v>2678</v>
      </c>
      <c r="J25" s="436" t="s">
        <v>2679</v>
      </c>
      <c r="K25" s="461" t="s">
        <v>2680</v>
      </c>
    </row>
    <row r="26" spans="1:21" ht="15.75">
      <c r="A26" s="462">
        <v>45839</v>
      </c>
      <c r="B26" s="438">
        <v>147.91587301587302</v>
      </c>
      <c r="C26" s="439">
        <v>931.87</v>
      </c>
      <c r="D26" s="440">
        <v>12464880</v>
      </c>
      <c r="E26" s="440">
        <v>59166.349206349209</v>
      </c>
      <c r="F26" s="440">
        <v>12524046.349206349</v>
      </c>
      <c r="G26" s="441">
        <v>84.670063420863414</v>
      </c>
      <c r="H26" s="442">
        <v>13.439692606486258</v>
      </c>
      <c r="J26" s="443">
        <v>77.400000000000006</v>
      </c>
      <c r="K26" s="444">
        <v>161.80938435667116</v>
      </c>
      <c r="M26" s="445"/>
      <c r="N26" s="445"/>
      <c r="O26" s="463"/>
    </row>
    <row r="27" spans="1:21" ht="15.75">
      <c r="A27" s="447">
        <v>45870</v>
      </c>
      <c r="B27" s="438">
        <v>282.79206349206351</v>
      </c>
      <c r="C27" s="439">
        <v>1781.5900000000001</v>
      </c>
      <c r="D27" s="440">
        <v>23672210</v>
      </c>
      <c r="E27" s="440">
        <v>113116.8253968254</v>
      </c>
      <c r="F27" s="440">
        <v>23785326.825396825</v>
      </c>
      <c r="G27" s="441">
        <v>84.108890934502313</v>
      </c>
      <c r="H27" s="442">
        <v>13.350617608651161</v>
      </c>
      <c r="J27" s="443">
        <v>146.88999999999999</v>
      </c>
      <c r="K27" s="444">
        <v>161.926113591101</v>
      </c>
      <c r="M27" s="445"/>
      <c r="N27" s="445"/>
      <c r="O27" s="463"/>
    </row>
    <row r="28" spans="1:21" ht="15.75">
      <c r="A28" s="447">
        <v>45901</v>
      </c>
      <c r="B28" s="438">
        <v>285.93492063492062</v>
      </c>
      <c r="C28" s="439">
        <v>1801.3899999999999</v>
      </c>
      <c r="D28" s="440">
        <v>23784270</v>
      </c>
      <c r="E28" s="440">
        <v>114373.96825396825</v>
      </c>
      <c r="F28" s="440">
        <v>23898643.968253966</v>
      </c>
      <c r="G28" s="441">
        <v>83.580711006500536</v>
      </c>
      <c r="H28" s="442">
        <v>13.266779524841356</v>
      </c>
      <c r="J28" s="443">
        <v>148.82999999999998</v>
      </c>
      <c r="K28" s="444">
        <v>160.5767921000737</v>
      </c>
      <c r="M28" s="445"/>
      <c r="N28" s="445"/>
      <c r="O28" s="463"/>
    </row>
    <row r="29" spans="1:21" ht="15.75">
      <c r="A29" s="447">
        <v>45931</v>
      </c>
      <c r="B29" s="438">
        <v>279.47301587301587</v>
      </c>
      <c r="C29" s="439">
        <v>1760.6799999999998</v>
      </c>
      <c r="D29" s="440">
        <v>23114559.999999996</v>
      </c>
      <c r="E29" s="440">
        <v>111789.20634920635</v>
      </c>
      <c r="F29" s="440">
        <v>23226349.206349205</v>
      </c>
      <c r="G29" s="441">
        <v>83.107662948406301</v>
      </c>
      <c r="H29" s="442">
        <v>13.191692531493063</v>
      </c>
      <c r="J29" s="443">
        <v>145.94</v>
      </c>
      <c r="K29" s="444">
        <v>159.14998770966977</v>
      </c>
      <c r="M29" s="445"/>
      <c r="N29" s="445"/>
      <c r="O29" s="463"/>
    </row>
    <row r="30" spans="1:21" ht="15.75">
      <c r="A30" s="447">
        <v>45962</v>
      </c>
      <c r="B30" s="438">
        <v>291.87936507936507</v>
      </c>
      <c r="C30" s="439">
        <v>1838.84</v>
      </c>
      <c r="D30" s="440">
        <v>24013320</v>
      </c>
      <c r="E30" s="440">
        <v>116751.74603174604</v>
      </c>
      <c r="F30" s="440">
        <v>24130071.746031746</v>
      </c>
      <c r="G30" s="441">
        <v>82.671386308759878</v>
      </c>
      <c r="H30" s="442">
        <v>13.122442271231726</v>
      </c>
      <c r="J30" s="443">
        <v>152</v>
      </c>
      <c r="K30" s="444">
        <v>158.75047201336676</v>
      </c>
      <c r="M30" s="445"/>
      <c r="N30" s="445"/>
      <c r="O30" s="463"/>
    </row>
    <row r="31" spans="1:21" ht="15.75">
      <c r="A31" s="447">
        <v>45992</v>
      </c>
      <c r="B31" s="438">
        <v>281.40793650793648</v>
      </c>
      <c r="C31" s="439">
        <v>1772.87</v>
      </c>
      <c r="D31" s="440">
        <v>23031440</v>
      </c>
      <c r="E31" s="440">
        <v>112563.1746031746</v>
      </c>
      <c r="F31" s="440">
        <v>23144003.174603175</v>
      </c>
      <c r="G31" s="441">
        <v>82.243605002058814</v>
      </c>
      <c r="H31" s="442">
        <v>13.054540476517271</v>
      </c>
      <c r="J31" s="443">
        <v>144.97</v>
      </c>
      <c r="K31" s="444">
        <v>159.64684537906584</v>
      </c>
      <c r="M31" s="445"/>
      <c r="N31" s="445"/>
      <c r="O31" s="463"/>
    </row>
    <row r="32" spans="1:21" ht="15.75">
      <c r="A32" s="447">
        <v>46023</v>
      </c>
      <c r="B32" s="438">
        <v>128.99206349206349</v>
      </c>
      <c r="C32" s="439">
        <v>812.65</v>
      </c>
      <c r="D32" s="440">
        <v>10524700</v>
      </c>
      <c r="E32" s="440">
        <v>51596.825396825399</v>
      </c>
      <c r="F32" s="440">
        <v>10576296.825396826</v>
      </c>
      <c r="G32" s="441">
        <v>81.991841506183476</v>
      </c>
      <c r="H32" s="442">
        <v>13.014578016854522</v>
      </c>
      <c r="J32" s="443">
        <v>66.27</v>
      </c>
      <c r="K32" s="444">
        <v>159.59403690051045</v>
      </c>
      <c r="M32" s="445"/>
      <c r="N32" s="445"/>
      <c r="O32" s="463"/>
    </row>
    <row r="33" spans="1:15" ht="15.75">
      <c r="A33" s="447">
        <v>46054</v>
      </c>
      <c r="B33" s="438">
        <v>184.6015873015873</v>
      </c>
      <c r="C33" s="439">
        <v>1162.99</v>
      </c>
      <c r="D33" s="440">
        <v>15020100</v>
      </c>
      <c r="E33" s="440">
        <v>73840.634920634926</v>
      </c>
      <c r="F33" s="440">
        <v>15093940.634920634</v>
      </c>
      <c r="G33" s="441">
        <v>81.764955846567901</v>
      </c>
      <c r="H33" s="442">
        <v>12.978564420090143</v>
      </c>
      <c r="J33" s="443">
        <v>95.03</v>
      </c>
      <c r="K33" s="444">
        <v>158.83342770620473</v>
      </c>
      <c r="M33" s="445"/>
      <c r="N33" s="445"/>
      <c r="O33" s="463"/>
    </row>
    <row r="34" spans="1:15" ht="15.75">
      <c r="A34" s="447">
        <v>46082</v>
      </c>
      <c r="B34" s="438">
        <v>256.69206349206348</v>
      </c>
      <c r="C34" s="439">
        <v>1617.1599999999999</v>
      </c>
      <c r="D34" s="440">
        <v>20832530</v>
      </c>
      <c r="E34" s="440">
        <v>102676.8253968254</v>
      </c>
      <c r="F34" s="440">
        <v>20935206.825396825</v>
      </c>
      <c r="G34" s="441">
        <v>81.55767085507928</v>
      </c>
      <c r="H34" s="442">
        <v>12.945662040488774</v>
      </c>
      <c r="J34" s="443">
        <v>131.77999999999997</v>
      </c>
      <c r="K34" s="444">
        <v>158.86482641824881</v>
      </c>
      <c r="M34" s="445"/>
      <c r="N34" s="445"/>
      <c r="O34" s="463"/>
    </row>
    <row r="35" spans="1:15" ht="15.75">
      <c r="A35" s="447">
        <v>46113</v>
      </c>
      <c r="B35" s="438">
        <v>265.48253968253971</v>
      </c>
      <c r="C35" s="439">
        <v>1672.54</v>
      </c>
      <c r="D35" s="440">
        <v>21497830</v>
      </c>
      <c r="E35" s="440">
        <v>106193.0158730159</v>
      </c>
      <c r="F35" s="440">
        <v>21604023.015873019</v>
      </c>
      <c r="G35" s="441">
        <v>81.376436437992524</v>
      </c>
      <c r="H35" s="442">
        <v>12.916894672697227</v>
      </c>
      <c r="J35" s="443">
        <v>136.76999999999998</v>
      </c>
      <c r="K35" s="444">
        <v>157.95878493728904</v>
      </c>
      <c r="M35" s="445"/>
      <c r="N35" s="445"/>
      <c r="O35" s="463"/>
    </row>
    <row r="36" spans="1:15" ht="15.75">
      <c r="A36" s="447">
        <v>46143</v>
      </c>
      <c r="B36" s="438">
        <v>289.88730158730158</v>
      </c>
      <c r="C36" s="439">
        <v>1826.29</v>
      </c>
      <c r="D36" s="440">
        <v>23423309.999999996</v>
      </c>
      <c r="E36" s="440">
        <v>115954.92063492064</v>
      </c>
      <c r="F36" s="440">
        <v>23539264.920634918</v>
      </c>
      <c r="G36" s="441">
        <v>81.201435149948807</v>
      </c>
      <c r="H36" s="442">
        <v>12.889116690468065</v>
      </c>
      <c r="J36" s="443">
        <v>149.66</v>
      </c>
      <c r="K36" s="444">
        <v>157.28494534701937</v>
      </c>
      <c r="M36" s="445"/>
      <c r="N36" s="445"/>
      <c r="O36" s="463"/>
    </row>
    <row r="37" spans="1:15" ht="16.5" thickBot="1">
      <c r="A37" s="447">
        <v>46174</v>
      </c>
      <c r="B37" s="438">
        <v>271.94761904761907</v>
      </c>
      <c r="C37" s="439">
        <v>1713.27</v>
      </c>
      <c r="D37" s="440">
        <v>21924580</v>
      </c>
      <c r="E37" s="440">
        <v>108779.04761904763</v>
      </c>
      <c r="F37" s="440">
        <v>22033359.047619052</v>
      </c>
      <c r="G37" s="441">
        <v>81.020599205028986</v>
      </c>
      <c r="H37" s="442">
        <v>12.860412572226824</v>
      </c>
      <c r="J37" s="443">
        <v>140.72</v>
      </c>
      <c r="K37" s="444">
        <v>156.57588862719621</v>
      </c>
      <c r="M37" s="445"/>
      <c r="N37" s="445"/>
      <c r="O37" s="463"/>
    </row>
    <row r="38" spans="1:15" ht="16.5" thickBot="1">
      <c r="A38" s="464" t="s">
        <v>656</v>
      </c>
      <c r="B38" s="450">
        <v>2967.0063492063482</v>
      </c>
      <c r="C38" s="450">
        <v>18692.140000000003</v>
      </c>
      <c r="D38" s="452">
        <v>243303730.00000003</v>
      </c>
      <c r="E38" s="453">
        <v>1186802.5396825396</v>
      </c>
      <c r="F38" s="452">
        <v>244490532.53968251</v>
      </c>
      <c r="G38" s="454">
        <v>82.403103924965279</v>
      </c>
      <c r="H38" s="455">
        <v>13.079857765867498</v>
      </c>
      <c r="I38" s="456"/>
      <c r="J38" s="450">
        <v>1536.26</v>
      </c>
      <c r="K38" s="673">
        <v>159.1465849138053</v>
      </c>
      <c r="M38" s="458"/>
      <c r="N38" s="458"/>
      <c r="O38" s="465"/>
    </row>
    <row r="39" spans="1:15" ht="15" thickBot="1">
      <c r="K39" s="483"/>
    </row>
    <row r="40" spans="1:15" ht="18.75" thickBot="1">
      <c r="A40" s="427" t="s">
        <v>2668</v>
      </c>
      <c r="B40" s="1277" t="s">
        <v>2682</v>
      </c>
      <c r="C40" s="1278"/>
      <c r="D40" s="1278"/>
      <c r="E40" s="1278"/>
      <c r="F40" s="1278"/>
      <c r="G40" s="1278"/>
      <c r="H40" s="1278"/>
      <c r="I40" s="1278"/>
      <c r="J40" s="1278"/>
      <c r="K40" s="1279"/>
    </row>
    <row r="41" spans="1:15" ht="16.5" thickBot="1">
      <c r="A41" s="427" t="s">
        <v>2670</v>
      </c>
      <c r="B41" s="1289" t="s">
        <v>2671</v>
      </c>
      <c r="C41" s="1290"/>
      <c r="D41" s="1290"/>
      <c r="E41" s="1290"/>
      <c r="F41" s="1290"/>
      <c r="G41" s="1290"/>
      <c r="H41" s="1290"/>
      <c r="I41" s="1290"/>
      <c r="J41" s="1290"/>
      <c r="K41" s="1291"/>
    </row>
    <row r="42" spans="1:15" ht="30.75" thickBot="1">
      <c r="A42" s="431"/>
      <c r="B42" s="432" t="s">
        <v>2672</v>
      </c>
      <c r="C42" s="433" t="s">
        <v>2673</v>
      </c>
      <c r="D42" s="433" t="s">
        <v>2674</v>
      </c>
      <c r="E42" s="434" t="s">
        <v>2675</v>
      </c>
      <c r="F42" s="434" t="s">
        <v>2676</v>
      </c>
      <c r="G42" s="434" t="s">
        <v>2677</v>
      </c>
      <c r="H42" s="435" t="s">
        <v>2678</v>
      </c>
      <c r="J42" s="436" t="s">
        <v>2679</v>
      </c>
      <c r="K42" s="461" t="s">
        <v>2680</v>
      </c>
    </row>
    <row r="43" spans="1:15" ht="15.75">
      <c r="A43" s="462">
        <v>45839</v>
      </c>
      <c r="B43" s="438">
        <v>91.56825396825397</v>
      </c>
      <c r="C43" s="439">
        <v>576.88</v>
      </c>
      <c r="D43" s="440">
        <v>7716500</v>
      </c>
      <c r="E43" s="440">
        <v>36627301.58730159</v>
      </c>
      <c r="F43" s="440">
        <v>7753127.3015873013</v>
      </c>
      <c r="G43" s="441">
        <v>84.670472195257247</v>
      </c>
      <c r="H43" s="442">
        <v>13.439757491310674</v>
      </c>
      <c r="J43" s="443">
        <v>48.7</v>
      </c>
      <c r="K43" s="444">
        <v>159.20179264039632</v>
      </c>
      <c r="M43" s="445"/>
      <c r="N43" s="445"/>
      <c r="O43" s="463"/>
    </row>
    <row r="44" spans="1:15" ht="15.75">
      <c r="A44" s="447">
        <v>45870</v>
      </c>
      <c r="B44" s="438">
        <v>134.8031746031746</v>
      </c>
      <c r="C44" s="439">
        <v>849.26</v>
      </c>
      <c r="D44" s="440">
        <v>11284280</v>
      </c>
      <c r="E44" s="440">
        <v>53921269.841269836</v>
      </c>
      <c r="F44" s="440">
        <v>11338201.269841271</v>
      </c>
      <c r="G44" s="441">
        <v>84.109304571038322</v>
      </c>
      <c r="H44" s="442">
        <v>13.350683265244179</v>
      </c>
      <c r="J44" s="443">
        <v>70.09</v>
      </c>
      <c r="K44" s="444">
        <v>161.76631858811913</v>
      </c>
      <c r="M44" s="445"/>
      <c r="N44" s="445"/>
      <c r="O44" s="463"/>
    </row>
    <row r="45" spans="1:15" ht="15.75">
      <c r="A45" s="447">
        <v>45901</v>
      </c>
      <c r="B45" s="438">
        <v>137.3047619047619</v>
      </c>
      <c r="C45" s="439">
        <v>865.02</v>
      </c>
      <c r="D45" s="440">
        <v>11421140</v>
      </c>
      <c r="E45" s="440">
        <v>54921904.761904761</v>
      </c>
      <c r="F45" s="440">
        <v>11476061.904761903</v>
      </c>
      <c r="G45" s="441">
        <v>83.580946105292355</v>
      </c>
      <c r="H45" s="442">
        <v>13.266816842109899</v>
      </c>
      <c r="J45" s="443">
        <v>71.760000000000005</v>
      </c>
      <c r="K45" s="444">
        <v>159.92282475978126</v>
      </c>
      <c r="M45" s="445"/>
      <c r="N45" s="445"/>
      <c r="O45" s="463"/>
    </row>
    <row r="46" spans="1:15" ht="15.75">
      <c r="A46" s="447">
        <v>45931</v>
      </c>
      <c r="B46" s="438">
        <v>54.457142857142856</v>
      </c>
      <c r="C46" s="439">
        <v>343.08</v>
      </c>
      <c r="D46" s="440">
        <v>4504010</v>
      </c>
      <c r="E46" s="440">
        <v>21782857.142857142</v>
      </c>
      <c r="F46" s="440">
        <v>4525792.8571428573</v>
      </c>
      <c r="G46" s="441">
        <v>83.107423924449122</v>
      </c>
      <c r="H46" s="442">
        <v>13.191654591182399</v>
      </c>
      <c r="J46" s="443">
        <v>28.75</v>
      </c>
      <c r="K46" s="444">
        <v>157.41888198757766</v>
      </c>
      <c r="M46" s="445"/>
      <c r="N46" s="445"/>
      <c r="O46" s="463"/>
    </row>
    <row r="47" spans="1:15" ht="15.75">
      <c r="A47" s="447">
        <v>45962</v>
      </c>
      <c r="B47" s="438">
        <v>51.246031746031754</v>
      </c>
      <c r="C47" s="439">
        <v>322.85000000000002</v>
      </c>
      <c r="D47" s="440">
        <v>4216070</v>
      </c>
      <c r="E47" s="440">
        <v>20498412.698412701</v>
      </c>
      <c r="F47" s="440">
        <v>4236568.4126984123</v>
      </c>
      <c r="G47" s="441">
        <v>82.671150689174524</v>
      </c>
      <c r="H47" s="442">
        <v>13.122404871297544</v>
      </c>
      <c r="J47" s="443">
        <v>27.18</v>
      </c>
      <c r="K47" s="444">
        <v>155.8708025275354</v>
      </c>
      <c r="M47" s="445"/>
      <c r="N47" s="445"/>
      <c r="O47" s="463"/>
    </row>
    <row r="48" spans="1:15" ht="15.75">
      <c r="A48" s="447">
        <v>45992</v>
      </c>
      <c r="B48" s="438">
        <v>45.44285714285715</v>
      </c>
      <c r="C48" s="439">
        <v>286.29000000000002</v>
      </c>
      <c r="D48" s="440">
        <v>3719270</v>
      </c>
      <c r="E48" s="440">
        <v>18177142.857142862</v>
      </c>
      <c r="F48" s="440">
        <v>3737447.1428571427</v>
      </c>
      <c r="G48" s="441">
        <v>82.24498585350517</v>
      </c>
      <c r="H48" s="442">
        <v>13.054759659286537</v>
      </c>
      <c r="J48" s="443">
        <v>22.85</v>
      </c>
      <c r="K48" s="444">
        <v>163.56442638324475</v>
      </c>
      <c r="M48" s="445"/>
      <c r="N48" s="445"/>
      <c r="O48" s="463"/>
    </row>
    <row r="49" spans="1:15" ht="15.75">
      <c r="A49" s="447">
        <v>46023</v>
      </c>
      <c r="B49" s="438">
        <v>42.958730158730155</v>
      </c>
      <c r="C49" s="439">
        <v>270.64</v>
      </c>
      <c r="D49" s="440">
        <v>3505010</v>
      </c>
      <c r="E49" s="440">
        <v>17183492.063492063</v>
      </c>
      <c r="F49" s="440">
        <v>3522193.4920634921</v>
      </c>
      <c r="G49" s="441">
        <v>81.990167750517301</v>
      </c>
      <c r="H49" s="442">
        <v>13.014312341351951</v>
      </c>
      <c r="J49" s="443">
        <v>21</v>
      </c>
      <c r="K49" s="444">
        <v>167.72349962207105</v>
      </c>
      <c r="M49" s="445"/>
      <c r="N49" s="445"/>
      <c r="O49" s="463"/>
    </row>
    <row r="50" spans="1:15" ht="15.75">
      <c r="A50" s="447">
        <v>46054</v>
      </c>
      <c r="B50" s="438">
        <v>120.75396825396825</v>
      </c>
      <c r="C50" s="439">
        <v>760.75</v>
      </c>
      <c r="D50" s="440">
        <v>9825150</v>
      </c>
      <c r="E50" s="440">
        <v>48301587.301587306</v>
      </c>
      <c r="F50" s="440">
        <v>9873451.5873015858</v>
      </c>
      <c r="G50" s="441">
        <v>81.765027932960891</v>
      </c>
      <c r="H50" s="442">
        <v>12.978575862374743</v>
      </c>
      <c r="J50" s="443">
        <v>62.84</v>
      </c>
      <c r="K50" s="444">
        <v>157.12048993159749</v>
      </c>
      <c r="M50" s="445"/>
      <c r="N50" s="445"/>
      <c r="O50" s="463"/>
    </row>
    <row r="51" spans="1:15" ht="15.75">
      <c r="A51" s="447">
        <v>46082</v>
      </c>
      <c r="B51" s="438">
        <v>133.20952380952383</v>
      </c>
      <c r="C51" s="439">
        <v>839.22</v>
      </c>
      <c r="D51" s="440">
        <v>10810970</v>
      </c>
      <c r="E51" s="440">
        <v>53283809.523809545</v>
      </c>
      <c r="F51" s="440">
        <v>10864253.809523808</v>
      </c>
      <c r="G51" s="441">
        <v>81.557635661685836</v>
      </c>
      <c r="H51" s="442">
        <v>12.945656454235849</v>
      </c>
      <c r="J51" s="443">
        <v>68.78</v>
      </c>
      <c r="K51" s="444">
        <v>157.95658344756919</v>
      </c>
      <c r="M51" s="445"/>
      <c r="N51" s="445"/>
      <c r="O51" s="463"/>
    </row>
    <row r="52" spans="1:15" ht="15.75">
      <c r="A52" s="447">
        <v>46113</v>
      </c>
      <c r="B52" s="438">
        <v>134.57142857142856</v>
      </c>
      <c r="C52" s="439">
        <v>847.8</v>
      </c>
      <c r="D52" s="440">
        <v>10897080</v>
      </c>
      <c r="E52" s="440">
        <v>53828571.428571418</v>
      </c>
      <c r="F52" s="440">
        <v>10950908.571428573</v>
      </c>
      <c r="G52" s="441">
        <v>81.376178343949064</v>
      </c>
      <c r="H52" s="442">
        <v>12.916853705388739</v>
      </c>
      <c r="J52" s="443">
        <v>70.08</v>
      </c>
      <c r="K52" s="444">
        <v>156.26296477495109</v>
      </c>
      <c r="M52" s="445"/>
      <c r="N52" s="445"/>
      <c r="O52" s="463"/>
    </row>
    <row r="53" spans="1:15" ht="15.75">
      <c r="A53" s="447">
        <v>46143</v>
      </c>
      <c r="B53" s="438">
        <v>137.31428571428572</v>
      </c>
      <c r="C53" s="439">
        <v>865.08</v>
      </c>
      <c r="D53" s="440">
        <v>11095210</v>
      </c>
      <c r="E53" s="440">
        <v>54925714.285714291</v>
      </c>
      <c r="F53" s="440">
        <v>11150135.714285715</v>
      </c>
      <c r="G53" s="441">
        <v>81.201570952975445</v>
      </c>
      <c r="H53" s="442">
        <v>12.889138246504038</v>
      </c>
      <c r="J53" s="443">
        <v>72.52000000000001</v>
      </c>
      <c r="K53" s="444">
        <v>153.7525608699078</v>
      </c>
      <c r="M53" s="445"/>
      <c r="N53" s="445"/>
      <c r="O53" s="463"/>
    </row>
    <row r="54" spans="1:15" ht="16.5" thickBot="1">
      <c r="A54" s="447">
        <v>46174</v>
      </c>
      <c r="B54" s="438">
        <v>147.33968253968254</v>
      </c>
      <c r="C54" s="439">
        <v>928.24</v>
      </c>
      <c r="D54" s="440">
        <v>11878540</v>
      </c>
      <c r="E54" s="440">
        <v>58935873.015873015</v>
      </c>
      <c r="F54" s="440">
        <v>11937475.873015873</v>
      </c>
      <c r="G54" s="441">
        <v>81.020100405067652</v>
      </c>
      <c r="H54" s="442">
        <v>12.860333397629788</v>
      </c>
      <c r="J54" s="443">
        <v>77.819999999999993</v>
      </c>
      <c r="K54" s="444">
        <v>153.39855914952292</v>
      </c>
      <c r="M54" s="445"/>
      <c r="N54" s="445"/>
      <c r="O54" s="463"/>
    </row>
    <row r="55" spans="1:15" ht="16.5" thickBot="1">
      <c r="A55" s="464" t="s">
        <v>656</v>
      </c>
      <c r="B55" s="450">
        <v>1230.9698412698413</v>
      </c>
      <c r="C55" s="451">
        <v>7755.11</v>
      </c>
      <c r="D55" s="452">
        <v>100873230.00000001</v>
      </c>
      <c r="E55" s="453">
        <v>492387936.5079366</v>
      </c>
      <c r="F55" s="452">
        <v>101365617.93650794</v>
      </c>
      <c r="G55" s="454">
        <v>82.346142478959038</v>
      </c>
      <c r="H55" s="455">
        <v>13.070816266501435</v>
      </c>
      <c r="I55" s="456"/>
      <c r="J55" s="450">
        <v>642.37000000000012</v>
      </c>
      <c r="K55" s="457">
        <v>157.79942702260055</v>
      </c>
      <c r="M55" s="458"/>
      <c r="N55" s="458"/>
      <c r="O55" s="465"/>
    </row>
    <row r="56" spans="1:15" ht="15" thickBot="1">
      <c r="A56" s="466"/>
    </row>
    <row r="57" spans="1:15" ht="18.75" thickBot="1">
      <c r="A57" s="427" t="s">
        <v>2668</v>
      </c>
      <c r="B57" s="1277" t="s">
        <v>2121</v>
      </c>
      <c r="C57" s="1278"/>
      <c r="D57" s="1278"/>
      <c r="E57" s="1278"/>
      <c r="F57" s="1278"/>
      <c r="G57" s="1278"/>
      <c r="H57" s="1278"/>
      <c r="I57" s="1278"/>
      <c r="J57" s="1278"/>
      <c r="K57" s="1279"/>
    </row>
    <row r="58" spans="1:15" ht="16.5" thickBot="1">
      <c r="A58" s="427" t="s">
        <v>2670</v>
      </c>
      <c r="B58" s="1289" t="s">
        <v>2683</v>
      </c>
      <c r="C58" s="1290"/>
      <c r="D58" s="1290"/>
      <c r="E58" s="1290"/>
      <c r="F58" s="1290"/>
      <c r="G58" s="1290"/>
      <c r="H58" s="1290"/>
      <c r="I58" s="1290"/>
      <c r="J58" s="1290"/>
      <c r="K58" s="1291"/>
    </row>
    <row r="59" spans="1:15" ht="30.75" thickBot="1">
      <c r="A59" s="431"/>
      <c r="B59" s="432" t="s">
        <v>2672</v>
      </c>
      <c r="C59" s="433" t="s">
        <v>2673</v>
      </c>
      <c r="D59" s="433" t="s">
        <v>2674</v>
      </c>
      <c r="E59" s="434" t="s">
        <v>2675</v>
      </c>
      <c r="F59" s="434" t="s">
        <v>2676</v>
      </c>
      <c r="G59" s="434" t="s">
        <v>2677</v>
      </c>
      <c r="H59" s="435" t="s">
        <v>2678</v>
      </c>
      <c r="J59" s="436" t="s">
        <v>2679</v>
      </c>
      <c r="K59" s="461" t="s">
        <v>2680</v>
      </c>
    </row>
    <row r="60" spans="1:15" ht="15.75">
      <c r="A60" s="462">
        <v>45839</v>
      </c>
      <c r="B60" s="438">
        <v>57.551724137931025</v>
      </c>
      <c r="C60" s="439">
        <v>333.79999999999995</v>
      </c>
      <c r="D60" s="440">
        <v>5558430</v>
      </c>
      <c r="E60" s="440">
        <v>23020.689655172413</v>
      </c>
      <c r="F60" s="440">
        <v>5581450.6896551726</v>
      </c>
      <c r="G60" s="441">
        <v>96.981467944877195</v>
      </c>
      <c r="H60" s="442">
        <v>16.720942749116759</v>
      </c>
      <c r="J60" s="443">
        <v>27.36</v>
      </c>
      <c r="K60" s="444">
        <v>204.00039070377093</v>
      </c>
      <c r="M60" s="445"/>
      <c r="N60" s="445"/>
      <c r="O60" s="463"/>
    </row>
    <row r="61" spans="1:15" ht="15.75">
      <c r="A61" s="447">
        <v>45870</v>
      </c>
      <c r="B61" s="438">
        <v>26.524137931034485</v>
      </c>
      <c r="C61" s="439">
        <v>153.84</v>
      </c>
      <c r="D61" s="440">
        <v>2566150</v>
      </c>
      <c r="E61" s="440">
        <v>10609.655172413795</v>
      </c>
      <c r="F61" s="440">
        <v>2576759.6551724137</v>
      </c>
      <c r="G61" s="441">
        <v>97.147724908996352</v>
      </c>
      <c r="H61" s="442">
        <v>16.749607742930404</v>
      </c>
      <c r="J61" s="443">
        <v>12.61</v>
      </c>
      <c r="K61" s="444">
        <v>204.34255790423583</v>
      </c>
      <c r="M61" s="445"/>
      <c r="N61" s="445"/>
      <c r="O61" s="463"/>
    </row>
    <row r="62" spans="1:15" ht="16.5" thickBot="1">
      <c r="A62" s="448">
        <v>45901</v>
      </c>
      <c r="B62" s="438">
        <v>31.567241379310346</v>
      </c>
      <c r="C62" s="439">
        <v>183.09</v>
      </c>
      <c r="D62" s="440">
        <v>3064600</v>
      </c>
      <c r="E62" s="440">
        <v>12626.896551724139</v>
      </c>
      <c r="F62" s="440">
        <v>3077226.8965517241</v>
      </c>
      <c r="G62" s="441">
        <v>97.481653831449009</v>
      </c>
      <c r="H62" s="442">
        <v>16.807181695077418</v>
      </c>
      <c r="J62" s="443">
        <v>15.01</v>
      </c>
      <c r="K62" s="444">
        <v>205.01178524661719</v>
      </c>
      <c r="M62" s="445"/>
      <c r="N62" s="445"/>
      <c r="O62" s="463"/>
    </row>
    <row r="63" spans="1:15" ht="16.5" thickBot="1">
      <c r="A63" s="448">
        <v>45931</v>
      </c>
      <c r="B63" s="438">
        <v>79.306896551724137</v>
      </c>
      <c r="C63" s="439">
        <v>459.98</v>
      </c>
      <c r="D63" s="440">
        <v>7701950.0000000009</v>
      </c>
      <c r="E63" s="440">
        <v>31722.758620689656</v>
      </c>
      <c r="F63" s="440">
        <v>7733672.7586206906</v>
      </c>
      <c r="G63" s="441">
        <v>97.515765902865354</v>
      </c>
      <c r="H63" s="442">
        <v>16.813063086700922</v>
      </c>
      <c r="J63" s="443">
        <v>37.700000000000003</v>
      </c>
      <c r="K63" s="444">
        <v>205.13720845147719</v>
      </c>
      <c r="M63" s="445"/>
      <c r="N63" s="445"/>
      <c r="O63" s="463"/>
    </row>
    <row r="64" spans="1:15" ht="16.5" thickBot="1">
      <c r="A64" s="448">
        <v>45962</v>
      </c>
      <c r="B64" s="438">
        <v>61.236206896551728</v>
      </c>
      <c r="C64" s="439">
        <v>355.17</v>
      </c>
      <c r="D64" s="440">
        <v>5917780</v>
      </c>
      <c r="E64" s="440">
        <v>24494.482758620692</v>
      </c>
      <c r="F64" s="440">
        <v>5942274.4827586198</v>
      </c>
      <c r="G64" s="441">
        <v>97.038578708787327</v>
      </c>
      <c r="H64" s="442">
        <v>16.730789432549539</v>
      </c>
      <c r="J64" s="443">
        <v>29.11</v>
      </c>
      <c r="K64" s="444">
        <v>204.13172390101752</v>
      </c>
      <c r="M64" s="445"/>
      <c r="N64" s="445"/>
      <c r="O64" s="463"/>
    </row>
    <row r="65" spans="1:15" ht="16.5" thickBot="1">
      <c r="A65" s="448">
        <v>45992</v>
      </c>
      <c r="B65" s="438">
        <v>7.432758620689655</v>
      </c>
      <c r="C65" s="439">
        <v>43.11</v>
      </c>
      <c r="D65" s="440">
        <v>714460</v>
      </c>
      <c r="E65" s="440">
        <v>2973.1034482758623</v>
      </c>
      <c r="F65" s="440">
        <v>717433.10344827594</v>
      </c>
      <c r="G65" s="441">
        <v>96.523126884713534</v>
      </c>
      <c r="H65" s="442">
        <v>16.641918428398885</v>
      </c>
      <c r="J65" s="443">
        <v>3.54</v>
      </c>
      <c r="K65" s="444">
        <v>202.66471848821354</v>
      </c>
      <c r="M65" s="445"/>
      <c r="N65" s="445"/>
      <c r="O65" s="463"/>
    </row>
    <row r="66" spans="1:15" ht="16.5" thickBot="1">
      <c r="A66" s="448">
        <v>46023</v>
      </c>
      <c r="B66" s="438">
        <v>2.2137931034482761</v>
      </c>
      <c r="C66" s="439">
        <v>12.84</v>
      </c>
      <c r="D66" s="440">
        <v>214400</v>
      </c>
      <c r="E66" s="440">
        <v>885.51724137931046</v>
      </c>
      <c r="F66" s="440">
        <v>215285.51724137933</v>
      </c>
      <c r="G66" s="441">
        <v>97.247352024922122</v>
      </c>
      <c r="H66" s="442">
        <v>16.766784831883125</v>
      </c>
      <c r="J66" s="443">
        <v>1.05</v>
      </c>
      <c r="K66" s="444">
        <v>205.03382594417079</v>
      </c>
      <c r="M66" s="445"/>
      <c r="N66" s="445"/>
      <c r="O66" s="463"/>
    </row>
    <row r="67" spans="1:15" ht="16.5" thickBot="1">
      <c r="A67" s="448">
        <v>46054</v>
      </c>
      <c r="B67" s="438">
        <v>2.4689655172413794</v>
      </c>
      <c r="C67" s="439">
        <v>14.32</v>
      </c>
      <c r="D67" s="440">
        <v>238660</v>
      </c>
      <c r="E67" s="440">
        <v>987.58620689655174</v>
      </c>
      <c r="F67" s="440">
        <v>239647.58620689655</v>
      </c>
      <c r="G67" s="441">
        <v>97.063966480446936</v>
      </c>
      <c r="H67" s="442">
        <v>16.735166634559814</v>
      </c>
      <c r="J67" s="443">
        <v>1.17</v>
      </c>
      <c r="K67" s="444">
        <v>204.82699675803127</v>
      </c>
      <c r="M67" s="445"/>
      <c r="N67" s="445"/>
      <c r="O67" s="463"/>
    </row>
    <row r="68" spans="1:15" ht="16.5" thickBot="1">
      <c r="A68" s="448">
        <v>46082</v>
      </c>
      <c r="B68" s="438">
        <v>0</v>
      </c>
      <c r="C68" s="439">
        <v>0</v>
      </c>
      <c r="D68" s="440">
        <v>0</v>
      </c>
      <c r="E68" s="440">
        <v>0</v>
      </c>
      <c r="F68" s="440">
        <v>0</v>
      </c>
      <c r="G68" s="441">
        <v>0</v>
      </c>
      <c r="H68" s="442">
        <v>0</v>
      </c>
      <c r="J68" s="443">
        <v>0</v>
      </c>
      <c r="K68" s="444">
        <v>0</v>
      </c>
      <c r="M68" s="445"/>
      <c r="N68" s="445"/>
      <c r="O68" s="463"/>
    </row>
    <row r="69" spans="1:15" ht="16.5" thickBot="1">
      <c r="A69" s="448">
        <v>46113</v>
      </c>
      <c r="B69" s="438">
        <v>0</v>
      </c>
      <c r="C69" s="439">
        <v>0</v>
      </c>
      <c r="D69" s="440">
        <v>0</v>
      </c>
      <c r="E69" s="440">
        <v>0</v>
      </c>
      <c r="F69" s="440">
        <v>0</v>
      </c>
      <c r="G69" s="441">
        <v>0</v>
      </c>
      <c r="H69" s="442">
        <v>0</v>
      </c>
      <c r="J69" s="443">
        <v>0</v>
      </c>
      <c r="K69" s="444">
        <v>0</v>
      </c>
      <c r="M69" s="445"/>
      <c r="N69" s="445"/>
      <c r="O69" s="463"/>
    </row>
    <row r="70" spans="1:15" ht="16.5" thickBot="1">
      <c r="A70" s="448">
        <v>46143</v>
      </c>
      <c r="B70" s="438">
        <v>2.4137931034482758</v>
      </c>
      <c r="C70" s="439">
        <v>14</v>
      </c>
      <c r="D70" s="440">
        <v>231450</v>
      </c>
      <c r="E70" s="440">
        <v>965.51724137931035</v>
      </c>
      <c r="F70" s="440">
        <v>232415.5172413793</v>
      </c>
      <c r="G70" s="441">
        <v>96.286428571428573</v>
      </c>
      <c r="H70" s="442">
        <v>16.601108374384236</v>
      </c>
      <c r="J70" s="443">
        <v>1.1499999999999999</v>
      </c>
      <c r="K70" s="444">
        <v>202.10044977511245</v>
      </c>
      <c r="M70" s="445"/>
      <c r="N70" s="445"/>
      <c r="O70" s="463"/>
    </row>
    <row r="71" spans="1:15" ht="16.5" thickBot="1">
      <c r="A71" s="448">
        <v>46174</v>
      </c>
      <c r="B71" s="438">
        <v>29.896551724137932</v>
      </c>
      <c r="C71" s="439">
        <v>173.4</v>
      </c>
      <c r="D71" s="440">
        <v>2863510</v>
      </c>
      <c r="E71" s="440">
        <v>11958.620689655174</v>
      </c>
      <c r="F71" s="440">
        <v>2875468.6206896552</v>
      </c>
      <c r="G71" s="441">
        <v>96.180611303344875</v>
      </c>
      <c r="H71" s="442">
        <v>16.582864017818082</v>
      </c>
      <c r="J71" s="443">
        <v>14.22</v>
      </c>
      <c r="K71" s="444">
        <v>202.21298317086183</v>
      </c>
      <c r="M71" s="445"/>
      <c r="N71" s="445"/>
      <c r="O71" s="463"/>
    </row>
    <row r="72" spans="1:15" ht="16.5" thickBot="1">
      <c r="A72" s="449" t="s">
        <v>656</v>
      </c>
      <c r="B72" s="450">
        <v>300.61206896551715</v>
      </c>
      <c r="C72" s="451">
        <v>1743.55</v>
      </c>
      <c r="D72" s="452">
        <v>29071390</v>
      </c>
      <c r="E72" s="453">
        <v>120244.82758620691</v>
      </c>
      <c r="F72" s="452">
        <v>29191634.827586208</v>
      </c>
      <c r="G72" s="454">
        <v>97.107328152332911</v>
      </c>
      <c r="H72" s="455">
        <v>16.742642784884982</v>
      </c>
      <c r="I72" s="456"/>
      <c r="J72" s="450">
        <v>142.92000000000002</v>
      </c>
      <c r="K72" s="457">
        <v>204.25157310093903</v>
      </c>
      <c r="M72" s="458"/>
      <c r="N72" s="458"/>
      <c r="O72" s="465"/>
    </row>
    <row r="73" spans="1:15" ht="16.5" thickBot="1">
      <c r="A73" s="459"/>
      <c r="B73" s="460"/>
      <c r="J73" s="460"/>
      <c r="K73" s="466"/>
    </row>
    <row r="74" spans="1:15" ht="18.75" thickBot="1">
      <c r="A74" s="427" t="s">
        <v>2668</v>
      </c>
      <c r="B74" s="1277" t="s">
        <v>2684</v>
      </c>
      <c r="C74" s="1278"/>
      <c r="D74" s="1278"/>
      <c r="E74" s="1278"/>
      <c r="F74" s="1278"/>
      <c r="G74" s="1278"/>
      <c r="H74" s="1278"/>
      <c r="I74" s="1278"/>
      <c r="J74" s="1278"/>
      <c r="K74" s="1279"/>
    </row>
    <row r="75" spans="1:15" ht="16.5" thickBot="1">
      <c r="A75" s="427" t="s">
        <v>2670</v>
      </c>
      <c r="B75" s="1289" t="s">
        <v>2683</v>
      </c>
      <c r="C75" s="1290"/>
      <c r="D75" s="1290"/>
      <c r="E75" s="1290"/>
      <c r="F75" s="1290"/>
      <c r="G75" s="1290"/>
      <c r="H75" s="1290"/>
      <c r="I75" s="1290"/>
      <c r="J75" s="1290"/>
      <c r="K75" s="1291"/>
    </row>
    <row r="76" spans="1:15" ht="30.75" thickBot="1">
      <c r="B76" s="432" t="s">
        <v>2672</v>
      </c>
      <c r="C76" s="433" t="s">
        <v>2673</v>
      </c>
      <c r="D76" s="433" t="s">
        <v>2674</v>
      </c>
      <c r="E76" s="434" t="s">
        <v>2675</v>
      </c>
      <c r="F76" s="434" t="s">
        <v>2676</v>
      </c>
      <c r="G76" s="434" t="s">
        <v>2677</v>
      </c>
      <c r="H76" s="435" t="s">
        <v>2678</v>
      </c>
      <c r="J76" s="436" t="s">
        <v>2679</v>
      </c>
      <c r="K76" s="461" t="s">
        <v>2680</v>
      </c>
    </row>
    <row r="77" spans="1:15" ht="15.75">
      <c r="A77" s="467">
        <v>45839</v>
      </c>
      <c r="B77" s="438">
        <v>8.9603448275862068</v>
      </c>
      <c r="C77" s="439">
        <v>51.97</v>
      </c>
      <c r="D77" s="440">
        <v>865440</v>
      </c>
      <c r="E77" s="440">
        <v>3584.1379310344828</v>
      </c>
      <c r="F77" s="440">
        <v>869024.13793103443</v>
      </c>
      <c r="G77" s="441">
        <v>96.985568597267658</v>
      </c>
      <c r="H77" s="442">
        <v>16.721649758149596</v>
      </c>
      <c r="J77" s="443">
        <v>3.87</v>
      </c>
      <c r="K77" s="444">
        <v>224.55404080905282</v>
      </c>
      <c r="M77" s="445"/>
      <c r="N77" s="445"/>
      <c r="O77" s="463"/>
    </row>
    <row r="78" spans="1:15" ht="15.75">
      <c r="A78" s="447">
        <v>45870</v>
      </c>
      <c r="B78" s="438">
        <v>0.96724137931034493</v>
      </c>
      <c r="C78" s="439">
        <v>5.61</v>
      </c>
      <c r="D78" s="440">
        <v>93600</v>
      </c>
      <c r="E78" s="440">
        <v>386.89655172413802</v>
      </c>
      <c r="F78" s="440">
        <v>93986.89655172413</v>
      </c>
      <c r="G78" s="441">
        <v>97.170053475935816</v>
      </c>
      <c r="H78" s="442">
        <v>16.753457495851002</v>
      </c>
      <c r="J78" s="443">
        <v>0.42</v>
      </c>
      <c r="K78" s="444">
        <v>223.77832512315268</v>
      </c>
      <c r="M78" s="445"/>
      <c r="N78" s="445"/>
      <c r="O78" s="463"/>
    </row>
    <row r="79" spans="1:15" ht="15.75">
      <c r="A79" s="447">
        <v>45901</v>
      </c>
      <c r="B79" s="438">
        <v>10.589655172413794</v>
      </c>
      <c r="C79" s="439">
        <v>61.42</v>
      </c>
      <c r="D79" s="440">
        <v>1028060</v>
      </c>
      <c r="E79" s="440">
        <v>4235.8620689655181</v>
      </c>
      <c r="F79" s="440">
        <v>1032295.8620689656</v>
      </c>
      <c r="G79" s="441">
        <v>97.481536958645393</v>
      </c>
      <c r="H79" s="442">
        <v>16.807161544594035</v>
      </c>
      <c r="J79" s="443">
        <v>4.57</v>
      </c>
      <c r="K79" s="444">
        <v>225.88530898664453</v>
      </c>
      <c r="M79" s="445"/>
      <c r="N79" s="445"/>
      <c r="O79" s="463"/>
    </row>
    <row r="80" spans="1:15" ht="15.75">
      <c r="A80" s="447">
        <v>45931</v>
      </c>
      <c r="B80" s="438">
        <v>15.558620689655172</v>
      </c>
      <c r="C80" s="439">
        <v>90.24</v>
      </c>
      <c r="D80" s="440">
        <v>1510930</v>
      </c>
      <c r="E80" s="440">
        <v>6223.4482758620688</v>
      </c>
      <c r="F80" s="440">
        <v>1517153.448275862</v>
      </c>
      <c r="G80" s="441">
        <v>97.512078900709227</v>
      </c>
      <c r="H80" s="442">
        <v>16.812427396674003</v>
      </c>
      <c r="J80" s="443">
        <v>6.71</v>
      </c>
      <c r="K80" s="444">
        <v>226.10334549565752</v>
      </c>
      <c r="M80" s="445"/>
      <c r="N80" s="445"/>
      <c r="O80" s="463"/>
    </row>
    <row r="81" spans="1:15" ht="15.75">
      <c r="A81" s="447">
        <v>45962</v>
      </c>
      <c r="B81" s="438">
        <v>6.8465517241379317</v>
      </c>
      <c r="C81" s="439">
        <v>39.71</v>
      </c>
      <c r="D81" s="440">
        <v>661630</v>
      </c>
      <c r="E81" s="440">
        <v>2738.620689655173</v>
      </c>
      <c r="F81" s="440">
        <v>664368.62068965519</v>
      </c>
      <c r="G81" s="441">
        <v>97.036968018131432</v>
      </c>
      <c r="H81" s="442">
        <v>16.730511727264041</v>
      </c>
      <c r="J81" s="443">
        <v>2.95</v>
      </c>
      <c r="K81" s="444">
        <v>225.20970192869663</v>
      </c>
      <c r="M81" s="445"/>
      <c r="N81" s="445"/>
      <c r="O81" s="463"/>
    </row>
    <row r="82" spans="1:15" ht="15.75">
      <c r="A82" s="447">
        <v>45992</v>
      </c>
      <c r="B82" s="438">
        <v>0</v>
      </c>
      <c r="C82" s="439">
        <v>0</v>
      </c>
      <c r="D82" s="440">
        <v>0</v>
      </c>
      <c r="E82" s="440">
        <v>0</v>
      </c>
      <c r="F82" s="440">
        <v>0</v>
      </c>
      <c r="G82" s="441">
        <v>0</v>
      </c>
      <c r="H82" s="442">
        <v>0</v>
      </c>
      <c r="J82" s="443">
        <v>0</v>
      </c>
      <c r="K82" s="444">
        <v>0</v>
      </c>
      <c r="M82" s="445"/>
      <c r="N82" s="445"/>
      <c r="O82" s="463"/>
    </row>
    <row r="83" spans="1:15" ht="15.75">
      <c r="A83" s="447">
        <v>46023</v>
      </c>
      <c r="B83" s="438">
        <v>0</v>
      </c>
      <c r="C83" s="439">
        <v>0</v>
      </c>
      <c r="D83" s="440">
        <v>0</v>
      </c>
      <c r="E83" s="440">
        <v>0</v>
      </c>
      <c r="F83" s="440">
        <v>0</v>
      </c>
      <c r="G83" s="441">
        <v>0</v>
      </c>
      <c r="H83" s="442">
        <v>0</v>
      </c>
      <c r="J83" s="443">
        <v>0</v>
      </c>
      <c r="K83" s="444">
        <v>0</v>
      </c>
      <c r="M83" s="445"/>
      <c r="N83" s="445"/>
      <c r="O83" s="463"/>
    </row>
    <row r="84" spans="1:15" ht="15.75">
      <c r="A84" s="447">
        <v>46054</v>
      </c>
      <c r="B84" s="438">
        <v>0</v>
      </c>
      <c r="C84" s="439">
        <v>0</v>
      </c>
      <c r="D84" s="440">
        <v>0</v>
      </c>
      <c r="E84" s="440">
        <v>0</v>
      </c>
      <c r="F84" s="440">
        <v>0</v>
      </c>
      <c r="G84" s="441">
        <v>0</v>
      </c>
      <c r="H84" s="442">
        <v>0</v>
      </c>
      <c r="J84" s="443">
        <v>0</v>
      </c>
      <c r="K84" s="444">
        <v>0</v>
      </c>
      <c r="M84" s="445"/>
      <c r="N84" s="445"/>
      <c r="O84" s="463"/>
    </row>
    <row r="85" spans="1:15" ht="15.75">
      <c r="A85" s="447">
        <v>46082</v>
      </c>
      <c r="B85" s="438">
        <v>0</v>
      </c>
      <c r="C85" s="439">
        <v>0</v>
      </c>
      <c r="D85" s="440">
        <v>0</v>
      </c>
      <c r="E85" s="440">
        <v>0</v>
      </c>
      <c r="F85" s="440">
        <v>0</v>
      </c>
      <c r="G85" s="441">
        <v>0</v>
      </c>
      <c r="H85" s="442">
        <v>0</v>
      </c>
      <c r="J85" s="443">
        <v>0</v>
      </c>
      <c r="K85" s="444">
        <v>0</v>
      </c>
      <c r="M85" s="445"/>
      <c r="N85" s="445"/>
      <c r="O85" s="463"/>
    </row>
    <row r="86" spans="1:15" ht="15.75">
      <c r="A86" s="447">
        <v>46113</v>
      </c>
      <c r="B86" s="438">
        <v>0</v>
      </c>
      <c r="C86" s="439">
        <v>0</v>
      </c>
      <c r="D86" s="440">
        <v>0</v>
      </c>
      <c r="E86" s="440">
        <v>0</v>
      </c>
      <c r="F86" s="440">
        <v>0</v>
      </c>
      <c r="G86" s="441">
        <v>0</v>
      </c>
      <c r="H86" s="442">
        <v>0</v>
      </c>
      <c r="J86" s="443">
        <v>0</v>
      </c>
      <c r="K86" s="444">
        <v>0</v>
      </c>
      <c r="M86" s="445"/>
      <c r="N86" s="445"/>
      <c r="O86" s="463"/>
    </row>
    <row r="87" spans="1:15" ht="15.75">
      <c r="A87" s="447">
        <v>46143</v>
      </c>
      <c r="B87" s="438">
        <v>0</v>
      </c>
      <c r="C87" s="439">
        <v>0</v>
      </c>
      <c r="D87" s="440">
        <v>0</v>
      </c>
      <c r="E87" s="440">
        <v>0</v>
      </c>
      <c r="F87" s="440">
        <v>0</v>
      </c>
      <c r="G87" s="441">
        <v>0</v>
      </c>
      <c r="H87" s="442">
        <v>0</v>
      </c>
      <c r="J87" s="443">
        <v>0</v>
      </c>
      <c r="K87" s="444">
        <v>0</v>
      </c>
      <c r="M87" s="445"/>
      <c r="N87" s="445"/>
      <c r="O87" s="463"/>
    </row>
    <row r="88" spans="1:15" ht="16.5" thickBot="1">
      <c r="A88" s="447">
        <v>46174</v>
      </c>
      <c r="B88" s="438">
        <v>0</v>
      </c>
      <c r="C88" s="439">
        <v>0</v>
      </c>
      <c r="D88" s="440">
        <v>0</v>
      </c>
      <c r="E88" s="440">
        <v>0</v>
      </c>
      <c r="F88" s="440">
        <v>0</v>
      </c>
      <c r="G88" s="441">
        <v>0</v>
      </c>
      <c r="H88" s="442">
        <v>0</v>
      </c>
      <c r="J88" s="443">
        <v>0</v>
      </c>
      <c r="K88" s="444">
        <v>0</v>
      </c>
      <c r="M88" s="445"/>
      <c r="N88" s="445"/>
      <c r="O88" s="463"/>
    </row>
    <row r="89" spans="1:15" ht="16.5" thickBot="1">
      <c r="A89" s="464" t="s">
        <v>656</v>
      </c>
      <c r="B89" s="450">
        <v>42.922413793103452</v>
      </c>
      <c r="C89" s="451">
        <v>248.95000000000002</v>
      </c>
      <c r="D89" s="452">
        <v>4159660</v>
      </c>
      <c r="E89" s="453">
        <v>17168.96551724138</v>
      </c>
      <c r="F89" s="452">
        <v>4176828.965517241</v>
      </c>
      <c r="G89" s="454">
        <v>97.311138782888122</v>
      </c>
      <c r="H89" s="455">
        <v>16.777782548773814</v>
      </c>
      <c r="I89" s="456"/>
      <c r="J89" s="450">
        <v>18.52</v>
      </c>
      <c r="K89" s="457">
        <v>225.53072168019662</v>
      </c>
      <c r="M89" s="458"/>
      <c r="N89" s="458"/>
      <c r="O89" s="465"/>
    </row>
    <row r="90" spans="1:15" ht="15" thickBot="1"/>
    <row r="91" spans="1:15" ht="18.75" thickBot="1">
      <c r="A91" s="427" t="s">
        <v>2668</v>
      </c>
      <c r="B91" s="1277" t="s">
        <v>2685</v>
      </c>
      <c r="C91" s="1278"/>
      <c r="D91" s="1278"/>
      <c r="E91" s="1278"/>
      <c r="F91" s="1278"/>
      <c r="G91" s="1278"/>
      <c r="H91" s="1278"/>
      <c r="I91" s="1278"/>
      <c r="J91" s="1278"/>
      <c r="K91" s="1279"/>
    </row>
    <row r="92" spans="1:15" ht="16.5" thickBot="1">
      <c r="A92" s="427" t="s">
        <v>2670</v>
      </c>
      <c r="B92" s="1289" t="s">
        <v>2683</v>
      </c>
      <c r="C92" s="1290"/>
      <c r="D92" s="1290"/>
      <c r="E92" s="1290"/>
      <c r="F92" s="1290"/>
      <c r="G92" s="1290"/>
      <c r="H92" s="1290"/>
      <c r="I92" s="1290"/>
      <c r="J92" s="1290"/>
      <c r="K92" s="1291"/>
    </row>
    <row r="93" spans="1:15" ht="30.75" thickBot="1">
      <c r="A93" s="431"/>
      <c r="B93" s="432" t="s">
        <v>2672</v>
      </c>
      <c r="C93" s="433" t="s">
        <v>2673</v>
      </c>
      <c r="D93" s="433" t="s">
        <v>2674</v>
      </c>
      <c r="E93" s="434" t="s">
        <v>2675</v>
      </c>
      <c r="F93" s="434" t="s">
        <v>2676</v>
      </c>
      <c r="G93" s="434" t="s">
        <v>2677</v>
      </c>
      <c r="H93" s="435" t="s">
        <v>2678</v>
      </c>
      <c r="I93" s="468"/>
      <c r="J93" s="436" t="s">
        <v>2679</v>
      </c>
      <c r="K93" s="461" t="s">
        <v>2680</v>
      </c>
    </row>
    <row r="94" spans="1:15" ht="15.75">
      <c r="A94" s="462">
        <v>45839</v>
      </c>
      <c r="B94" s="438">
        <v>107.67413793103451</v>
      </c>
      <c r="C94" s="439">
        <v>624.5100000000001</v>
      </c>
      <c r="D94" s="440">
        <v>10399210</v>
      </c>
      <c r="E94" s="440">
        <v>43069.655172413804</v>
      </c>
      <c r="F94" s="440">
        <v>10442279.655172413</v>
      </c>
      <c r="G94" s="441">
        <v>96.980387824054034</v>
      </c>
      <c r="H94" s="442">
        <v>16.720756521388626</v>
      </c>
      <c r="I94" s="468"/>
      <c r="J94" s="469">
        <v>56.660000000000011</v>
      </c>
      <c r="K94" s="444">
        <v>184.29720535073088</v>
      </c>
      <c r="M94" s="445"/>
      <c r="N94" s="445"/>
      <c r="O94" s="463"/>
    </row>
    <row r="95" spans="1:15" ht="15.75">
      <c r="A95" s="447">
        <v>45870</v>
      </c>
      <c r="B95" s="438">
        <v>79.618965517241378</v>
      </c>
      <c r="C95" s="439">
        <v>461.78999999999996</v>
      </c>
      <c r="D95" s="440">
        <v>7702940.0000000009</v>
      </c>
      <c r="E95" s="440">
        <v>31847.586206896551</v>
      </c>
      <c r="F95" s="440">
        <v>7734787.5862068972</v>
      </c>
      <c r="G95" s="441">
        <v>97.14755191753828</v>
      </c>
      <c r="H95" s="442">
        <v>16.749577916816946</v>
      </c>
      <c r="I95" s="468"/>
      <c r="J95" s="469">
        <v>41.09</v>
      </c>
      <c r="K95" s="444">
        <v>188.24014568524936</v>
      </c>
      <c r="M95" s="445"/>
      <c r="N95" s="445"/>
      <c r="O95" s="463"/>
    </row>
    <row r="96" spans="1:15" ht="15.75">
      <c r="A96" s="447">
        <v>45901</v>
      </c>
      <c r="B96" s="438">
        <v>91.218965517241372</v>
      </c>
      <c r="C96" s="439">
        <v>529.06999999999994</v>
      </c>
      <c r="D96" s="440">
        <v>8855599.9999999981</v>
      </c>
      <c r="E96" s="440">
        <v>36487.586206896551</v>
      </c>
      <c r="F96" s="440">
        <v>8892087.5862068944</v>
      </c>
      <c r="G96" s="441">
        <v>97.480688755741198</v>
      </c>
      <c r="H96" s="442">
        <v>16.807015302713999</v>
      </c>
      <c r="I96" s="468"/>
      <c r="J96" s="469">
        <v>47.370000000000005</v>
      </c>
      <c r="K96" s="444">
        <v>187.71559185575035</v>
      </c>
      <c r="M96" s="445"/>
      <c r="N96" s="445"/>
      <c r="O96" s="463"/>
    </row>
    <row r="97" spans="1:15" ht="15.75">
      <c r="A97" s="447">
        <v>45931</v>
      </c>
      <c r="B97" s="438">
        <v>126.9603448275862</v>
      </c>
      <c r="C97" s="439">
        <v>736.36999999999989</v>
      </c>
      <c r="D97" s="440">
        <v>12329490.000000002</v>
      </c>
      <c r="E97" s="440">
        <v>50784.137931034478</v>
      </c>
      <c r="F97" s="440">
        <v>12380274.137931036</v>
      </c>
      <c r="G97" s="441">
        <v>97.512921493271065</v>
      </c>
      <c r="H97" s="442">
        <v>16.812572671253633</v>
      </c>
      <c r="J97" s="469">
        <v>66.42</v>
      </c>
      <c r="K97" s="444">
        <v>186.39376901431851</v>
      </c>
      <c r="M97" s="445"/>
      <c r="N97" s="445"/>
      <c r="O97" s="463"/>
    </row>
    <row r="98" spans="1:15" ht="15.75">
      <c r="A98" s="447">
        <v>45962</v>
      </c>
      <c r="B98" s="438">
        <v>91.57586206896552</v>
      </c>
      <c r="C98" s="439">
        <v>531.14</v>
      </c>
      <c r="D98" s="440">
        <v>8849680</v>
      </c>
      <c r="E98" s="440">
        <v>36630.34482758621</v>
      </c>
      <c r="F98" s="440">
        <v>8886310.3448275868</v>
      </c>
      <c r="G98" s="441">
        <v>97.037692510449233</v>
      </c>
      <c r="H98" s="442">
        <v>16.730636639732626</v>
      </c>
      <c r="J98" s="469">
        <v>47.5</v>
      </c>
      <c r="K98" s="444">
        <v>187.08021778584393</v>
      </c>
      <c r="M98" s="445"/>
      <c r="N98" s="445"/>
      <c r="O98" s="463"/>
    </row>
    <row r="99" spans="1:15" ht="15.75">
      <c r="A99" s="447">
        <v>45992</v>
      </c>
      <c r="B99" s="438">
        <v>12.648275862068965</v>
      </c>
      <c r="C99" s="439">
        <v>73.36</v>
      </c>
      <c r="D99" s="440">
        <v>1215810</v>
      </c>
      <c r="E99" s="440">
        <v>5059.310344827587</v>
      </c>
      <c r="F99" s="440">
        <v>1220869.3103448274</v>
      </c>
      <c r="G99" s="441">
        <v>96.524563794983635</v>
      </c>
      <c r="H99" s="442">
        <v>16.642166171548901</v>
      </c>
      <c r="J99" s="469">
        <v>6.66</v>
      </c>
      <c r="K99" s="444">
        <v>183.3137102619861</v>
      </c>
      <c r="M99" s="445"/>
      <c r="N99" s="445"/>
      <c r="O99" s="463"/>
    </row>
    <row r="100" spans="1:15" ht="15.75">
      <c r="A100" s="447">
        <v>46023</v>
      </c>
      <c r="B100" s="438">
        <v>1.9689655172413794</v>
      </c>
      <c r="C100" s="439">
        <v>11.42</v>
      </c>
      <c r="D100" s="440">
        <v>190680</v>
      </c>
      <c r="E100" s="440">
        <v>787.58620689655174</v>
      </c>
      <c r="F100" s="440">
        <v>191467.58620689655</v>
      </c>
      <c r="G100" s="441">
        <v>97.242732049036775</v>
      </c>
      <c r="H100" s="442">
        <v>16.765988284316688</v>
      </c>
      <c r="J100" s="469">
        <v>1.0900000000000001</v>
      </c>
      <c r="K100" s="444">
        <v>175.65833596962986</v>
      </c>
      <c r="M100" s="445"/>
      <c r="N100" s="445"/>
      <c r="O100" s="463"/>
    </row>
    <row r="101" spans="1:15" ht="15.75">
      <c r="A101" s="447">
        <v>46054</v>
      </c>
      <c r="B101" s="438">
        <v>7.4862068965517246</v>
      </c>
      <c r="C101" s="439">
        <v>43.42</v>
      </c>
      <c r="D101" s="440">
        <v>723970</v>
      </c>
      <c r="E101" s="440">
        <v>2994.4827586206898</v>
      </c>
      <c r="F101" s="440">
        <v>726964.48275862075</v>
      </c>
      <c r="G101" s="441">
        <v>97.107185628742513</v>
      </c>
      <c r="H101" s="442">
        <v>16.742618211852157</v>
      </c>
      <c r="J101" s="469">
        <v>4.0999999999999996</v>
      </c>
      <c r="K101" s="444">
        <v>177.30841042893192</v>
      </c>
      <c r="M101" s="445"/>
      <c r="N101" s="445"/>
      <c r="O101" s="463"/>
    </row>
    <row r="102" spans="1:15" ht="15.75">
      <c r="A102" s="447">
        <v>46082</v>
      </c>
      <c r="B102" s="438">
        <v>4.246551724137932</v>
      </c>
      <c r="C102" s="439">
        <v>24.630000000000003</v>
      </c>
      <c r="D102" s="440">
        <v>409750</v>
      </c>
      <c r="E102" s="440">
        <v>1698.620689655173</v>
      </c>
      <c r="F102" s="440">
        <v>411448.62068965519</v>
      </c>
      <c r="G102" s="441">
        <v>96.89005278116116</v>
      </c>
      <c r="H102" s="442">
        <v>16.705181513993306</v>
      </c>
      <c r="J102" s="469">
        <v>2.2400000000000002</v>
      </c>
      <c r="K102" s="444">
        <v>183.6824199507389</v>
      </c>
      <c r="M102" s="445"/>
      <c r="N102" s="445"/>
      <c r="O102" s="463"/>
    </row>
    <row r="103" spans="1:15" ht="15.75">
      <c r="A103" s="447">
        <v>46113</v>
      </c>
      <c r="B103" s="438">
        <v>0.81034482758620685</v>
      </c>
      <c r="C103" s="439">
        <v>4.6999999999999993</v>
      </c>
      <c r="D103" s="440">
        <v>77910</v>
      </c>
      <c r="E103" s="440">
        <v>324.13793103448273</v>
      </c>
      <c r="F103" s="440">
        <v>78234.137931034478</v>
      </c>
      <c r="G103" s="441">
        <v>96.544255319148945</v>
      </c>
      <c r="H103" s="442">
        <v>16.645561261922232</v>
      </c>
      <c r="J103" s="469">
        <v>0.44</v>
      </c>
      <c r="K103" s="444">
        <v>177.80485893416929</v>
      </c>
      <c r="M103" s="445"/>
      <c r="N103" s="445"/>
      <c r="O103" s="463"/>
    </row>
    <row r="104" spans="1:15" ht="15.75">
      <c r="A104" s="447">
        <v>46143</v>
      </c>
      <c r="B104" s="438">
        <v>7.3603448275862071</v>
      </c>
      <c r="C104" s="439">
        <v>42.69</v>
      </c>
      <c r="D104" s="440">
        <v>705569.99999999988</v>
      </c>
      <c r="E104" s="440">
        <v>2944.1379310344828</v>
      </c>
      <c r="F104" s="440">
        <v>708514.13793103443</v>
      </c>
      <c r="G104" s="441">
        <v>96.260997891777919</v>
      </c>
      <c r="H104" s="442">
        <v>16.59672377444447</v>
      </c>
      <c r="J104" s="469">
        <v>3.8400000000000007</v>
      </c>
      <c r="K104" s="444">
        <v>184.50889008620683</v>
      </c>
      <c r="M104" s="445"/>
      <c r="N104" s="445"/>
      <c r="O104" s="463"/>
    </row>
    <row r="105" spans="1:15" ht="16.5" thickBot="1">
      <c r="A105" s="447">
        <v>46174</v>
      </c>
      <c r="B105" s="438">
        <v>75.493103448275861</v>
      </c>
      <c r="C105" s="439">
        <v>437.86</v>
      </c>
      <c r="D105" s="440">
        <v>7230599.9999999991</v>
      </c>
      <c r="E105" s="440">
        <v>30197.241379310344</v>
      </c>
      <c r="F105" s="440">
        <v>7260797.2413793094</v>
      </c>
      <c r="G105" s="441">
        <v>96.178285296670154</v>
      </c>
      <c r="H105" s="442">
        <v>16.582462982184509</v>
      </c>
      <c r="J105" s="469">
        <v>38</v>
      </c>
      <c r="K105" s="444">
        <v>191.073611615245</v>
      </c>
      <c r="M105" s="445"/>
      <c r="N105" s="445"/>
      <c r="O105" s="463"/>
    </row>
    <row r="106" spans="1:15" ht="16.5" thickBot="1">
      <c r="A106" s="464" t="s">
        <v>656</v>
      </c>
      <c r="B106" s="450">
        <v>607.06206896551726</v>
      </c>
      <c r="C106" s="451">
        <v>3520.96</v>
      </c>
      <c r="D106" s="452">
        <v>58691210.000000007</v>
      </c>
      <c r="E106" s="453">
        <v>242824.8275862069</v>
      </c>
      <c r="F106" s="452">
        <v>58934034.827586211</v>
      </c>
      <c r="G106" s="454">
        <v>97.08073991184223</v>
      </c>
      <c r="H106" s="455">
        <v>16.738058605490039</v>
      </c>
      <c r="I106" s="456"/>
      <c r="J106" s="450">
        <v>315.41000000000003</v>
      </c>
      <c r="K106" s="457">
        <v>186.84897380421106</v>
      </c>
      <c r="M106" s="458"/>
      <c r="N106" s="458"/>
      <c r="O106" s="465"/>
    </row>
    <row r="107" spans="1:15" ht="15" thickBot="1"/>
    <row r="108" spans="1:15" ht="18.75" thickBot="1">
      <c r="A108" s="427" t="s">
        <v>2668</v>
      </c>
      <c r="B108" s="1277" t="s">
        <v>2686</v>
      </c>
      <c r="C108" s="1278"/>
      <c r="D108" s="1278"/>
      <c r="E108" s="1278"/>
      <c r="F108" s="1278"/>
      <c r="G108" s="1278"/>
      <c r="H108" s="1278"/>
      <c r="I108" s="1278"/>
      <c r="J108" s="1279"/>
    </row>
    <row r="109" spans="1:15" ht="16.5" thickBot="1">
      <c r="A109" s="427" t="s">
        <v>2670</v>
      </c>
      <c r="B109" s="1289" t="s">
        <v>2687</v>
      </c>
      <c r="C109" s="1290"/>
      <c r="D109" s="1290"/>
      <c r="E109" s="1290"/>
      <c r="F109" s="1290"/>
      <c r="G109" s="1290"/>
      <c r="H109" s="1290"/>
      <c r="I109" s="1290"/>
      <c r="J109" s="1290"/>
      <c r="K109" s="428"/>
    </row>
    <row r="110" spans="1:15" ht="30.75" thickBot="1">
      <c r="B110" s="470" t="s">
        <v>2688</v>
      </c>
      <c r="C110" s="433" t="s">
        <v>2673</v>
      </c>
      <c r="D110" s="471" t="s">
        <v>2689</v>
      </c>
      <c r="E110" s="433" t="s">
        <v>2690</v>
      </c>
      <c r="F110" s="433" t="s">
        <v>2677</v>
      </c>
      <c r="G110" s="472" t="s">
        <v>2678</v>
      </c>
      <c r="H110" s="468"/>
      <c r="I110" s="436" t="s">
        <v>2679</v>
      </c>
      <c r="J110" s="461" t="s">
        <v>2680</v>
      </c>
    </row>
    <row r="111" spans="1:15" ht="15.75">
      <c r="A111" s="467">
        <v>45839</v>
      </c>
      <c r="B111" s="473">
        <v>2294771.4285714291</v>
      </c>
      <c r="C111" s="439">
        <v>2409.5100000000002</v>
      </c>
      <c r="D111" s="474">
        <v>415.4327586206897</v>
      </c>
      <c r="E111" s="440">
        <v>26187060</v>
      </c>
      <c r="F111" s="475">
        <v>63.03561637013334</v>
      </c>
      <c r="G111" s="476">
        <v>10.868209718988508</v>
      </c>
      <c r="I111" s="443">
        <v>303.14</v>
      </c>
      <c r="J111" s="444">
        <v>86.386026258494439</v>
      </c>
      <c r="L111" s="477"/>
      <c r="M111" s="445"/>
    </row>
    <row r="112" spans="1:15" ht="15.75">
      <c r="A112" s="447">
        <v>45870</v>
      </c>
      <c r="B112" s="473">
        <v>2133009.5238095238</v>
      </c>
      <c r="C112" s="439">
        <v>2239.66</v>
      </c>
      <c r="D112" s="474">
        <v>386.14827586206894</v>
      </c>
      <c r="E112" s="440">
        <v>24495660</v>
      </c>
      <c r="F112" s="475">
        <v>63.435891162051384</v>
      </c>
      <c r="G112" s="476">
        <v>10.937222614146791</v>
      </c>
      <c r="I112" s="443">
        <v>279.68</v>
      </c>
      <c r="J112" s="444">
        <v>87.584596681922193</v>
      </c>
      <c r="M112" s="445"/>
      <c r="O112" s="463"/>
    </row>
    <row r="113" spans="1:20" ht="15.75">
      <c r="A113" s="447">
        <v>45901</v>
      </c>
      <c r="B113" s="473">
        <v>2075742.8571428575</v>
      </c>
      <c r="C113" s="439">
        <v>2179.5300000000002</v>
      </c>
      <c r="D113" s="474">
        <v>375.78103448275868</v>
      </c>
      <c r="E113" s="440">
        <v>23742760</v>
      </c>
      <c r="F113" s="475">
        <v>63.18243290984752</v>
      </c>
      <c r="G113" s="478">
        <v>10.893522915490953</v>
      </c>
      <c r="I113" s="443">
        <v>273.55</v>
      </c>
      <c r="J113" s="444">
        <v>86.794955218424406</v>
      </c>
      <c r="M113" s="445"/>
      <c r="O113" s="463"/>
    </row>
    <row r="114" spans="1:20" ht="15.75">
      <c r="A114" s="447">
        <v>45931</v>
      </c>
      <c r="B114" s="473">
        <v>1730457.142857143</v>
      </c>
      <c r="C114" s="439">
        <v>1816.98</v>
      </c>
      <c r="D114" s="474">
        <v>313.27241379310345</v>
      </c>
      <c r="E114" s="440">
        <v>19855970</v>
      </c>
      <c r="F114" s="475">
        <v>63.382440092901412</v>
      </c>
      <c r="G114" s="478">
        <v>10.928006912569209</v>
      </c>
      <c r="I114" s="443">
        <v>228.66</v>
      </c>
      <c r="J114" s="444">
        <v>86.836219714860505</v>
      </c>
      <c r="M114" s="445"/>
      <c r="O114" s="463"/>
    </row>
    <row r="115" spans="1:20" ht="15.75">
      <c r="A115" s="447">
        <v>45962</v>
      </c>
      <c r="B115" s="473">
        <v>2218923.8095238097</v>
      </c>
      <c r="C115" s="439">
        <v>2329.87</v>
      </c>
      <c r="D115" s="474">
        <v>401.70172413793102</v>
      </c>
      <c r="E115" s="440">
        <v>26119980</v>
      </c>
      <c r="F115" s="475">
        <v>65.023320614454889</v>
      </c>
      <c r="G115" s="478">
        <v>11.210917347319809</v>
      </c>
      <c r="I115" s="443">
        <v>293.04000000000002</v>
      </c>
      <c r="J115" s="444">
        <v>89.134520884520882</v>
      </c>
      <c r="M115" s="445"/>
      <c r="O115" s="463"/>
    </row>
    <row r="116" spans="1:20" ht="15.75">
      <c r="A116" s="447">
        <v>45992</v>
      </c>
      <c r="B116" s="473">
        <v>2102028.5714285718</v>
      </c>
      <c r="C116" s="439">
        <v>2207.13</v>
      </c>
      <c r="D116" s="474">
        <v>380.5396551724138</v>
      </c>
      <c r="E116" s="440">
        <v>25825170</v>
      </c>
      <c r="F116" s="475">
        <v>67.864596104443322</v>
      </c>
      <c r="G116" s="478">
        <v>11.700792431800572</v>
      </c>
      <c r="I116" s="443">
        <v>275.07</v>
      </c>
      <c r="J116" s="444">
        <v>93.885810884502121</v>
      </c>
      <c r="M116" s="445"/>
      <c r="O116" s="463"/>
    </row>
    <row r="117" spans="1:20" ht="15.75">
      <c r="A117" s="447">
        <v>46023</v>
      </c>
      <c r="B117" s="473">
        <v>1975390.4761904762</v>
      </c>
      <c r="C117" s="439">
        <v>2074.16</v>
      </c>
      <c r="D117" s="474">
        <v>357.61379310344824</v>
      </c>
      <c r="E117" s="440">
        <v>24827520</v>
      </c>
      <c r="F117" s="475">
        <v>69.425510086010732</v>
      </c>
      <c r="G117" s="478">
        <v>11.969915532070814</v>
      </c>
      <c r="I117" s="443">
        <v>254.1</v>
      </c>
      <c r="J117" s="444">
        <v>97.707674144037782</v>
      </c>
      <c r="M117" s="445"/>
      <c r="O117" s="463"/>
    </row>
    <row r="118" spans="1:20" ht="15.75">
      <c r="A118" s="447">
        <v>46054</v>
      </c>
      <c r="B118" s="473">
        <v>1381590.4761904764</v>
      </c>
      <c r="C118" s="439">
        <v>1450.67</v>
      </c>
      <c r="D118" s="474">
        <v>250.11551724137934</v>
      </c>
      <c r="E118" s="440">
        <v>16663650.000000002</v>
      </c>
      <c r="F118" s="475">
        <v>66.62381520263051</v>
      </c>
      <c r="G118" s="478">
        <v>11.486864690108709</v>
      </c>
      <c r="I118" s="443">
        <v>180</v>
      </c>
      <c r="J118" s="444">
        <v>92.575833333333335</v>
      </c>
      <c r="M118" s="445"/>
      <c r="O118" s="463"/>
    </row>
    <row r="119" spans="1:20" ht="15.75">
      <c r="A119" s="447">
        <v>46082</v>
      </c>
      <c r="B119" s="473">
        <v>1814019.0476190478</v>
      </c>
      <c r="C119" s="439">
        <v>1904.72</v>
      </c>
      <c r="D119" s="474">
        <v>328.40000000000003</v>
      </c>
      <c r="E119" s="440">
        <v>20477500</v>
      </c>
      <c r="F119" s="475">
        <v>62.355359317904984</v>
      </c>
      <c r="G119" s="478">
        <v>10.750924020328448</v>
      </c>
      <c r="I119" s="443">
        <v>224.19</v>
      </c>
      <c r="J119" s="444">
        <v>91.339934876667115</v>
      </c>
      <c r="M119" s="445"/>
      <c r="O119" s="463"/>
    </row>
    <row r="120" spans="1:20" ht="15.75">
      <c r="A120" s="447">
        <v>46113</v>
      </c>
      <c r="B120" s="473">
        <v>2115171.4285714286</v>
      </c>
      <c r="C120" s="439">
        <v>2220.9299999999998</v>
      </c>
      <c r="D120" s="474">
        <v>382.91896551724136</v>
      </c>
      <c r="E120" s="440">
        <v>22579560</v>
      </c>
      <c r="F120" s="475">
        <v>58.966940876119473</v>
      </c>
      <c r="G120" s="478">
        <v>10.166713944158529</v>
      </c>
      <c r="I120" s="443">
        <v>278.12</v>
      </c>
      <c r="J120" s="444">
        <v>81.186394362145833</v>
      </c>
      <c r="M120" s="445"/>
      <c r="O120" s="463"/>
    </row>
    <row r="121" spans="1:20" ht="15.75">
      <c r="A121" s="447">
        <v>46143</v>
      </c>
      <c r="B121" s="473">
        <v>2284752.3809523811</v>
      </c>
      <c r="C121" s="439">
        <v>2398.9899999999998</v>
      </c>
      <c r="D121" s="474">
        <v>413.61896551724135</v>
      </c>
      <c r="E121" s="440">
        <v>24356690</v>
      </c>
      <c r="F121" s="475">
        <v>58.886782354240744</v>
      </c>
      <c r="G121" s="478">
        <v>10.152893509351852</v>
      </c>
      <c r="I121" s="443">
        <v>301.69</v>
      </c>
      <c r="J121" s="444">
        <v>80.734164208293279</v>
      </c>
      <c r="M121" s="445"/>
      <c r="O121" s="463"/>
    </row>
    <row r="122" spans="1:20" ht="16.5" thickBot="1">
      <c r="A122" s="447">
        <v>46174</v>
      </c>
      <c r="B122" s="473">
        <v>2187866.666666667</v>
      </c>
      <c r="C122" s="439">
        <v>2297.2600000000002</v>
      </c>
      <c r="D122" s="474">
        <v>396.07931034482766</v>
      </c>
      <c r="E122" s="440">
        <v>23569570</v>
      </c>
      <c r="F122" s="475">
        <v>59.507198140393328</v>
      </c>
      <c r="G122" s="478">
        <v>10.259861748343678</v>
      </c>
      <c r="I122" s="443">
        <v>287.82</v>
      </c>
      <c r="J122" s="444">
        <v>81.889965950941559</v>
      </c>
      <c r="M122" s="445"/>
      <c r="O122" s="463"/>
    </row>
    <row r="123" spans="1:20" ht="16.5" thickBot="1">
      <c r="A123" s="464" t="s">
        <v>656</v>
      </c>
      <c r="B123" s="479">
        <v>24313723.809523813</v>
      </c>
      <c r="C123" s="450">
        <v>25529.410000000003</v>
      </c>
      <c r="D123" s="450">
        <v>4401.6224137931031</v>
      </c>
      <c r="E123" s="452">
        <v>278701089.99999994</v>
      </c>
      <c r="F123" s="480">
        <v>63.317809616438453</v>
      </c>
      <c r="G123" s="481">
        <v>10.916863726972144</v>
      </c>
      <c r="H123" s="482"/>
      <c r="I123" s="450">
        <v>3179.06</v>
      </c>
      <c r="J123" s="457">
        <v>87.667766572508853</v>
      </c>
      <c r="M123" s="458"/>
    </row>
    <row r="124" spans="1:20" ht="15" thickBot="1">
      <c r="A124" s="466"/>
      <c r="H124" s="483"/>
      <c r="T124" s="484"/>
    </row>
    <row r="125" spans="1:20" ht="18.75" thickBot="1">
      <c r="A125" s="427" t="s">
        <v>2668</v>
      </c>
      <c r="B125" s="1277" t="s">
        <v>2691</v>
      </c>
      <c r="C125" s="1278"/>
      <c r="D125" s="1278"/>
      <c r="E125" s="1278"/>
      <c r="F125" s="1278"/>
      <c r="G125" s="1278"/>
      <c r="H125" s="1278"/>
      <c r="I125" s="1278"/>
      <c r="J125" s="1279"/>
    </row>
    <row r="126" spans="1:20" ht="16.5" thickBot="1">
      <c r="A126" s="427" t="s">
        <v>2670</v>
      </c>
      <c r="B126" s="1289" t="s">
        <v>2687</v>
      </c>
      <c r="C126" s="1290"/>
      <c r="D126" s="1290"/>
      <c r="E126" s="1290"/>
      <c r="F126" s="1290"/>
      <c r="G126" s="1290"/>
      <c r="H126" s="1290"/>
      <c r="I126" s="1290"/>
      <c r="J126" s="1290"/>
      <c r="K126" s="428"/>
    </row>
    <row r="127" spans="1:20" ht="30.75" thickBot="1">
      <c r="B127" s="470" t="s">
        <v>2688</v>
      </c>
      <c r="C127" s="433" t="s">
        <v>2673</v>
      </c>
      <c r="D127" s="471" t="s">
        <v>2689</v>
      </c>
      <c r="E127" s="434" t="s">
        <v>2676</v>
      </c>
      <c r="F127" s="433" t="s">
        <v>2677</v>
      </c>
      <c r="G127" s="472" t="s">
        <v>2678</v>
      </c>
      <c r="H127" s="468"/>
      <c r="I127" s="436" t="s">
        <v>2679</v>
      </c>
      <c r="J127" s="461" t="s">
        <v>2680</v>
      </c>
    </row>
    <row r="128" spans="1:20" ht="15.75">
      <c r="A128" s="467">
        <v>45839</v>
      </c>
      <c r="B128" s="473">
        <v>1366085.7142857143</v>
      </c>
      <c r="C128" s="439">
        <v>1434.3899999999999</v>
      </c>
      <c r="D128" s="474">
        <v>247.30862068965516</v>
      </c>
      <c r="E128" s="440">
        <v>17436080</v>
      </c>
      <c r="F128" s="475">
        <v>70.503324758259623</v>
      </c>
      <c r="G128" s="476">
        <v>12.155745647975797</v>
      </c>
      <c r="H128" s="468"/>
      <c r="I128" s="439">
        <v>146.77000000000004</v>
      </c>
      <c r="J128" s="444">
        <v>118.79866457722966</v>
      </c>
      <c r="M128" s="445"/>
      <c r="N128" s="445"/>
      <c r="O128" s="445"/>
    </row>
    <row r="129" spans="1:22" ht="15.75">
      <c r="A129" s="447">
        <v>45870</v>
      </c>
      <c r="B129" s="473">
        <v>1003800.0000000001</v>
      </c>
      <c r="C129" s="439">
        <v>1053.99</v>
      </c>
      <c r="D129" s="474">
        <v>181.72241379310344</v>
      </c>
      <c r="E129" s="440">
        <v>12833970</v>
      </c>
      <c r="F129" s="475">
        <v>70.624034383627929</v>
      </c>
      <c r="G129" s="476">
        <v>12.176557652349642</v>
      </c>
      <c r="H129" s="468"/>
      <c r="I129" s="439">
        <v>107.8</v>
      </c>
      <c r="J129" s="444">
        <v>119.05352504638219</v>
      </c>
      <c r="M129" s="445"/>
      <c r="N129" s="445"/>
      <c r="O129" s="445"/>
    </row>
    <row r="130" spans="1:22" ht="15.75">
      <c r="A130" s="447">
        <v>45901</v>
      </c>
      <c r="B130" s="473">
        <v>1009123.8095238095</v>
      </c>
      <c r="C130" s="439">
        <v>1059.58</v>
      </c>
      <c r="D130" s="474">
        <v>182.68620689655171</v>
      </c>
      <c r="E130" s="440">
        <v>12947199.999999998</v>
      </c>
      <c r="F130" s="475">
        <v>70.871250872987403</v>
      </c>
      <c r="G130" s="478">
        <v>12.219181184997829</v>
      </c>
      <c r="H130" s="485"/>
      <c r="I130" s="439">
        <v>108.38</v>
      </c>
      <c r="J130" s="444">
        <v>119.46115519468536</v>
      </c>
      <c r="M130" s="445"/>
      <c r="N130" s="445"/>
      <c r="O130" s="445"/>
    </row>
    <row r="131" spans="1:22" ht="15.75">
      <c r="A131" s="447">
        <v>45931</v>
      </c>
      <c r="B131" s="473">
        <v>1455790.4761904764</v>
      </c>
      <c r="C131" s="439">
        <v>1528.5800000000002</v>
      </c>
      <c r="D131" s="474">
        <v>263.54827586206898</v>
      </c>
      <c r="E131" s="440">
        <v>18683740</v>
      </c>
      <c r="F131" s="475">
        <v>70.893045833387859</v>
      </c>
      <c r="G131" s="478">
        <v>12.222938936791008</v>
      </c>
      <c r="H131" s="485"/>
      <c r="I131" s="439">
        <v>156.33000000000001</v>
      </c>
      <c r="J131" s="444">
        <v>119.51474445084116</v>
      </c>
      <c r="M131" s="445"/>
      <c r="N131" s="445"/>
      <c r="O131" s="445"/>
    </row>
    <row r="132" spans="1:22" ht="15.75">
      <c r="A132" s="447">
        <v>45962</v>
      </c>
      <c r="B132" s="473">
        <v>1445542.8571428573</v>
      </c>
      <c r="C132" s="439">
        <v>1517.82</v>
      </c>
      <c r="D132" s="474">
        <v>261.69310344827585</v>
      </c>
      <c r="E132" s="440">
        <v>18461660.000000004</v>
      </c>
      <c r="F132" s="475">
        <v>70.546987126273223</v>
      </c>
      <c r="G132" s="478">
        <v>12.163273642460901</v>
      </c>
      <c r="H132" s="485"/>
      <c r="I132" s="439">
        <v>155.29</v>
      </c>
      <c r="J132" s="444">
        <v>118.88505377036515</v>
      </c>
      <c r="M132" s="445"/>
      <c r="N132" s="445"/>
      <c r="O132" s="445"/>
    </row>
    <row r="133" spans="1:22" ht="15.75">
      <c r="A133" s="447">
        <v>45992</v>
      </c>
      <c r="B133" s="473">
        <v>431209.52380952379</v>
      </c>
      <c r="C133" s="439">
        <v>452.76999999999992</v>
      </c>
      <c r="D133" s="474">
        <v>78.063793103448262</v>
      </c>
      <c r="E133" s="440">
        <v>5477410</v>
      </c>
      <c r="F133" s="475">
        <v>70.165819290147326</v>
      </c>
      <c r="G133" s="478">
        <v>12.097555050025401</v>
      </c>
      <c r="H133" s="485"/>
      <c r="I133" s="439">
        <v>46.34</v>
      </c>
      <c r="J133" s="444">
        <v>118.20047475183425</v>
      </c>
      <c r="M133" s="445"/>
      <c r="N133" s="445"/>
      <c r="O133" s="445"/>
    </row>
    <row r="134" spans="1:22" ht="15.75">
      <c r="A134" s="447">
        <v>46023</v>
      </c>
      <c r="B134" s="473">
        <v>125942.85714285716</v>
      </c>
      <c r="C134" s="439">
        <v>132.24</v>
      </c>
      <c r="D134" s="474">
        <v>22.8</v>
      </c>
      <c r="E134" s="440">
        <v>1611490</v>
      </c>
      <c r="F134" s="475">
        <v>70.679385964912285</v>
      </c>
      <c r="G134" s="478">
        <v>12.186101028433152</v>
      </c>
      <c r="H134" s="485"/>
      <c r="I134" s="439">
        <v>13.54</v>
      </c>
      <c r="J134" s="444">
        <v>119.01698670605614</v>
      </c>
      <c r="M134" s="445"/>
      <c r="N134" s="445"/>
      <c r="O134" s="445"/>
    </row>
    <row r="135" spans="1:22" ht="15.75">
      <c r="A135" s="447">
        <v>46054</v>
      </c>
      <c r="B135" s="473">
        <v>287009.52380952379</v>
      </c>
      <c r="C135" s="439">
        <v>301.35999999999996</v>
      </c>
      <c r="D135" s="474">
        <v>51.958620689655163</v>
      </c>
      <c r="E135" s="440">
        <v>3667650</v>
      </c>
      <c r="F135" s="475">
        <v>70.587901513140451</v>
      </c>
      <c r="G135" s="478">
        <v>12.17032784709318</v>
      </c>
      <c r="H135" s="485"/>
      <c r="I135" s="439">
        <v>30.85</v>
      </c>
      <c r="J135" s="444">
        <v>118.88654781199351</v>
      </c>
      <c r="M135" s="445"/>
      <c r="N135" s="445"/>
      <c r="O135" s="445"/>
    </row>
    <row r="136" spans="1:22" ht="15.75">
      <c r="A136" s="447">
        <v>46082</v>
      </c>
      <c r="B136" s="473">
        <v>122095.23809523812</v>
      </c>
      <c r="C136" s="439">
        <v>128.20000000000002</v>
      </c>
      <c r="D136" s="474">
        <v>22.103448275862071</v>
      </c>
      <c r="E136" s="440">
        <v>1555949.9999999998</v>
      </c>
      <c r="F136" s="475">
        <v>70.393993759750373</v>
      </c>
      <c r="G136" s="478">
        <v>12.136895475819029</v>
      </c>
      <c r="H136" s="485"/>
      <c r="I136" s="439">
        <v>13.13</v>
      </c>
      <c r="J136" s="444">
        <v>118.50342726580348</v>
      </c>
      <c r="M136" s="445"/>
      <c r="N136" s="445"/>
      <c r="O136" s="445"/>
    </row>
    <row r="137" spans="1:22" ht="15.75">
      <c r="A137" s="447">
        <v>46113</v>
      </c>
      <c r="B137" s="473">
        <v>403552.38095238101</v>
      </c>
      <c r="C137" s="439">
        <v>423.73</v>
      </c>
      <c r="D137" s="474">
        <v>73.056896551724137</v>
      </c>
      <c r="E137" s="440">
        <v>5128539.9999999991</v>
      </c>
      <c r="F137" s="475">
        <v>70.199258962074893</v>
      </c>
      <c r="G137" s="478">
        <v>12.103320510702567</v>
      </c>
      <c r="H137" s="485"/>
      <c r="I137" s="439">
        <v>43.389999999999993</v>
      </c>
      <c r="J137" s="444">
        <v>118.19635860797419</v>
      </c>
      <c r="M137" s="445"/>
      <c r="N137" s="445"/>
      <c r="O137" s="445"/>
    </row>
    <row r="138" spans="1:22" ht="15.75">
      <c r="A138" s="447">
        <v>46143</v>
      </c>
      <c r="B138" s="473">
        <v>688504.76190476189</v>
      </c>
      <c r="C138" s="439">
        <v>722.93</v>
      </c>
      <c r="D138" s="474">
        <v>124.64310344827585</v>
      </c>
      <c r="E138" s="440">
        <v>8722850</v>
      </c>
      <c r="F138" s="475">
        <v>69.982612424439438</v>
      </c>
      <c r="G138" s="478">
        <v>12.065967659386111</v>
      </c>
      <c r="H138" s="485"/>
      <c r="I138" s="439">
        <v>73.990000000000009</v>
      </c>
      <c r="J138" s="444">
        <v>117.89228274091093</v>
      </c>
      <c r="M138" s="445"/>
      <c r="N138" s="445"/>
      <c r="O138" s="445"/>
    </row>
    <row r="139" spans="1:22" ht="16.5" thickBot="1">
      <c r="A139" s="447">
        <v>46174</v>
      </c>
      <c r="B139" s="473">
        <v>1194171.4285714286</v>
      </c>
      <c r="C139" s="439">
        <v>1253.8799999999999</v>
      </c>
      <c r="D139" s="474">
        <v>216.18620689655171</v>
      </c>
      <c r="E139" s="440">
        <v>15115410</v>
      </c>
      <c r="F139" s="475">
        <v>69.91847545219639</v>
      </c>
      <c r="G139" s="478">
        <v>12.054909560723516</v>
      </c>
      <c r="H139" s="485"/>
      <c r="I139" s="439">
        <v>128.21999999999997</v>
      </c>
      <c r="J139" s="444">
        <v>117.88652316331309</v>
      </c>
      <c r="M139" s="445"/>
      <c r="N139" s="445"/>
      <c r="O139" s="445"/>
    </row>
    <row r="140" spans="1:22" ht="16.5" thickBot="1">
      <c r="A140" s="464" t="s">
        <v>656</v>
      </c>
      <c r="B140" s="486">
        <v>9532828.5714285728</v>
      </c>
      <c r="C140" s="450">
        <v>10009.469999999998</v>
      </c>
      <c r="D140" s="450">
        <v>1725.770689655172</v>
      </c>
      <c r="E140" s="452">
        <v>121641950.00000001</v>
      </c>
      <c r="F140" s="480">
        <v>70.485581154646582</v>
      </c>
      <c r="G140" s="481">
        <v>12.152686405973547</v>
      </c>
      <c r="H140" s="485"/>
      <c r="I140" s="450">
        <v>1024.03</v>
      </c>
      <c r="J140" s="457">
        <v>118.78748669472576</v>
      </c>
      <c r="M140" s="458"/>
      <c r="N140" s="458"/>
      <c r="O140" s="458"/>
    </row>
    <row r="141" spans="1:22" ht="15" thickBot="1"/>
    <row r="142" spans="1:22" ht="18.75" thickBot="1">
      <c r="A142" s="427" t="s">
        <v>2668</v>
      </c>
      <c r="B142" s="1277" t="s">
        <v>2692</v>
      </c>
      <c r="C142" s="1278"/>
      <c r="D142" s="1278"/>
      <c r="E142" s="1278"/>
      <c r="F142" s="1278"/>
      <c r="G142" s="1278"/>
      <c r="H142" s="1278"/>
      <c r="I142" s="1278"/>
      <c r="J142" s="1278"/>
      <c r="K142" s="1278"/>
      <c r="L142" s="1278"/>
      <c r="M142" s="1278"/>
      <c r="N142" s="1278"/>
      <c r="O142" s="1278"/>
      <c r="P142" s="1278"/>
      <c r="Q142" s="1278"/>
      <c r="R142" s="1278"/>
      <c r="S142" s="1278"/>
      <c r="T142" s="1278"/>
      <c r="U142" s="1279"/>
    </row>
    <row r="143" spans="1:22" ht="16.5" thickBot="1">
      <c r="A143" s="427" t="s">
        <v>2670</v>
      </c>
      <c r="B143" s="1280" t="s">
        <v>2671</v>
      </c>
      <c r="C143" s="1281"/>
      <c r="D143" s="1281"/>
      <c r="E143" s="1281"/>
      <c r="F143" s="1281"/>
      <c r="G143" s="1281"/>
      <c r="H143" s="1282"/>
      <c r="I143" s="674"/>
      <c r="J143" s="1280" t="s">
        <v>2687</v>
      </c>
      <c r="K143" s="1281"/>
      <c r="L143" s="1281"/>
      <c r="M143" s="1281"/>
      <c r="N143" s="1281"/>
      <c r="O143" s="1282"/>
      <c r="P143" s="487"/>
      <c r="Q143" s="1280" t="s">
        <v>2693</v>
      </c>
      <c r="R143" s="1281"/>
      <c r="S143" s="1282"/>
      <c r="V143" s="428"/>
    </row>
    <row r="144" spans="1:22" ht="30.75" thickBot="1">
      <c r="B144" s="432" t="s">
        <v>2672</v>
      </c>
      <c r="C144" s="433" t="s">
        <v>2673</v>
      </c>
      <c r="D144" s="433" t="s">
        <v>2674</v>
      </c>
      <c r="E144" s="434" t="s">
        <v>2675</v>
      </c>
      <c r="F144" s="434" t="s">
        <v>2694</v>
      </c>
      <c r="G144" s="488" t="s">
        <v>2677</v>
      </c>
      <c r="H144" s="489" t="s">
        <v>2678</v>
      </c>
      <c r="I144" s="468"/>
      <c r="J144" s="470" t="s">
        <v>2688</v>
      </c>
      <c r="K144" s="433" t="s">
        <v>2673</v>
      </c>
      <c r="L144" s="471" t="s">
        <v>2689</v>
      </c>
      <c r="M144" s="433" t="s">
        <v>2695</v>
      </c>
      <c r="N144" s="433" t="s">
        <v>2677</v>
      </c>
      <c r="O144" s="472" t="s">
        <v>2678</v>
      </c>
      <c r="P144" s="490"/>
      <c r="Q144" s="491" t="s">
        <v>2696</v>
      </c>
      <c r="R144" s="492" t="s">
        <v>2697</v>
      </c>
      <c r="S144" s="489" t="s">
        <v>2698</v>
      </c>
      <c r="T144" s="493" t="s">
        <v>2699</v>
      </c>
      <c r="U144" s="493" t="s">
        <v>2700</v>
      </c>
    </row>
    <row r="145" spans="1:23" ht="15.75">
      <c r="A145" s="467">
        <v>45839</v>
      </c>
      <c r="B145" s="438">
        <v>270.03809523809525</v>
      </c>
      <c r="C145" s="439">
        <v>1701.24</v>
      </c>
      <c r="D145" s="494">
        <v>22755989.999999996</v>
      </c>
      <c r="E145" s="440">
        <v>108015.23809523811</v>
      </c>
      <c r="F145" s="495">
        <v>22864005.238095235</v>
      </c>
      <c r="G145" s="475">
        <v>84.669554560203139</v>
      </c>
      <c r="H145" s="476">
        <v>13.439611834952879</v>
      </c>
      <c r="I145" s="468"/>
      <c r="J145" s="473">
        <v>1620228.5714285716</v>
      </c>
      <c r="K145" s="439">
        <v>1701.24</v>
      </c>
      <c r="L145" s="496">
        <v>270.03809523809525</v>
      </c>
      <c r="M145" s="494">
        <v>18489370</v>
      </c>
      <c r="N145" s="475">
        <v>68.469487550257455</v>
      </c>
      <c r="O145" s="476">
        <v>10.868172627024993</v>
      </c>
      <c r="P145" s="490"/>
      <c r="Q145" s="497">
        <v>155.54000000000002</v>
      </c>
      <c r="R145" s="497">
        <v>155.54000000000002</v>
      </c>
      <c r="S145" s="443">
        <v>311.08000000000004</v>
      </c>
      <c r="T145" s="498">
        <v>132.9348567509812</v>
      </c>
      <c r="U145" s="498">
        <v>12.153892230988935</v>
      </c>
    </row>
    <row r="146" spans="1:23" ht="15.75">
      <c r="A146" s="447">
        <v>45870</v>
      </c>
      <c r="B146" s="438">
        <v>246.28095238095241</v>
      </c>
      <c r="C146" s="439">
        <v>1551.5700000000002</v>
      </c>
      <c r="D146" s="494">
        <v>20615989.999999996</v>
      </c>
      <c r="E146" s="440">
        <v>98512.380952380961</v>
      </c>
      <c r="F146" s="495">
        <v>20714502.380952377</v>
      </c>
      <c r="G146" s="475">
        <v>84.109234517295363</v>
      </c>
      <c r="H146" s="476">
        <v>13.350672145602438</v>
      </c>
      <c r="I146" s="468"/>
      <c r="J146" s="473">
        <v>1477685.7142857146</v>
      </c>
      <c r="K146" s="439">
        <v>1551.5700000000002</v>
      </c>
      <c r="L146" s="496">
        <v>246.28095238095241</v>
      </c>
      <c r="M146" s="494">
        <v>16969870</v>
      </c>
      <c r="N146" s="475">
        <v>68.904516715327048</v>
      </c>
      <c r="O146" s="476">
        <v>10.937224875448738</v>
      </c>
      <c r="P146" s="490"/>
      <c r="Q146" s="497">
        <v>139.96</v>
      </c>
      <c r="R146" s="497">
        <v>139.96</v>
      </c>
      <c r="S146" s="443">
        <v>279.89999999999998</v>
      </c>
      <c r="T146" s="498">
        <v>134.63512819204138</v>
      </c>
      <c r="U146" s="498">
        <v>12.14394851052559</v>
      </c>
    </row>
    <row r="147" spans="1:23" ht="16.5" thickBot="1">
      <c r="A147" s="447">
        <v>45901</v>
      </c>
      <c r="B147" s="438">
        <v>264.49523809523811</v>
      </c>
      <c r="C147" s="439">
        <v>1666.32</v>
      </c>
      <c r="D147" s="494">
        <v>22000879.999999996</v>
      </c>
      <c r="E147" s="440">
        <v>105798.09523809524</v>
      </c>
      <c r="F147" s="495">
        <v>22106678.095238093</v>
      </c>
      <c r="G147" s="499">
        <v>83.580627970617883</v>
      </c>
      <c r="H147" s="500">
        <v>13.266766344542521</v>
      </c>
      <c r="I147" s="468"/>
      <c r="J147" s="473">
        <v>1586971.4285714286</v>
      </c>
      <c r="K147" s="439">
        <v>1666.32</v>
      </c>
      <c r="L147" s="496">
        <v>264.49523809523811</v>
      </c>
      <c r="M147" s="494">
        <v>18152040</v>
      </c>
      <c r="N147" s="499">
        <v>68.628986029094051</v>
      </c>
      <c r="O147" s="500">
        <v>10.893489845887945</v>
      </c>
      <c r="P147" s="490"/>
      <c r="Q147" s="497">
        <v>150.66999999999999</v>
      </c>
      <c r="R147" s="497">
        <v>150.66999999999999</v>
      </c>
      <c r="S147" s="443">
        <v>301.33999999999997</v>
      </c>
      <c r="T147" s="498">
        <v>133.598984851789</v>
      </c>
      <c r="U147" s="498">
        <v>12.080128095215233</v>
      </c>
    </row>
    <row r="148" spans="1:23" ht="16.5" thickBot="1">
      <c r="A148" s="447">
        <v>45931</v>
      </c>
      <c r="B148" s="438">
        <v>268.784126984127</v>
      </c>
      <c r="C148" s="439">
        <v>1693.3400000000001</v>
      </c>
      <c r="D148" s="494">
        <v>22230380</v>
      </c>
      <c r="E148" s="440">
        <v>107513.65079365081</v>
      </c>
      <c r="F148" s="495">
        <v>22337893.650793653</v>
      </c>
      <c r="G148" s="499">
        <v>83.10719052287196</v>
      </c>
      <c r="H148" s="500">
        <v>13.19161754331301</v>
      </c>
      <c r="I148" s="468"/>
      <c r="J148" s="473">
        <v>1612704.7619047621</v>
      </c>
      <c r="K148" s="439">
        <v>1693.3400000000001</v>
      </c>
      <c r="L148" s="496">
        <v>268.784126984127</v>
      </c>
      <c r="M148" s="494">
        <v>18504739.999999996</v>
      </c>
      <c r="N148" s="499">
        <v>68.84610414919625</v>
      </c>
      <c r="O148" s="500">
        <v>10.927953039554961</v>
      </c>
      <c r="P148" s="490"/>
      <c r="Q148" s="497">
        <v>153.9</v>
      </c>
      <c r="R148" s="497">
        <v>153.9</v>
      </c>
      <c r="S148" s="443">
        <v>307.79000000000002</v>
      </c>
      <c r="T148" s="498">
        <v>132.69642824911026</v>
      </c>
      <c r="U148" s="498">
        <v>12.059785291433984</v>
      </c>
    </row>
    <row r="149" spans="1:23" ht="16.5" thickBot="1">
      <c r="A149" s="447">
        <v>45962</v>
      </c>
      <c r="B149" s="438">
        <v>136.65873015873018</v>
      </c>
      <c r="C149" s="439">
        <v>860.95</v>
      </c>
      <c r="D149" s="494">
        <v>11243119.999999998</v>
      </c>
      <c r="E149" s="440">
        <v>54663.492063492071</v>
      </c>
      <c r="F149" s="495">
        <v>11297783.492063491</v>
      </c>
      <c r="G149" s="499">
        <v>82.67150937917414</v>
      </c>
      <c r="H149" s="500">
        <v>13.122461806218119</v>
      </c>
      <c r="I149" s="468"/>
      <c r="J149" s="473">
        <v>819952.38095238106</v>
      </c>
      <c r="K149" s="439">
        <v>860.95</v>
      </c>
      <c r="L149" s="496">
        <v>136.65873015873018</v>
      </c>
      <c r="M149" s="494">
        <v>9651990</v>
      </c>
      <c r="N149" s="499">
        <v>70.62841860735233</v>
      </c>
      <c r="O149" s="500">
        <v>11.210860096405133</v>
      </c>
      <c r="P149" s="490"/>
      <c r="Q149" s="497">
        <v>76.45</v>
      </c>
      <c r="R149" s="497">
        <v>76.45</v>
      </c>
      <c r="S149" s="443">
        <v>152.9</v>
      </c>
      <c r="T149" s="498">
        <v>137.01617718811963</v>
      </c>
      <c r="U149" s="498">
        <v>12.166660951311627</v>
      </c>
    </row>
    <row r="150" spans="1:23" ht="16.5" thickBot="1">
      <c r="A150" s="447">
        <v>45992</v>
      </c>
      <c r="B150" s="438">
        <v>125.03650793650795</v>
      </c>
      <c r="C150" s="439">
        <v>787.73</v>
      </c>
      <c r="D150" s="494">
        <v>10233470</v>
      </c>
      <c r="E150" s="440">
        <v>50014.60317460318</v>
      </c>
      <c r="F150" s="495">
        <v>10283484.603174603</v>
      </c>
      <c r="G150" s="499">
        <v>82.243856397496586</v>
      </c>
      <c r="H150" s="500">
        <v>13.054580380555015</v>
      </c>
      <c r="I150" s="468"/>
      <c r="J150" s="473">
        <v>750219.04761904769</v>
      </c>
      <c r="K150" s="439">
        <v>787.73</v>
      </c>
      <c r="L150" s="496">
        <v>125.03650793650795</v>
      </c>
      <c r="M150" s="494">
        <v>9217050</v>
      </c>
      <c r="N150" s="499">
        <v>73.714870577482117</v>
      </c>
      <c r="O150" s="500">
        <v>11.700773107536845</v>
      </c>
      <c r="P150" s="490"/>
      <c r="Q150" s="497">
        <v>70.11</v>
      </c>
      <c r="R150" s="497">
        <v>70.11</v>
      </c>
      <c r="S150" s="443">
        <v>140.21</v>
      </c>
      <c r="T150" s="498">
        <v>139.08091151254976</v>
      </c>
      <c r="U150" s="498">
        <v>12.37767674404593</v>
      </c>
    </row>
    <row r="151" spans="1:23" ht="16.5" thickBot="1">
      <c r="A151" s="447">
        <v>46023</v>
      </c>
      <c r="B151" s="438">
        <v>237.00317460317459</v>
      </c>
      <c r="C151" s="439">
        <v>1493.12</v>
      </c>
      <c r="D151" s="494">
        <v>19337380</v>
      </c>
      <c r="E151" s="440">
        <v>94801.269841269837</v>
      </c>
      <c r="F151" s="495">
        <v>19432181.269841272</v>
      </c>
      <c r="G151" s="499">
        <v>81.991227764680687</v>
      </c>
      <c r="H151" s="500">
        <v>13.014480597568364</v>
      </c>
      <c r="I151" s="468"/>
      <c r="J151" s="473">
        <v>1422019.0476190476</v>
      </c>
      <c r="K151" s="439">
        <v>1493.12</v>
      </c>
      <c r="L151" s="496">
        <v>237.00317460317459</v>
      </c>
      <c r="M151" s="494">
        <v>17872450</v>
      </c>
      <c r="N151" s="499">
        <v>75.410171319117026</v>
      </c>
      <c r="O151" s="500">
        <v>11.969868463351908</v>
      </c>
      <c r="P151" s="490"/>
      <c r="Q151" s="497">
        <v>131.99</v>
      </c>
      <c r="R151" s="497">
        <v>131.99</v>
      </c>
      <c r="S151" s="443">
        <v>263.98</v>
      </c>
      <c r="T151" s="498">
        <v>141.31612724388694</v>
      </c>
      <c r="U151" s="498">
        <v>12.492174530460137</v>
      </c>
    </row>
    <row r="152" spans="1:23" ht="16.5" thickBot="1">
      <c r="A152" s="447">
        <v>46054</v>
      </c>
      <c r="B152" s="438">
        <v>222.02063492063493</v>
      </c>
      <c r="C152" s="439">
        <v>1398.73</v>
      </c>
      <c r="D152" s="494">
        <v>18064739.999999996</v>
      </c>
      <c r="E152" s="440">
        <v>88808.253968253979</v>
      </c>
      <c r="F152" s="495">
        <v>18153548.253968254</v>
      </c>
      <c r="G152" s="499">
        <v>81.765139805394881</v>
      </c>
      <c r="H152" s="500">
        <v>12.97859361990395</v>
      </c>
      <c r="I152" s="468"/>
      <c r="J152" s="473">
        <v>1332123.8095238097</v>
      </c>
      <c r="K152" s="439">
        <v>1398.73</v>
      </c>
      <c r="L152" s="496">
        <v>222.02063492063493</v>
      </c>
      <c r="M152" s="494">
        <v>16067130.000000002</v>
      </c>
      <c r="N152" s="499">
        <v>72.367732871962417</v>
      </c>
      <c r="O152" s="500">
        <v>11.486941725708322</v>
      </c>
      <c r="P152" s="490"/>
      <c r="Q152" s="497">
        <v>124.86</v>
      </c>
      <c r="R152" s="497">
        <v>124.86</v>
      </c>
      <c r="S152" s="443">
        <v>249.72</v>
      </c>
      <c r="T152" s="498">
        <v>137.03619355265198</v>
      </c>
      <c r="U152" s="498">
        <v>12.232767672806135</v>
      </c>
    </row>
    <row r="153" spans="1:23" ht="16.5" thickBot="1">
      <c r="A153" s="447">
        <v>46082</v>
      </c>
      <c r="B153" s="438">
        <v>245.16349206349207</v>
      </c>
      <c r="C153" s="439">
        <v>1544.53</v>
      </c>
      <c r="D153" s="494">
        <v>19896930</v>
      </c>
      <c r="E153" s="440">
        <v>98065.396825396834</v>
      </c>
      <c r="F153" s="495">
        <v>19994995.396825399</v>
      </c>
      <c r="G153" s="499">
        <v>81.557801402368355</v>
      </c>
      <c r="H153" s="500">
        <v>12.945682762280693</v>
      </c>
      <c r="I153" s="468"/>
      <c r="J153" s="473">
        <v>1470980.9523809524</v>
      </c>
      <c r="K153" s="439">
        <v>1544.53</v>
      </c>
      <c r="L153" s="496">
        <v>245.16349206349207</v>
      </c>
      <c r="M153" s="494">
        <v>16605119.999999998</v>
      </c>
      <c r="N153" s="499">
        <v>67.7308022505228</v>
      </c>
      <c r="O153" s="500">
        <v>10.750920992146478</v>
      </c>
      <c r="P153" s="490"/>
      <c r="Q153" s="497">
        <v>135.99</v>
      </c>
      <c r="R153" s="497">
        <v>135.99</v>
      </c>
      <c r="S153" s="443">
        <v>271.98</v>
      </c>
      <c r="T153" s="498">
        <v>134.56914257234132</v>
      </c>
      <c r="U153" s="498">
        <v>11.848301877213585</v>
      </c>
    </row>
    <row r="154" spans="1:23" ht="16.5" thickBot="1">
      <c r="A154" s="447">
        <v>46113</v>
      </c>
      <c r="B154" s="438">
        <v>157.89365079365081</v>
      </c>
      <c r="C154" s="439">
        <v>994.73</v>
      </c>
      <c r="D154" s="494">
        <v>12785730.000000002</v>
      </c>
      <c r="E154" s="440">
        <v>63157.460317460325</v>
      </c>
      <c r="F154" s="495">
        <v>12848887.460317461</v>
      </c>
      <c r="G154" s="499">
        <v>81.376846983603585</v>
      </c>
      <c r="H154" s="500">
        <v>12.916959838667237</v>
      </c>
      <c r="I154" s="468"/>
      <c r="J154" s="473">
        <v>947361.90476190485</v>
      </c>
      <c r="K154" s="439">
        <v>994.73</v>
      </c>
      <c r="L154" s="496">
        <v>157.89365079365081</v>
      </c>
      <c r="M154" s="494">
        <v>10113180</v>
      </c>
      <c r="N154" s="499">
        <v>64.05058055954882</v>
      </c>
      <c r="O154" s="500">
        <v>10.166758818976003</v>
      </c>
      <c r="P154" s="490"/>
      <c r="Q154" s="497">
        <v>90.13</v>
      </c>
      <c r="R154" s="497">
        <v>90.13</v>
      </c>
      <c r="S154" s="443">
        <v>180.24</v>
      </c>
      <c r="T154" s="498">
        <v>127.39717854148614</v>
      </c>
      <c r="U154" s="498">
        <v>11.541859328821621</v>
      </c>
    </row>
    <row r="155" spans="1:23" ht="16.5" thickBot="1">
      <c r="A155" s="447">
        <v>46143</v>
      </c>
      <c r="B155" s="438">
        <v>216.11904761904762</v>
      </c>
      <c r="C155" s="439">
        <v>1361.55</v>
      </c>
      <c r="D155" s="494">
        <v>17462840</v>
      </c>
      <c r="E155" s="440">
        <v>86447.619047619053</v>
      </c>
      <c r="F155" s="495">
        <v>17549287.619047619</v>
      </c>
      <c r="G155" s="499">
        <v>81.201947780103566</v>
      </c>
      <c r="H155" s="500">
        <v>12.8891980603339</v>
      </c>
      <c r="I155" s="468"/>
      <c r="J155" s="473">
        <v>1296714.2857142857</v>
      </c>
      <c r="K155" s="439">
        <v>1361.55</v>
      </c>
      <c r="L155" s="496">
        <v>216.11904761904762</v>
      </c>
      <c r="M155" s="494">
        <v>13823730</v>
      </c>
      <c r="N155" s="499">
        <v>63.963496750027538</v>
      </c>
      <c r="O155" s="500">
        <v>10.152935992067864</v>
      </c>
      <c r="P155" s="490"/>
      <c r="Q155" s="497">
        <v>125.69</v>
      </c>
      <c r="R155" s="497">
        <v>125.69</v>
      </c>
      <c r="S155" s="443">
        <v>251.38</v>
      </c>
      <c r="T155" s="498">
        <v>124.80315704927847</v>
      </c>
      <c r="U155" s="498">
        <v>11.521067026200882</v>
      </c>
    </row>
    <row r="156" spans="1:23" ht="16.5" thickBot="1">
      <c r="A156" s="447">
        <v>46174</v>
      </c>
      <c r="B156" s="438">
        <v>256.59841269841274</v>
      </c>
      <c r="C156" s="439">
        <v>1616.5700000000002</v>
      </c>
      <c r="D156" s="494">
        <v>20687090</v>
      </c>
      <c r="E156" s="440">
        <v>102639.3650793651</v>
      </c>
      <c r="F156" s="495">
        <v>20789729.365079366</v>
      </c>
      <c r="G156" s="499">
        <v>81.020490915951669</v>
      </c>
      <c r="H156" s="500">
        <v>12.860395383484391</v>
      </c>
      <c r="I156" s="468"/>
      <c r="J156" s="473">
        <v>1539590.4761904764</v>
      </c>
      <c r="K156" s="439">
        <v>1616.5700000000002</v>
      </c>
      <c r="L156" s="496">
        <v>256.59841269841274</v>
      </c>
      <c r="M156" s="494">
        <v>16585779.999999998</v>
      </c>
      <c r="N156" s="499">
        <v>64.637110672596904</v>
      </c>
      <c r="O156" s="500">
        <v>10.259858836920143</v>
      </c>
      <c r="P156" s="490"/>
      <c r="Q156" s="497">
        <v>148</v>
      </c>
      <c r="R156" s="497">
        <v>148</v>
      </c>
      <c r="S156" s="443">
        <v>296</v>
      </c>
      <c r="T156" s="498">
        <v>126.26861271986272</v>
      </c>
      <c r="U156" s="498">
        <v>11.560127110202268</v>
      </c>
    </row>
    <row r="157" spans="1:23" ht="16.5" thickBot="1">
      <c r="A157" s="464" t="s">
        <v>656</v>
      </c>
      <c r="B157" s="450">
        <v>2646.0920634920635</v>
      </c>
      <c r="C157" s="451">
        <v>16670.38</v>
      </c>
      <c r="D157" s="452">
        <v>217314539.99999997</v>
      </c>
      <c r="E157" s="453">
        <v>1058436.8253968256</v>
      </c>
      <c r="F157" s="452">
        <v>218372976.82539684</v>
      </c>
      <c r="G157" s="454">
        <v>82.526598313895661</v>
      </c>
      <c r="H157" s="455">
        <v>13.099460049824707</v>
      </c>
      <c r="I157" s="675"/>
      <c r="J157" s="501">
        <v>15876552.380952382</v>
      </c>
      <c r="K157" s="450">
        <v>16670.38</v>
      </c>
      <c r="L157" s="450">
        <v>2646.0920634920635</v>
      </c>
      <c r="M157" s="502">
        <v>182052450</v>
      </c>
      <c r="N157" s="454">
        <v>68.800497349190607</v>
      </c>
      <c r="O157" s="455">
        <v>10.920713864950889</v>
      </c>
      <c r="P157" s="490"/>
      <c r="Q157" s="503">
        <v>1503.29</v>
      </c>
      <c r="R157" s="503">
        <v>1503.29</v>
      </c>
      <c r="S157" s="450">
        <v>3006.5200000000004</v>
      </c>
      <c r="T157" s="504">
        <v>133.18568538556096</v>
      </c>
      <c r="U157" s="505">
        <v>12.010086957387799</v>
      </c>
      <c r="V157" s="428"/>
    </row>
    <row r="158" spans="1:23" ht="16.5" thickBot="1">
      <c r="A158" s="459"/>
      <c r="B158" s="490"/>
      <c r="C158" s="490"/>
      <c r="D158" s="456"/>
      <c r="E158" s="456"/>
      <c r="F158" s="456"/>
      <c r="G158" s="465"/>
      <c r="H158" s="506"/>
      <c r="I158" s="456"/>
      <c r="J158" s="490"/>
      <c r="K158" s="490"/>
      <c r="L158" s="490"/>
      <c r="M158" s="507"/>
      <c r="N158" s="465"/>
      <c r="O158" s="507"/>
      <c r="P158" s="507"/>
      <c r="Q158" s="507"/>
      <c r="R158" s="507"/>
      <c r="S158" s="507"/>
      <c r="T158" s="507"/>
      <c r="U158" s="507"/>
      <c r="V158" s="507"/>
      <c r="W158" s="507"/>
    </row>
    <row r="159" spans="1:23" ht="18.75" thickBot="1">
      <c r="A159" s="427" t="s">
        <v>2668</v>
      </c>
      <c r="B159" s="1277" t="s">
        <v>2701</v>
      </c>
      <c r="C159" s="1278"/>
      <c r="D159" s="1278"/>
      <c r="E159" s="1278"/>
      <c r="F159" s="1278"/>
      <c r="G159" s="1278"/>
      <c r="H159" s="1278"/>
      <c r="I159" s="1278"/>
      <c r="J159" s="1278"/>
      <c r="K159" s="1278"/>
      <c r="L159" s="1278"/>
      <c r="M159" s="1278"/>
      <c r="N159" s="1278"/>
      <c r="O159" s="1278"/>
      <c r="P159" s="1278"/>
      <c r="Q159" s="1278"/>
      <c r="R159" s="1278"/>
      <c r="S159" s="1278"/>
      <c r="T159" s="1278"/>
      <c r="U159" s="1279"/>
      <c r="W159" s="507"/>
    </row>
    <row r="160" spans="1:23" ht="16.5" thickBot="1">
      <c r="A160" s="427" t="s">
        <v>2670</v>
      </c>
      <c r="B160" s="1280" t="s">
        <v>2683</v>
      </c>
      <c r="C160" s="1281"/>
      <c r="D160" s="1281"/>
      <c r="E160" s="1281"/>
      <c r="F160" s="1281"/>
      <c r="G160" s="1281"/>
      <c r="H160" s="1282"/>
      <c r="I160" s="468"/>
      <c r="J160" s="1280" t="s">
        <v>2687</v>
      </c>
      <c r="K160" s="1281"/>
      <c r="L160" s="1281"/>
      <c r="M160" s="1281"/>
      <c r="N160" s="1281"/>
      <c r="O160" s="1282"/>
      <c r="P160" s="428"/>
      <c r="Q160" s="1280" t="s">
        <v>2693</v>
      </c>
      <c r="R160" s="1281"/>
      <c r="S160" s="1282"/>
      <c r="T160" s="508"/>
      <c r="V160" s="428"/>
      <c r="W160" s="507"/>
    </row>
    <row r="161" spans="1:23" ht="30.75" thickBot="1">
      <c r="A161" s="431"/>
      <c r="B161" s="432" t="s">
        <v>2672</v>
      </c>
      <c r="C161" s="433" t="s">
        <v>2673</v>
      </c>
      <c r="D161" s="433" t="s">
        <v>2674</v>
      </c>
      <c r="E161" s="434" t="s">
        <v>2702</v>
      </c>
      <c r="F161" s="434" t="s">
        <v>2703</v>
      </c>
      <c r="G161" s="488" t="s">
        <v>2677</v>
      </c>
      <c r="H161" s="489" t="s">
        <v>2678</v>
      </c>
      <c r="I161" s="468"/>
      <c r="J161" s="470" t="s">
        <v>2688</v>
      </c>
      <c r="K161" s="433" t="s">
        <v>2673</v>
      </c>
      <c r="L161" s="471" t="s">
        <v>2689</v>
      </c>
      <c r="M161" s="433" t="s">
        <v>2695</v>
      </c>
      <c r="N161" s="433" t="s">
        <v>2677</v>
      </c>
      <c r="O161" s="472" t="s">
        <v>2678</v>
      </c>
      <c r="P161" s="468"/>
      <c r="Q161" s="491" t="s">
        <v>2704</v>
      </c>
      <c r="R161" s="492" t="s">
        <v>2697</v>
      </c>
      <c r="S161" s="489" t="s">
        <v>2698</v>
      </c>
      <c r="T161" s="493" t="s">
        <v>2699</v>
      </c>
      <c r="U161" s="493" t="s">
        <v>2700</v>
      </c>
    </row>
    <row r="162" spans="1:23" ht="15.75">
      <c r="A162" s="462">
        <v>45839</v>
      </c>
      <c r="B162" s="509">
        <v>0</v>
      </c>
      <c r="C162" s="510">
        <v>0</v>
      </c>
      <c r="D162" s="511">
        <v>0</v>
      </c>
      <c r="E162" s="512">
        <v>0</v>
      </c>
      <c r="F162" s="512">
        <v>0</v>
      </c>
      <c r="G162" s="441">
        <v>0</v>
      </c>
      <c r="H162" s="442">
        <v>0</v>
      </c>
      <c r="I162" s="468"/>
      <c r="J162" s="473">
        <v>1048390.4761904762</v>
      </c>
      <c r="K162" s="439">
        <v>1100.81</v>
      </c>
      <c r="L162" s="474">
        <v>189.79482758620691</v>
      </c>
      <c r="M162" s="494">
        <v>13064670</v>
      </c>
      <c r="N162" s="475">
        <v>68.835753672295851</v>
      </c>
      <c r="O162" s="476">
        <v>11.868233391775147</v>
      </c>
      <c r="Q162" s="514">
        <v>0</v>
      </c>
      <c r="R162" s="497">
        <v>139.74</v>
      </c>
      <c r="S162" s="443">
        <v>139.74</v>
      </c>
      <c r="T162" s="498">
        <v>93.492700729927009</v>
      </c>
      <c r="U162" s="498">
        <v>11.868233391775147</v>
      </c>
      <c r="W162" s="463"/>
    </row>
    <row r="163" spans="1:23" ht="15.75">
      <c r="A163" s="447">
        <v>45870</v>
      </c>
      <c r="B163" s="509">
        <v>0</v>
      </c>
      <c r="C163" s="510">
        <v>0</v>
      </c>
      <c r="D163" s="511">
        <v>0</v>
      </c>
      <c r="E163" s="512">
        <v>0</v>
      </c>
      <c r="F163" s="512">
        <v>0</v>
      </c>
      <c r="G163" s="441">
        <v>0</v>
      </c>
      <c r="H163" s="442">
        <v>0</v>
      </c>
      <c r="I163" s="468"/>
      <c r="J163" s="473">
        <v>1740771.4285714286</v>
      </c>
      <c r="K163" s="439">
        <v>1827.81</v>
      </c>
      <c r="L163" s="474">
        <v>315.13965517241377</v>
      </c>
      <c r="M163" s="494">
        <v>21818960</v>
      </c>
      <c r="N163" s="475">
        <v>69.235843988160696</v>
      </c>
      <c r="O163" s="476">
        <v>11.937214480717362</v>
      </c>
      <c r="Q163" s="514">
        <v>0</v>
      </c>
      <c r="R163" s="497">
        <v>229.03</v>
      </c>
      <c r="S163" s="443">
        <v>229.03</v>
      </c>
      <c r="T163" s="498">
        <v>95.266820940488145</v>
      </c>
      <c r="U163" s="498">
        <v>11.937214480717362</v>
      </c>
      <c r="W163" s="463"/>
    </row>
    <row r="164" spans="1:23" ht="15.75">
      <c r="A164" s="447">
        <v>45901</v>
      </c>
      <c r="B164" s="509">
        <v>0</v>
      </c>
      <c r="C164" s="510">
        <v>0</v>
      </c>
      <c r="D164" s="511">
        <v>0</v>
      </c>
      <c r="E164" s="512">
        <v>0</v>
      </c>
      <c r="F164" s="512">
        <v>0</v>
      </c>
      <c r="G164" s="441">
        <v>0</v>
      </c>
      <c r="H164" s="442">
        <v>0</v>
      </c>
      <c r="I164" s="468"/>
      <c r="J164" s="473">
        <v>1774847.6190476192</v>
      </c>
      <c r="K164" s="439">
        <v>1863.59</v>
      </c>
      <c r="L164" s="474">
        <v>321.30862068965519</v>
      </c>
      <c r="M164" s="494">
        <v>22164570</v>
      </c>
      <c r="N164" s="475">
        <v>68.982182776254433</v>
      </c>
      <c r="O164" s="478">
        <v>11.893479789009385</v>
      </c>
      <c r="Q164" s="514">
        <v>0</v>
      </c>
      <c r="R164" s="497">
        <v>236.3</v>
      </c>
      <c r="S164" s="443">
        <v>236.3</v>
      </c>
      <c r="T164" s="498">
        <v>93.798434193821407</v>
      </c>
      <c r="U164" s="498">
        <v>11.893479789009385</v>
      </c>
      <c r="W164" s="463"/>
    </row>
    <row r="165" spans="1:23" ht="15.75">
      <c r="A165" s="447">
        <v>45931</v>
      </c>
      <c r="B165" s="509">
        <v>0</v>
      </c>
      <c r="C165" s="510">
        <v>0</v>
      </c>
      <c r="D165" s="511">
        <v>0</v>
      </c>
      <c r="E165" s="512">
        <v>0</v>
      </c>
      <c r="F165" s="512">
        <v>0</v>
      </c>
      <c r="G165" s="441">
        <v>0</v>
      </c>
      <c r="H165" s="442">
        <v>0</v>
      </c>
      <c r="I165" s="468"/>
      <c r="J165" s="473">
        <v>1193380.9523809524</v>
      </c>
      <c r="K165" s="439">
        <v>1253.05</v>
      </c>
      <c r="L165" s="474">
        <v>216.04310344827587</v>
      </c>
      <c r="M165" s="494">
        <v>14946410</v>
      </c>
      <c r="N165" s="475">
        <v>69.182537009696333</v>
      </c>
      <c r="O165" s="478">
        <v>11.928023622361438</v>
      </c>
      <c r="Q165" s="514">
        <v>0</v>
      </c>
      <c r="R165" s="497">
        <v>160.61000000000001</v>
      </c>
      <c r="S165" s="443">
        <v>160.61000000000001</v>
      </c>
      <c r="T165" s="498">
        <v>93.060270219787057</v>
      </c>
      <c r="U165" s="498">
        <v>11.928023622361438</v>
      </c>
      <c r="W165" s="463"/>
    </row>
    <row r="166" spans="1:23" ht="15.75">
      <c r="A166" s="447">
        <v>45962</v>
      </c>
      <c r="B166" s="509">
        <v>0</v>
      </c>
      <c r="C166" s="510">
        <v>0</v>
      </c>
      <c r="D166" s="511">
        <v>0</v>
      </c>
      <c r="E166" s="512">
        <v>0</v>
      </c>
      <c r="F166" s="512">
        <v>0</v>
      </c>
      <c r="G166" s="441">
        <v>0</v>
      </c>
      <c r="H166" s="442">
        <v>0</v>
      </c>
      <c r="I166" s="468"/>
      <c r="J166" s="473">
        <v>1771990.4761904764</v>
      </c>
      <c r="K166" s="439">
        <v>1860.5900000000001</v>
      </c>
      <c r="L166" s="474">
        <v>320.79137931034484</v>
      </c>
      <c r="M166" s="494">
        <v>22719400</v>
      </c>
      <c r="N166" s="475">
        <v>70.822975507769044</v>
      </c>
      <c r="O166" s="478">
        <v>12.210857846167077</v>
      </c>
      <c r="Q166" s="514">
        <v>0</v>
      </c>
      <c r="R166" s="497">
        <v>235.76999999999998</v>
      </c>
      <c r="S166" s="443">
        <v>235.76999999999998</v>
      </c>
      <c r="T166" s="498">
        <v>96.36255672901558</v>
      </c>
      <c r="U166" s="498">
        <v>12.210857846167077</v>
      </c>
      <c r="W166" s="463"/>
    </row>
    <row r="167" spans="1:23" ht="15.75">
      <c r="A167" s="447">
        <v>45992</v>
      </c>
      <c r="B167" s="509">
        <v>0</v>
      </c>
      <c r="C167" s="510">
        <v>0</v>
      </c>
      <c r="D167" s="511">
        <v>0</v>
      </c>
      <c r="E167" s="512">
        <v>0</v>
      </c>
      <c r="F167" s="512">
        <v>0</v>
      </c>
      <c r="G167" s="441">
        <v>0</v>
      </c>
      <c r="H167" s="442">
        <v>0</v>
      </c>
      <c r="I167" s="468"/>
      <c r="J167" s="473">
        <v>1712380.9523809524</v>
      </c>
      <c r="K167" s="439">
        <v>1798</v>
      </c>
      <c r="L167" s="474">
        <v>310</v>
      </c>
      <c r="M167" s="494">
        <v>22836010.000000004</v>
      </c>
      <c r="N167" s="475">
        <v>73.664548387096787</v>
      </c>
      <c r="O167" s="478">
        <v>12.700784204671859</v>
      </c>
      <c r="Q167" s="514">
        <v>0</v>
      </c>
      <c r="R167" s="497">
        <v>224.38</v>
      </c>
      <c r="S167" s="443">
        <v>224.38</v>
      </c>
      <c r="T167" s="498">
        <v>101.77382119618505</v>
      </c>
      <c r="U167" s="498">
        <v>12.700784204671859</v>
      </c>
      <c r="W167" s="463"/>
    </row>
    <row r="168" spans="1:23" ht="15.75">
      <c r="A168" s="447">
        <v>46023</v>
      </c>
      <c r="B168" s="509">
        <v>0</v>
      </c>
      <c r="C168" s="510">
        <v>0</v>
      </c>
      <c r="D168" s="511">
        <v>0</v>
      </c>
      <c r="E168" s="512">
        <v>0</v>
      </c>
      <c r="F168" s="512">
        <v>0</v>
      </c>
      <c r="G168" s="441">
        <v>0</v>
      </c>
      <c r="H168" s="442">
        <v>0</v>
      </c>
      <c r="I168" s="468"/>
      <c r="J168" s="473">
        <v>1553028.5714285714</v>
      </c>
      <c r="K168" s="439">
        <v>1630.6799999999998</v>
      </c>
      <c r="L168" s="474">
        <v>281.15172413793101</v>
      </c>
      <c r="M168" s="494">
        <v>21149740</v>
      </c>
      <c r="N168" s="475">
        <v>75.225361199009015</v>
      </c>
      <c r="O168" s="478">
        <v>12.969889861898107</v>
      </c>
      <c r="Q168" s="514">
        <v>0</v>
      </c>
      <c r="R168" s="497">
        <v>199</v>
      </c>
      <c r="S168" s="443">
        <v>199</v>
      </c>
      <c r="T168" s="498">
        <v>106.28010050251257</v>
      </c>
      <c r="U168" s="498">
        <v>12.969889861898107</v>
      </c>
      <c r="W168" s="463"/>
    </row>
    <row r="169" spans="1:23" ht="15.75">
      <c r="A169" s="447">
        <v>46054</v>
      </c>
      <c r="B169" s="509">
        <v>0</v>
      </c>
      <c r="C169" s="510">
        <v>0</v>
      </c>
      <c r="D169" s="511">
        <v>0</v>
      </c>
      <c r="E169" s="512">
        <v>0</v>
      </c>
      <c r="F169" s="512">
        <v>0</v>
      </c>
      <c r="G169" s="441">
        <v>0</v>
      </c>
      <c r="H169" s="442">
        <v>0</v>
      </c>
      <c r="I169" s="468"/>
      <c r="J169" s="473">
        <v>1453800</v>
      </c>
      <c r="K169" s="439">
        <v>1526.49</v>
      </c>
      <c r="L169" s="474">
        <v>263.18793103448274</v>
      </c>
      <c r="M169" s="494">
        <v>19061030</v>
      </c>
      <c r="N169" s="475">
        <v>72.423647714691867</v>
      </c>
      <c r="O169" s="478">
        <v>12.486835812877908</v>
      </c>
      <c r="Q169" s="514">
        <v>0</v>
      </c>
      <c r="R169" s="497">
        <v>188.57</v>
      </c>
      <c r="S169" s="443">
        <v>188.57</v>
      </c>
      <c r="T169" s="498">
        <v>101.08198546958688</v>
      </c>
      <c r="U169" s="498">
        <v>12.486835812877908</v>
      </c>
      <c r="W169" s="463"/>
    </row>
    <row r="170" spans="1:23" ht="15.75">
      <c r="A170" s="447">
        <v>46082</v>
      </c>
      <c r="B170" s="509">
        <v>0</v>
      </c>
      <c r="C170" s="510">
        <v>0</v>
      </c>
      <c r="D170" s="511">
        <v>0</v>
      </c>
      <c r="E170" s="512">
        <v>0</v>
      </c>
      <c r="F170" s="512">
        <v>0</v>
      </c>
      <c r="G170" s="441">
        <v>0</v>
      </c>
      <c r="H170" s="442">
        <v>0</v>
      </c>
      <c r="I170" s="468"/>
      <c r="J170" s="473">
        <v>1463714.2857142859</v>
      </c>
      <c r="K170" s="439">
        <v>1536.9</v>
      </c>
      <c r="L170" s="474">
        <v>264.98275862068965</v>
      </c>
      <c r="M170" s="494">
        <v>18059930</v>
      </c>
      <c r="N170" s="475">
        <v>68.155113540243349</v>
      </c>
      <c r="O170" s="478">
        <v>11.750881644869542</v>
      </c>
      <c r="Q170" s="514">
        <v>0</v>
      </c>
      <c r="R170" s="497">
        <v>182.3</v>
      </c>
      <c r="S170" s="443">
        <v>182.3</v>
      </c>
      <c r="T170" s="498">
        <v>99.067087218869986</v>
      </c>
      <c r="U170" s="498">
        <v>11.750881644869542</v>
      </c>
      <c r="W170" s="463"/>
    </row>
    <row r="171" spans="1:23" ht="15.75">
      <c r="A171" s="447">
        <v>46113</v>
      </c>
      <c r="B171" s="509">
        <v>0</v>
      </c>
      <c r="C171" s="510">
        <v>0</v>
      </c>
      <c r="D171" s="511">
        <v>0</v>
      </c>
      <c r="E171" s="512">
        <v>0</v>
      </c>
      <c r="F171" s="512">
        <v>0</v>
      </c>
      <c r="G171" s="441">
        <v>0</v>
      </c>
      <c r="H171" s="442">
        <v>0</v>
      </c>
      <c r="I171" s="468"/>
      <c r="J171" s="473">
        <v>1723457.142857143</v>
      </c>
      <c r="K171" s="439">
        <v>1809.63</v>
      </c>
      <c r="L171" s="474">
        <v>312.0051724137931</v>
      </c>
      <c r="M171" s="494">
        <v>20207580</v>
      </c>
      <c r="N171" s="475">
        <v>64.766810895044856</v>
      </c>
      <c r="O171" s="478">
        <v>11.166691533628422</v>
      </c>
      <c r="Q171" s="514">
        <v>0</v>
      </c>
      <c r="R171" s="497">
        <v>228.46</v>
      </c>
      <c r="S171" s="443">
        <v>228.46</v>
      </c>
      <c r="T171" s="498">
        <v>88.451282500218866</v>
      </c>
      <c r="U171" s="498">
        <v>11.166691533628422</v>
      </c>
      <c r="W171" s="463"/>
    </row>
    <row r="172" spans="1:23" ht="15.75">
      <c r="A172" s="447">
        <v>46143</v>
      </c>
      <c r="B172" s="509">
        <v>0</v>
      </c>
      <c r="C172" s="510">
        <v>0</v>
      </c>
      <c r="D172" s="511">
        <v>0</v>
      </c>
      <c r="E172" s="512">
        <v>0</v>
      </c>
      <c r="F172" s="512">
        <v>0</v>
      </c>
      <c r="G172" s="441">
        <v>0</v>
      </c>
      <c r="H172" s="442">
        <v>0</v>
      </c>
      <c r="I172" s="468"/>
      <c r="J172" s="473">
        <v>1984438.0952380951</v>
      </c>
      <c r="K172" s="439">
        <v>2083.66</v>
      </c>
      <c r="L172" s="474">
        <v>359.25172413793103</v>
      </c>
      <c r="M172" s="494">
        <v>23238860</v>
      </c>
      <c r="N172" s="475">
        <v>64.686843342963826</v>
      </c>
      <c r="O172" s="478">
        <v>11.152904024648937</v>
      </c>
      <c r="Q172" s="514">
        <v>0</v>
      </c>
      <c r="R172" s="497">
        <v>267.01</v>
      </c>
      <c r="S172" s="443">
        <v>267.01</v>
      </c>
      <c r="T172" s="498">
        <v>87.033669150968137</v>
      </c>
      <c r="U172" s="498">
        <v>11.152904024648937</v>
      </c>
      <c r="W172" s="463"/>
    </row>
    <row r="173" spans="1:23" ht="16.5" thickBot="1">
      <c r="A173" s="447">
        <v>46174</v>
      </c>
      <c r="B173" s="509">
        <v>0</v>
      </c>
      <c r="C173" s="510">
        <v>0</v>
      </c>
      <c r="D173" s="511">
        <v>0</v>
      </c>
      <c r="E173" s="512">
        <v>0</v>
      </c>
      <c r="F173" s="512">
        <v>0</v>
      </c>
      <c r="G173" s="441">
        <v>0</v>
      </c>
      <c r="H173" s="442">
        <v>0</v>
      </c>
      <c r="I173" s="468"/>
      <c r="J173" s="473">
        <v>1863342.857142857</v>
      </c>
      <c r="K173" s="439">
        <v>1956.5099999999998</v>
      </c>
      <c r="L173" s="474">
        <v>337.32931034482755</v>
      </c>
      <c r="M173" s="494">
        <v>22029960</v>
      </c>
      <c r="N173" s="475">
        <v>65.306984375239594</v>
      </c>
      <c r="O173" s="478">
        <v>11.259824892282689</v>
      </c>
      <c r="Q173" s="514">
        <v>0</v>
      </c>
      <c r="R173" s="497">
        <v>249.45</v>
      </c>
      <c r="S173" s="443">
        <v>249.45</v>
      </c>
      <c r="T173" s="498">
        <v>88.314131088394475</v>
      </c>
      <c r="U173" s="498">
        <v>11.259824892282689</v>
      </c>
      <c r="W173" s="463"/>
    </row>
    <row r="174" spans="1:23" ht="16.5" thickBot="1">
      <c r="A174" s="464" t="s">
        <v>656</v>
      </c>
      <c r="B174" s="515">
        <v>0</v>
      </c>
      <c r="C174" s="516">
        <v>0</v>
      </c>
      <c r="D174" s="480">
        <v>0</v>
      </c>
      <c r="E174" s="517">
        <v>0</v>
      </c>
      <c r="F174" s="480">
        <v>0</v>
      </c>
      <c r="G174" s="454">
        <v>0</v>
      </c>
      <c r="H174" s="455">
        <v>0</v>
      </c>
      <c r="I174" s="675"/>
      <c r="J174" s="479">
        <v>19283542.857142858</v>
      </c>
      <c r="K174" s="450">
        <v>20247.719999999998</v>
      </c>
      <c r="L174" s="450">
        <v>3490.9862068965517</v>
      </c>
      <c r="M174" s="452">
        <v>241297119.99999997</v>
      </c>
      <c r="N174" s="480">
        <v>69.12004393581104</v>
      </c>
      <c r="O174" s="481">
        <v>11.91724895445018</v>
      </c>
      <c r="P174" s="518"/>
      <c r="Q174" s="519">
        <v>0</v>
      </c>
      <c r="R174" s="503">
        <v>2540.62</v>
      </c>
      <c r="S174" s="450">
        <v>2540.62</v>
      </c>
      <c r="T174" s="504">
        <v>94.975683100975345</v>
      </c>
      <c r="U174" s="504">
        <v>11.91724895445018</v>
      </c>
      <c r="V174" s="428"/>
      <c r="W174" s="465"/>
    </row>
    <row r="175" spans="1:23" ht="16.5" thickBot="1">
      <c r="A175" s="459"/>
      <c r="B175" s="490"/>
      <c r="C175" s="490"/>
      <c r="D175" s="490"/>
      <c r="E175" s="490"/>
      <c r="F175" s="490"/>
      <c r="G175" s="490"/>
      <c r="H175" s="490"/>
      <c r="I175" s="490"/>
      <c r="J175" s="490"/>
      <c r="K175" s="490"/>
      <c r="L175" s="490"/>
      <c r="M175" s="507"/>
      <c r="N175" s="465"/>
      <c r="O175" s="490"/>
      <c r="P175" s="490"/>
      <c r="Q175" s="490"/>
      <c r="R175" s="490"/>
      <c r="S175" s="490"/>
      <c r="T175" s="490"/>
      <c r="U175" s="490"/>
      <c r="V175" s="490"/>
      <c r="W175" s="490"/>
    </row>
    <row r="176" spans="1:23" ht="18.75" thickBot="1">
      <c r="A176" s="427" t="s">
        <v>2668</v>
      </c>
      <c r="B176" s="520" t="s">
        <v>2705</v>
      </c>
      <c r="F176" s="1283" t="s">
        <v>2706</v>
      </c>
      <c r="G176" s="1284"/>
      <c r="H176" s="1284"/>
      <c r="I176" s="1284"/>
      <c r="J176" s="1284"/>
      <c r="K176" s="1284"/>
      <c r="L176" s="1284"/>
      <c r="M176" s="1285"/>
      <c r="O176" s="521"/>
      <c r="P176" s="521"/>
      <c r="Q176" s="521"/>
      <c r="R176" s="521"/>
      <c r="S176" s="521"/>
      <c r="T176" s="490"/>
      <c r="U176" s="490"/>
      <c r="V176" s="490"/>
      <c r="W176" s="490"/>
    </row>
    <row r="177" spans="1:23" ht="18.75" thickBot="1">
      <c r="A177" s="427" t="s">
        <v>2670</v>
      </c>
      <c r="B177" s="522" t="s">
        <v>2707</v>
      </c>
      <c r="F177" s="1286"/>
      <c r="G177" s="1287"/>
      <c r="H177" s="1287"/>
      <c r="I177" s="1287"/>
      <c r="J177" s="1287"/>
      <c r="K177" s="1287"/>
      <c r="L177" s="1287"/>
      <c r="M177" s="1288"/>
      <c r="O177" s="521"/>
      <c r="P177" s="521"/>
      <c r="Q177" s="521"/>
      <c r="R177" s="521"/>
      <c r="S177" s="521"/>
      <c r="T177" s="490"/>
      <c r="U177" s="490"/>
      <c r="V177" s="490"/>
      <c r="W177" s="490"/>
    </row>
    <row r="178" spans="1:23" ht="30" thickBot="1">
      <c r="B178" s="436" t="s">
        <v>2679</v>
      </c>
      <c r="D178" s="483"/>
      <c r="E178" s="431"/>
      <c r="F178" s="432" t="s">
        <v>2708</v>
      </c>
      <c r="G178" s="433" t="s">
        <v>2709</v>
      </c>
      <c r="H178" s="433" t="s">
        <v>2673</v>
      </c>
      <c r="I178" s="434" t="s">
        <v>2710</v>
      </c>
      <c r="J178" s="434" t="s">
        <v>2678</v>
      </c>
      <c r="K178" s="523"/>
      <c r="L178" s="524" t="s">
        <v>2679</v>
      </c>
      <c r="M178" s="461" t="s">
        <v>2680</v>
      </c>
      <c r="O178" s="525"/>
      <c r="P178" s="525"/>
      <c r="Q178" s="526"/>
      <c r="R178" s="526"/>
      <c r="S178" s="526"/>
    </row>
    <row r="179" spans="1:23" ht="15.75">
      <c r="A179" s="467">
        <v>45839</v>
      </c>
      <c r="B179" s="527">
        <v>4.46</v>
      </c>
      <c r="C179" s="428"/>
      <c r="D179" s="528">
        <v>45839</v>
      </c>
      <c r="E179" s="462"/>
      <c r="F179" s="529">
        <v>158271314.95894912</v>
      </c>
      <c r="G179" s="530">
        <v>2078.636699507389</v>
      </c>
      <c r="H179" s="496">
        <v>12582.05</v>
      </c>
      <c r="I179" s="531">
        <v>76.141884243868802</v>
      </c>
      <c r="J179" s="532">
        <v>12.579135749655192</v>
      </c>
      <c r="K179" s="533"/>
      <c r="L179" s="534">
        <v>975.45000000000016</v>
      </c>
      <c r="M179" s="498">
        <v>162.25466703464974</v>
      </c>
      <c r="N179" s="535"/>
      <c r="O179" s="536"/>
      <c r="P179" s="537"/>
      <c r="Q179" s="536"/>
      <c r="R179" s="537"/>
      <c r="S179" s="538"/>
      <c r="U179" s="539"/>
      <c r="V179" s="539"/>
      <c r="W179" s="539"/>
    </row>
    <row r="180" spans="1:23" ht="15.75">
      <c r="A180" s="447">
        <v>45870</v>
      </c>
      <c r="B180" s="527">
        <v>3.55</v>
      </c>
      <c r="C180" s="428"/>
      <c r="D180" s="540">
        <v>45870</v>
      </c>
      <c r="E180" s="541"/>
      <c r="F180" s="529">
        <v>165146993.97920087</v>
      </c>
      <c r="G180" s="530">
        <v>2171.1762452107278</v>
      </c>
      <c r="H180" s="496">
        <v>13183.349999999999</v>
      </c>
      <c r="I180" s="531">
        <v>76.063375482984895</v>
      </c>
      <c r="J180" s="532">
        <v>12.526936930234037</v>
      </c>
      <c r="K180" s="533"/>
      <c r="L180" s="534">
        <v>1047.1499999999999</v>
      </c>
      <c r="M180" s="498">
        <v>157.71092391653622</v>
      </c>
      <c r="N180" s="535"/>
      <c r="O180" s="536" t="s">
        <v>2711</v>
      </c>
      <c r="P180" s="537"/>
      <c r="Q180" s="1252">
        <f>$F$191*('E-1'!$G$33/'E-1'!$D$33)</f>
        <v>1659770337.5443616</v>
      </c>
      <c r="R180" s="1252"/>
      <c r="S180" s="538"/>
      <c r="U180" s="539"/>
      <c r="V180" s="539"/>
    </row>
    <row r="181" spans="1:23" ht="16.5" thickBot="1">
      <c r="A181" s="447">
        <v>45901</v>
      </c>
      <c r="B181" s="527">
        <v>3.82</v>
      </c>
      <c r="C181" s="428"/>
      <c r="D181" s="1262">
        <v>45901</v>
      </c>
      <c r="E181" s="1263"/>
      <c r="F181" s="529">
        <v>168371169.55117679</v>
      </c>
      <c r="G181" s="530">
        <v>2215.2199781061854</v>
      </c>
      <c r="H181" s="496">
        <v>13449.31</v>
      </c>
      <c r="I181" s="531">
        <v>76.006523602734489</v>
      </c>
      <c r="J181" s="532">
        <v>12.518944804690856</v>
      </c>
      <c r="K181" s="533"/>
      <c r="L181" s="534">
        <v>1082.0899999999997</v>
      </c>
      <c r="M181" s="498">
        <v>155.59811988945174</v>
      </c>
      <c r="N181" s="535"/>
      <c r="O181" s="536" t="s">
        <v>2712</v>
      </c>
      <c r="P181" s="537"/>
      <c r="Q181" s="1252">
        <f>F191*('E-1'!$J$33/'E-1'!$D$33)</f>
        <v>1623835232.7383296</v>
      </c>
      <c r="R181" s="1252"/>
      <c r="S181" s="538"/>
      <c r="U181" s="539"/>
      <c r="V181" s="539"/>
    </row>
    <row r="182" spans="1:23" ht="16.5" thickBot="1">
      <c r="A182" s="447">
        <v>45931</v>
      </c>
      <c r="B182" s="527">
        <v>4.3099999999999996</v>
      </c>
      <c r="D182" s="1262">
        <v>45931</v>
      </c>
      <c r="E182" s="1263"/>
      <c r="F182" s="529">
        <v>168299436.37657362</v>
      </c>
      <c r="G182" s="530">
        <v>2182.0388615216202</v>
      </c>
      <c r="H182" s="496">
        <v>13239.5</v>
      </c>
      <c r="I182" s="531">
        <v>77.129440425828122</v>
      </c>
      <c r="J182" s="532">
        <v>12.711917850113194</v>
      </c>
      <c r="K182" s="533"/>
      <c r="L182" s="534">
        <v>1088.67</v>
      </c>
      <c r="M182" s="498">
        <v>154.59178297975845</v>
      </c>
      <c r="N182" s="542"/>
      <c r="O182" s="536"/>
      <c r="P182" s="537"/>
      <c r="Q182" s="536"/>
      <c r="R182" s="537"/>
      <c r="S182" s="538"/>
      <c r="U182" s="539"/>
      <c r="V182" s="539"/>
    </row>
    <row r="183" spans="1:23" ht="16.5" thickBot="1">
      <c r="A183" s="447">
        <v>45962</v>
      </c>
      <c r="B183" s="527">
        <v>4.28</v>
      </c>
      <c r="D183" s="1262">
        <v>45962</v>
      </c>
      <c r="E183" s="1263"/>
      <c r="F183" s="529">
        <v>154675697.4165298</v>
      </c>
      <c r="G183" s="530">
        <v>2033.2384783798577</v>
      </c>
      <c r="H183" s="496">
        <v>12237.480000000001</v>
      </c>
      <c r="I183" s="531">
        <v>76.073563952901296</v>
      </c>
      <c r="J183" s="532">
        <v>12.639505634863534</v>
      </c>
      <c r="K183" s="533"/>
      <c r="L183" s="534">
        <v>966.12999999999988</v>
      </c>
      <c r="M183" s="498">
        <v>160.0982242726443</v>
      </c>
      <c r="N183" s="542"/>
      <c r="O183" s="536"/>
      <c r="P183" s="537"/>
      <c r="Q183" s="536"/>
      <c r="R183" s="537"/>
      <c r="S183" s="538"/>
      <c r="U183" s="539"/>
      <c r="V183" s="539"/>
    </row>
    <row r="184" spans="1:23" ht="16.5" thickBot="1">
      <c r="A184" s="447">
        <v>45992</v>
      </c>
      <c r="B184" s="527">
        <v>3.69</v>
      </c>
      <c r="D184" s="1262">
        <v>45992</v>
      </c>
      <c r="E184" s="1263"/>
      <c r="F184" s="529">
        <v>125398385.58839628</v>
      </c>
      <c r="G184" s="530">
        <v>1644.528927203065</v>
      </c>
      <c r="H184" s="496">
        <v>9966.1899999999987</v>
      </c>
      <c r="I184" s="531">
        <v>76.251857607435198</v>
      </c>
      <c r="J184" s="532">
        <v>12.582379584213857</v>
      </c>
      <c r="K184" s="533"/>
      <c r="L184" s="534">
        <v>754.72000000000014</v>
      </c>
      <c r="M184" s="498">
        <v>166.15219629583987</v>
      </c>
      <c r="N184" s="542"/>
      <c r="O184" s="536"/>
      <c r="P184" s="537"/>
      <c r="Q184" s="536"/>
      <c r="R184" s="537"/>
      <c r="S184" s="538"/>
      <c r="U184" s="539"/>
      <c r="V184" s="539"/>
    </row>
    <row r="185" spans="1:23" ht="16.5" thickBot="1">
      <c r="A185" s="447">
        <v>46023</v>
      </c>
      <c r="B185" s="527">
        <v>1.22</v>
      </c>
      <c r="D185" s="1262">
        <v>46023</v>
      </c>
      <c r="E185" s="1263"/>
      <c r="F185" s="529">
        <v>121825505.48440066</v>
      </c>
      <c r="G185" s="530">
        <v>1585.2324028461958</v>
      </c>
      <c r="H185" s="496">
        <v>9654.09</v>
      </c>
      <c r="I185" s="531">
        <v>76.85024938026109</v>
      </c>
      <c r="J185" s="532">
        <v>12.619056325806023</v>
      </c>
      <c r="K185" s="533"/>
      <c r="L185" s="534">
        <v>722.86000000000013</v>
      </c>
      <c r="M185" s="498">
        <v>168.53264184544815</v>
      </c>
      <c r="N185" s="542"/>
      <c r="O185" s="536"/>
      <c r="P185" s="537"/>
      <c r="Q185" s="536"/>
      <c r="R185" s="537"/>
      <c r="S185" s="538"/>
      <c r="U185" s="539"/>
      <c r="V185" s="539"/>
    </row>
    <row r="186" spans="1:23" ht="16.5" thickBot="1">
      <c r="A186" s="447">
        <v>46054</v>
      </c>
      <c r="B186" s="527">
        <v>1.71</v>
      </c>
      <c r="D186" s="1262">
        <v>46054</v>
      </c>
      <c r="E186" s="1263"/>
      <c r="F186" s="529">
        <v>119498074.4499179</v>
      </c>
      <c r="G186" s="530">
        <v>1568.6188286808974</v>
      </c>
      <c r="H186" s="496">
        <v>9594.69</v>
      </c>
      <c r="I186" s="531">
        <v>76.180441204067222</v>
      </c>
      <c r="J186" s="532">
        <v>12.454605041946941</v>
      </c>
      <c r="K186" s="533"/>
      <c r="L186" s="534">
        <v>774.80000000000018</v>
      </c>
      <c r="M186" s="498">
        <v>154.2308653199766</v>
      </c>
      <c r="N186" s="542"/>
      <c r="O186" s="536"/>
      <c r="P186" s="537"/>
      <c r="Q186" s="536"/>
      <c r="R186" s="537"/>
      <c r="S186" s="538"/>
      <c r="U186" s="539"/>
      <c r="V186" s="539"/>
    </row>
    <row r="187" spans="1:23" ht="16.5" thickBot="1">
      <c r="A187" s="447">
        <v>46082</v>
      </c>
      <c r="B187" s="527">
        <v>0.9</v>
      </c>
      <c r="D187" s="1262">
        <v>46082</v>
      </c>
      <c r="E187" s="1263"/>
      <c r="F187" s="529">
        <v>129623451.16037218</v>
      </c>
      <c r="G187" s="530">
        <v>1754.0025998905312</v>
      </c>
      <c r="H187" s="496">
        <v>10740.35</v>
      </c>
      <c r="I187" s="531">
        <v>73.901515977491755</v>
      </c>
      <c r="J187" s="532">
        <v>12.068829336136362</v>
      </c>
      <c r="K187" s="533"/>
      <c r="L187" s="534">
        <v>815.06000000000006</v>
      </c>
      <c r="M187" s="498">
        <v>159.03547120503052</v>
      </c>
      <c r="N187" s="542"/>
      <c r="O187" s="536"/>
      <c r="P187" s="537"/>
      <c r="Q187" s="536"/>
      <c r="R187" s="537"/>
      <c r="S187" s="538"/>
      <c r="U187" s="539"/>
      <c r="V187" s="539"/>
    </row>
    <row r="188" spans="1:23" ht="16.5" thickBot="1">
      <c r="A188" s="447">
        <v>46113</v>
      </c>
      <c r="B188" s="527">
        <v>2.27</v>
      </c>
      <c r="D188" s="1262">
        <v>46113</v>
      </c>
      <c r="E188" s="1263"/>
      <c r="F188" s="529">
        <v>126194231.59824848</v>
      </c>
      <c r="G188" s="530">
        <v>1763.3786808976463</v>
      </c>
      <c r="H188" s="496">
        <v>10724.89</v>
      </c>
      <c r="I188" s="531">
        <v>71.563886399040186</v>
      </c>
      <c r="J188" s="532">
        <v>11.766482602455456</v>
      </c>
      <c r="K188" s="533"/>
      <c r="L188" s="534">
        <v>823.7</v>
      </c>
      <c r="M188" s="498">
        <v>153.20411751638761</v>
      </c>
      <c r="N188" s="542"/>
      <c r="O188" s="536"/>
      <c r="P188" s="537"/>
      <c r="Q188" s="536"/>
      <c r="R188" s="537"/>
      <c r="S188" s="538"/>
      <c r="U188" s="539"/>
      <c r="V188" s="539"/>
    </row>
    <row r="189" spans="1:23" ht="16.5" thickBot="1">
      <c r="A189" s="447">
        <v>46143</v>
      </c>
      <c r="B189" s="527">
        <v>3.49</v>
      </c>
      <c r="D189" s="1262">
        <v>46143</v>
      </c>
      <c r="E189" s="1263"/>
      <c r="F189" s="529">
        <v>131458217.90914069</v>
      </c>
      <c r="G189" s="530">
        <v>1866.9276135741654</v>
      </c>
      <c r="H189" s="496">
        <v>11308</v>
      </c>
      <c r="I189" s="531">
        <v>70.414201896916978</v>
      </c>
      <c r="J189" s="532">
        <v>11.62524035277155</v>
      </c>
      <c r="K189" s="533"/>
      <c r="L189" s="534">
        <v>881.6099999999999</v>
      </c>
      <c r="M189" s="498">
        <v>149.11153220714453</v>
      </c>
      <c r="N189" s="542"/>
      <c r="O189" s="536"/>
      <c r="P189" s="632"/>
      <c r="Q189" s="633"/>
      <c r="R189" s="537"/>
      <c r="S189" s="538"/>
      <c r="U189" s="539"/>
      <c r="V189" s="539"/>
    </row>
    <row r="190" spans="1:23" ht="16.5" thickBot="1">
      <c r="A190" s="447">
        <v>46174</v>
      </c>
      <c r="B190" s="527">
        <v>3.17</v>
      </c>
      <c r="D190" s="1262">
        <v>46174</v>
      </c>
      <c r="E190" s="1263"/>
      <c r="F190" s="529">
        <v>142197550.14778325</v>
      </c>
      <c r="G190" s="530">
        <v>1987.4686097427477</v>
      </c>
      <c r="H190" s="496">
        <v>11993.560000000001</v>
      </c>
      <c r="I190" s="531">
        <v>71.547067184215251</v>
      </c>
      <c r="J190" s="532">
        <v>11.856158650791194</v>
      </c>
      <c r="K190" s="533"/>
      <c r="L190" s="534">
        <v>947.6</v>
      </c>
      <c r="M190" s="498">
        <v>150.06073253248547</v>
      </c>
      <c r="N190" s="542"/>
      <c r="O190" s="536"/>
      <c r="P190" s="537"/>
      <c r="Q190" s="536"/>
      <c r="R190" s="537"/>
      <c r="S190" s="538"/>
      <c r="U190" s="539"/>
      <c r="V190" s="539"/>
    </row>
    <row r="191" spans="1:23" ht="16.5" thickBot="1">
      <c r="A191" s="464" t="s">
        <v>656</v>
      </c>
      <c r="B191" s="543">
        <v>36.870000000000005</v>
      </c>
      <c r="D191" s="1264" t="s">
        <v>656</v>
      </c>
      <c r="E191" s="1265"/>
      <c r="F191" s="545">
        <v>1710960028.6206896</v>
      </c>
      <c r="G191" s="546">
        <v>22850.467925561024</v>
      </c>
      <c r="H191" s="547">
        <v>138673.46000000002</v>
      </c>
      <c r="I191" s="548">
        <v>74.87636726715661</v>
      </c>
      <c r="J191" s="549">
        <v>12.33804960675741</v>
      </c>
      <c r="K191" s="518"/>
      <c r="L191" s="550">
        <v>10879.840000000002</v>
      </c>
      <c r="M191" s="551">
        <v>157.25966821393416</v>
      </c>
      <c r="O191" s="507"/>
      <c r="P191" s="552"/>
      <c r="Q191" s="553"/>
      <c r="R191" s="552"/>
      <c r="S191" s="554"/>
      <c r="U191" s="539"/>
      <c r="V191" s="539"/>
    </row>
    <row r="192" spans="1:23" ht="15" thickBot="1"/>
    <row r="193" spans="2:21">
      <c r="B193" s="1267" t="s">
        <v>2713</v>
      </c>
      <c r="C193" s="1268"/>
      <c r="D193" s="1268"/>
      <c r="E193" s="1268"/>
      <c r="F193" s="1268"/>
      <c r="G193" s="1268"/>
      <c r="H193" s="1268"/>
      <c r="I193" s="1268"/>
      <c r="J193" s="1268"/>
      <c r="K193" s="1268"/>
      <c r="L193" s="1268"/>
      <c r="M193" s="1268"/>
      <c r="N193" s="1268"/>
      <c r="O193" s="1268"/>
      <c r="P193" s="1268"/>
      <c r="Q193" s="1268"/>
      <c r="R193" s="1268"/>
      <c r="S193" s="1269"/>
    </row>
    <row r="194" spans="2:21">
      <c r="B194" s="1270"/>
      <c r="C194" s="1266"/>
      <c r="D194" s="1266"/>
      <c r="E194" s="1266"/>
      <c r="F194" s="1266"/>
      <c r="G194" s="1266"/>
      <c r="H194" s="1266"/>
      <c r="I194" s="1266"/>
      <c r="J194" s="1266"/>
      <c r="K194" s="1266"/>
      <c r="L194" s="1266"/>
      <c r="M194" s="1266"/>
      <c r="N194" s="1266"/>
      <c r="O194" s="1266"/>
      <c r="P194" s="1266"/>
      <c r="Q194" s="1266"/>
      <c r="R194" s="1266"/>
      <c r="S194" s="1271"/>
    </row>
    <row r="195" spans="2:21">
      <c r="B195" s="1270"/>
      <c r="C195" s="1266"/>
      <c r="D195" s="1266"/>
      <c r="E195" s="1266"/>
      <c r="F195" s="1266"/>
      <c r="G195" s="1266"/>
      <c r="H195" s="1266"/>
      <c r="I195" s="1266"/>
      <c r="J195" s="1266"/>
      <c r="K195" s="1266"/>
      <c r="L195" s="1266"/>
      <c r="M195" s="1266"/>
      <c r="N195" s="1266"/>
      <c r="O195" s="1266"/>
      <c r="P195" s="1266"/>
      <c r="Q195" s="1266"/>
      <c r="R195" s="1266"/>
      <c r="S195" s="1271"/>
    </row>
    <row r="196" spans="2:21">
      <c r="B196" s="1270"/>
      <c r="C196" s="1266"/>
      <c r="D196" s="1266"/>
      <c r="E196" s="1266"/>
      <c r="F196" s="1266"/>
      <c r="G196" s="1266"/>
      <c r="H196" s="1266"/>
      <c r="I196" s="1266"/>
      <c r="J196" s="1266"/>
      <c r="K196" s="1266"/>
      <c r="L196" s="1266"/>
      <c r="M196" s="1266"/>
      <c r="N196" s="1266"/>
      <c r="O196" s="1266"/>
      <c r="P196" s="1266"/>
      <c r="Q196" s="1266"/>
      <c r="R196" s="1266"/>
      <c r="S196" s="1271"/>
    </row>
    <row r="197" spans="2:21" ht="15" thickBot="1">
      <c r="B197" s="1272"/>
      <c r="C197" s="1273"/>
      <c r="D197" s="1273"/>
      <c r="E197" s="1273"/>
      <c r="F197" s="1273"/>
      <c r="G197" s="1273"/>
      <c r="H197" s="1273"/>
      <c r="I197" s="1273"/>
      <c r="J197" s="1273"/>
      <c r="K197" s="1273"/>
      <c r="L197" s="1273"/>
      <c r="M197" s="1273"/>
      <c r="N197" s="1273"/>
      <c r="O197" s="1273"/>
      <c r="P197" s="1273"/>
      <c r="Q197" s="1273"/>
      <c r="R197" s="1273"/>
      <c r="S197" s="1274"/>
    </row>
    <row r="198" spans="2:21" ht="19.5" thickBot="1">
      <c r="B198" s="425"/>
      <c r="C198" s="425"/>
      <c r="D198" s="425"/>
      <c r="E198" s="425"/>
      <c r="F198" s="425"/>
      <c r="G198" s="425"/>
      <c r="H198" s="425"/>
      <c r="I198" s="425"/>
      <c r="J198" s="425"/>
      <c r="K198" s="425"/>
      <c r="L198" s="425"/>
      <c r="M198" s="425"/>
      <c r="N198" s="425"/>
      <c r="O198" s="556"/>
      <c r="P198" s="556"/>
    </row>
    <row r="199" spans="2:21" ht="19.5" thickBot="1">
      <c r="C199" s="1275" t="s">
        <v>2714</v>
      </c>
      <c r="D199" s="1276"/>
      <c r="E199" s="1276"/>
      <c r="F199" s="1276"/>
      <c r="G199" s="1276"/>
      <c r="H199" s="1276"/>
      <c r="I199" s="428"/>
      <c r="K199" s="1277" t="s">
        <v>2715</v>
      </c>
      <c r="L199" s="1278"/>
      <c r="M199" s="1278"/>
      <c r="N199" s="1278"/>
      <c r="O199" s="1278"/>
      <c r="P199" s="1278"/>
      <c r="Q199" s="1278"/>
      <c r="R199" s="1278"/>
      <c r="S199" s="1279"/>
    </row>
    <row r="200" spans="2:21" ht="16.5" thickBot="1">
      <c r="C200" s="557"/>
      <c r="D200" s="557"/>
      <c r="E200" s="557"/>
      <c r="F200" s="557"/>
      <c r="G200" s="557"/>
      <c r="H200" s="557"/>
    </row>
    <row r="201" spans="2:21" ht="18.75" thickBot="1">
      <c r="C201" s="513"/>
      <c r="D201" s="1256" t="s">
        <v>2716</v>
      </c>
      <c r="E201" s="1257"/>
      <c r="F201" s="1257"/>
      <c r="G201" s="1257"/>
      <c r="H201" s="1258"/>
      <c r="I201" s="428"/>
      <c r="L201" s="1259" t="s">
        <v>2717</v>
      </c>
      <c r="M201" s="1260"/>
      <c r="N201" s="1260"/>
      <c r="O201" s="428"/>
      <c r="Q201" s="1259" t="s">
        <v>2718</v>
      </c>
      <c r="R201" s="1260"/>
      <c r="S201" s="1261"/>
    </row>
    <row r="202" spans="2:21" ht="48" thickBot="1">
      <c r="C202" s="522" t="s">
        <v>2719</v>
      </c>
      <c r="D202" s="558" t="s">
        <v>2674</v>
      </c>
      <c r="E202" s="559" t="s">
        <v>2676</v>
      </c>
      <c r="F202" s="559" t="s">
        <v>2720</v>
      </c>
      <c r="G202" s="560" t="s">
        <v>2679</v>
      </c>
      <c r="H202" s="561" t="s">
        <v>2721</v>
      </c>
      <c r="I202" s="428"/>
      <c r="K202" s="562" t="s">
        <v>2719</v>
      </c>
      <c r="L202" s="559" t="s">
        <v>2676</v>
      </c>
      <c r="M202" s="563" t="s">
        <v>2679</v>
      </c>
      <c r="N202" s="564" t="s">
        <v>2721</v>
      </c>
      <c r="O202" s="525"/>
      <c r="P202" s="565" t="s">
        <v>2719</v>
      </c>
      <c r="Q202" s="559" t="s">
        <v>2676</v>
      </c>
      <c r="R202" s="566" t="s">
        <v>2679</v>
      </c>
      <c r="S202" s="567" t="s">
        <v>2721</v>
      </c>
    </row>
    <row r="203" spans="2:21" ht="16.5" thickBot="1">
      <c r="B203" s="513"/>
      <c r="C203" s="568">
        <v>45839</v>
      </c>
      <c r="D203" s="440">
        <v>19057960</v>
      </c>
      <c r="E203" s="569">
        <v>33294269.41</v>
      </c>
      <c r="F203" s="570">
        <v>2857140</v>
      </c>
      <c r="G203" s="571">
        <v>290.83000000000004</v>
      </c>
      <c r="H203" s="572">
        <v>114.48017539456038</v>
      </c>
      <c r="I203" s="573"/>
      <c r="J203" s="557"/>
      <c r="K203" s="574">
        <v>45839</v>
      </c>
      <c r="L203" s="575">
        <v>3850320</v>
      </c>
      <c r="M203" s="530">
        <v>20.78</v>
      </c>
      <c r="N203" s="576">
        <v>185.28970163618865</v>
      </c>
      <c r="O203" s="577"/>
      <c r="P203" s="542">
        <v>45839</v>
      </c>
      <c r="Q203" s="575">
        <v>3519660</v>
      </c>
      <c r="R203" s="530">
        <v>21.36</v>
      </c>
      <c r="S203" s="576">
        <v>164.77808988764045</v>
      </c>
      <c r="T203" s="445"/>
    </row>
    <row r="204" spans="2:21" ht="16.5" thickBot="1">
      <c r="B204" s="513"/>
      <c r="C204" s="578">
        <v>45870</v>
      </c>
      <c r="D204" s="440">
        <v>18502809.999999996</v>
      </c>
      <c r="E204" s="569">
        <v>32662033.939999998</v>
      </c>
      <c r="F204" s="570">
        <v>2773920</v>
      </c>
      <c r="G204" s="571">
        <v>282.36</v>
      </c>
      <c r="H204" s="579">
        <v>115.67514499220852</v>
      </c>
      <c r="I204" s="573"/>
      <c r="J204" s="676"/>
      <c r="K204" s="677">
        <v>45870</v>
      </c>
      <c r="L204" s="575">
        <v>3838529.9999999995</v>
      </c>
      <c r="M204" s="530">
        <v>20.78</v>
      </c>
      <c r="N204" s="576">
        <v>184.72232916265637</v>
      </c>
      <c r="O204" s="577"/>
      <c r="P204" s="447">
        <v>45870</v>
      </c>
      <c r="Q204" s="575">
        <v>3137769.9999999995</v>
      </c>
      <c r="R204" s="530">
        <v>19.079999999999998</v>
      </c>
      <c r="S204" s="576">
        <v>164.45335429769392</v>
      </c>
      <c r="T204" s="445"/>
      <c r="U204" s="463"/>
    </row>
    <row r="205" spans="2:21" ht="16.5" thickBot="1">
      <c r="B205" s="513"/>
      <c r="C205" s="447">
        <v>45901</v>
      </c>
      <c r="D205" s="440">
        <v>17986620.000000004</v>
      </c>
      <c r="E205" s="569">
        <v>32074219.070000004</v>
      </c>
      <c r="F205" s="570">
        <v>2696529.9999999995</v>
      </c>
      <c r="G205" s="571">
        <v>274.49</v>
      </c>
      <c r="H205" s="580">
        <v>116.8502279500164</v>
      </c>
      <c r="I205" s="573"/>
      <c r="J205" s="676"/>
      <c r="K205" s="677">
        <v>45901</v>
      </c>
      <c r="L205" s="575">
        <v>3708320</v>
      </c>
      <c r="M205" s="530">
        <v>20.21</v>
      </c>
      <c r="N205" s="581">
        <v>183.48936170212767</v>
      </c>
      <c r="O205" s="577"/>
      <c r="P205" s="447">
        <v>45901</v>
      </c>
      <c r="Q205" s="575">
        <v>2020679.9999999998</v>
      </c>
      <c r="R205" s="530">
        <v>12.36</v>
      </c>
      <c r="S205" s="581">
        <v>163.48543689320388</v>
      </c>
      <c r="T205" s="445"/>
    </row>
    <row r="206" spans="2:21" ht="16.5" thickBot="1">
      <c r="B206" s="513"/>
      <c r="C206" s="447">
        <v>45931</v>
      </c>
      <c r="D206" s="440">
        <v>16505770</v>
      </c>
      <c r="E206" s="569">
        <v>30387595.460000001</v>
      </c>
      <c r="F206" s="570">
        <v>2474520</v>
      </c>
      <c r="G206" s="571">
        <v>251.88</v>
      </c>
      <c r="H206" s="580">
        <v>120.64314538669208</v>
      </c>
      <c r="I206" s="573"/>
      <c r="J206" s="477"/>
      <c r="K206" s="677">
        <v>45931</v>
      </c>
      <c r="L206" s="575">
        <v>4599559.9999999991</v>
      </c>
      <c r="M206" s="530">
        <v>27.12</v>
      </c>
      <c r="N206" s="581">
        <v>169.60029498525071</v>
      </c>
      <c r="O206" s="577"/>
      <c r="P206" s="447">
        <v>45931</v>
      </c>
      <c r="Q206" s="575">
        <v>1246710</v>
      </c>
      <c r="R206" s="530">
        <v>7.81</v>
      </c>
      <c r="S206" s="581">
        <v>159.62996158770807</v>
      </c>
      <c r="T206" s="445"/>
    </row>
    <row r="207" spans="2:21" ht="16.5" thickBot="1">
      <c r="B207" s="513"/>
      <c r="C207" s="447">
        <v>45962</v>
      </c>
      <c r="D207" s="440">
        <v>13790290</v>
      </c>
      <c r="E207" s="569">
        <v>27295061.030000001</v>
      </c>
      <c r="F207" s="570">
        <v>2067420</v>
      </c>
      <c r="G207" s="571">
        <v>210.45</v>
      </c>
      <c r="H207" s="580">
        <v>129.69855561891185</v>
      </c>
      <c r="I207" s="573"/>
      <c r="J207" s="477"/>
      <c r="K207" s="677">
        <v>45962</v>
      </c>
      <c r="L207" s="575">
        <v>6371050</v>
      </c>
      <c r="M207" s="530">
        <v>43.09</v>
      </c>
      <c r="N207" s="581">
        <v>147.85449060106754</v>
      </c>
      <c r="O207" s="577"/>
      <c r="P207" s="447">
        <v>45962</v>
      </c>
      <c r="Q207" s="575">
        <v>1463280</v>
      </c>
      <c r="R207" s="530">
        <v>9.1900000000000013</v>
      </c>
      <c r="S207" s="581">
        <v>159.22524483133839</v>
      </c>
      <c r="T207" s="445"/>
    </row>
    <row r="208" spans="2:21" ht="16.5" thickBot="1">
      <c r="B208" s="513"/>
      <c r="C208" s="447">
        <v>45992</v>
      </c>
      <c r="D208" s="440">
        <v>16731220.000000002</v>
      </c>
      <c r="E208" s="569">
        <v>30644443.91</v>
      </c>
      <c r="F208" s="570">
        <v>2508319.9999999995</v>
      </c>
      <c r="G208" s="571">
        <v>255.32999999999998</v>
      </c>
      <c r="H208" s="580">
        <v>120.01897117455843</v>
      </c>
      <c r="I208" s="573"/>
      <c r="J208" s="477"/>
      <c r="K208" s="677">
        <v>45992</v>
      </c>
      <c r="L208" s="575">
        <v>12475540</v>
      </c>
      <c r="M208" s="530">
        <v>97.57</v>
      </c>
      <c r="N208" s="581">
        <v>127.86245772266068</v>
      </c>
      <c r="O208" s="577"/>
      <c r="P208" s="447">
        <v>45992</v>
      </c>
      <c r="Q208" s="575">
        <v>2217200</v>
      </c>
      <c r="R208" s="530">
        <v>13.97</v>
      </c>
      <c r="S208" s="581">
        <v>158.71152469577663</v>
      </c>
      <c r="T208" s="445"/>
    </row>
    <row r="209" spans="2:28" ht="16.5" thickBot="1">
      <c r="B209" s="513"/>
      <c r="C209" s="447">
        <v>46023</v>
      </c>
      <c r="D209" s="440">
        <v>17435820</v>
      </c>
      <c r="E209" s="569">
        <v>31286884.079999998</v>
      </c>
      <c r="F209" s="570">
        <v>2441189.9999999995</v>
      </c>
      <c r="G209" s="571">
        <v>248.5</v>
      </c>
      <c r="H209" s="580">
        <v>125.9029540442656</v>
      </c>
      <c r="I209" s="573"/>
      <c r="J209" s="477"/>
      <c r="K209" s="677">
        <v>46023</v>
      </c>
      <c r="L209" s="575">
        <v>13990280</v>
      </c>
      <c r="M209" s="530">
        <v>110.10000000000001</v>
      </c>
      <c r="N209" s="581">
        <v>127.06884650317892</v>
      </c>
      <c r="O209" s="577"/>
      <c r="P209" s="447">
        <v>46023</v>
      </c>
      <c r="Q209" s="575">
        <v>2736490</v>
      </c>
      <c r="R209" s="530">
        <v>16.78</v>
      </c>
      <c r="S209" s="581">
        <v>163.08045292014302</v>
      </c>
      <c r="T209" s="445"/>
    </row>
    <row r="210" spans="2:28" ht="16.5" thickBot="1">
      <c r="B210" s="513"/>
      <c r="C210" s="447">
        <v>46054</v>
      </c>
      <c r="D210" s="440">
        <v>16757210</v>
      </c>
      <c r="E210" s="569">
        <v>30520176.399999999</v>
      </c>
      <c r="F210" s="570">
        <v>2346170</v>
      </c>
      <c r="G210" s="571">
        <v>238.82</v>
      </c>
      <c r="H210" s="580">
        <v>127.7957306758228</v>
      </c>
      <c r="I210" s="573"/>
      <c r="J210" s="477"/>
      <c r="K210" s="677">
        <v>46054</v>
      </c>
      <c r="L210" s="575">
        <v>13736490</v>
      </c>
      <c r="M210" s="530">
        <v>107.47000000000001</v>
      </c>
      <c r="N210" s="581">
        <v>127.8169721782823</v>
      </c>
      <c r="O210" s="577"/>
      <c r="P210" s="447">
        <v>46054</v>
      </c>
      <c r="Q210" s="575">
        <v>1914720</v>
      </c>
      <c r="R210" s="530">
        <v>12.02</v>
      </c>
      <c r="S210" s="581">
        <v>159.29450915141433</v>
      </c>
      <c r="T210" s="445"/>
    </row>
    <row r="211" spans="2:28" ht="16.5" thickBot="1">
      <c r="B211" s="513"/>
      <c r="C211" s="447">
        <v>46082</v>
      </c>
      <c r="D211" s="440">
        <v>15600350</v>
      </c>
      <c r="E211" s="569">
        <v>29213331.920000002</v>
      </c>
      <c r="F211" s="570">
        <v>2184200</v>
      </c>
      <c r="G211" s="571">
        <v>222.33999999999997</v>
      </c>
      <c r="H211" s="580">
        <v>131.39035675092202</v>
      </c>
      <c r="I211" s="573"/>
      <c r="J211" s="477"/>
      <c r="K211" s="677">
        <v>46082</v>
      </c>
      <c r="L211" s="575">
        <v>12296190</v>
      </c>
      <c r="M211" s="530">
        <v>96.48</v>
      </c>
      <c r="N211" s="581">
        <v>127.44807213930348</v>
      </c>
      <c r="O211" s="577"/>
      <c r="P211" s="447">
        <v>46082</v>
      </c>
      <c r="Q211" s="575">
        <v>2176920</v>
      </c>
      <c r="R211" s="530">
        <v>13.43</v>
      </c>
      <c r="S211" s="581">
        <v>162.09381980640359</v>
      </c>
      <c r="T211" s="445"/>
    </row>
    <row r="212" spans="2:28" ht="16.5" thickBot="1">
      <c r="B212" s="513"/>
      <c r="C212" s="447">
        <v>46113</v>
      </c>
      <c r="D212" s="440">
        <v>9570390</v>
      </c>
      <c r="E212" s="569">
        <v>22401231.98</v>
      </c>
      <c r="F212" s="570">
        <v>1339950</v>
      </c>
      <c r="G212" s="571">
        <v>136.4</v>
      </c>
      <c r="H212" s="580">
        <v>164.23190601173019</v>
      </c>
      <c r="I212" s="573"/>
      <c r="J212" s="477"/>
      <c r="K212" s="677">
        <v>46113</v>
      </c>
      <c r="L212" s="575">
        <v>16358519.999999998</v>
      </c>
      <c r="M212" s="530">
        <v>125.57</v>
      </c>
      <c r="N212" s="581">
        <v>130.27411005813491</v>
      </c>
      <c r="O212" s="577"/>
      <c r="P212" s="447">
        <v>46113</v>
      </c>
      <c r="Q212" s="575">
        <v>2109990</v>
      </c>
      <c r="R212" s="530">
        <v>13.010000000000002</v>
      </c>
      <c r="S212" s="581">
        <v>162.18216756341272</v>
      </c>
      <c r="T212" s="445"/>
    </row>
    <row r="213" spans="2:28" ht="16.5" thickBot="1">
      <c r="B213" s="513"/>
      <c r="C213" s="447">
        <v>46143</v>
      </c>
      <c r="D213" s="440">
        <v>18277890</v>
      </c>
      <c r="E213" s="569">
        <v>32238075.07</v>
      </c>
      <c r="F213" s="570">
        <v>2559080</v>
      </c>
      <c r="G213" s="571">
        <v>260.49</v>
      </c>
      <c r="H213" s="580">
        <v>123.75935763369034</v>
      </c>
      <c r="I213" s="573"/>
      <c r="J213" s="477"/>
      <c r="K213" s="677">
        <v>46143</v>
      </c>
      <c r="L213" s="575">
        <v>14650559.999999998</v>
      </c>
      <c r="M213" s="530">
        <v>111.44999999999999</v>
      </c>
      <c r="N213" s="581">
        <v>131.45410497981158</v>
      </c>
      <c r="O213" s="577"/>
      <c r="P213" s="447">
        <v>46143</v>
      </c>
      <c r="Q213" s="575">
        <v>1811000</v>
      </c>
      <c r="R213" s="530">
        <v>10.99</v>
      </c>
      <c r="S213" s="581">
        <v>164.78616924476796</v>
      </c>
      <c r="T213" s="445"/>
    </row>
    <row r="214" spans="2:28" ht="16.5" thickBot="1">
      <c r="B214" s="513"/>
      <c r="C214" s="447">
        <v>46174</v>
      </c>
      <c r="D214" s="440">
        <v>19597010.000000004</v>
      </c>
      <c r="E214" s="569">
        <v>33728293.870000005</v>
      </c>
      <c r="F214" s="570">
        <v>2743779.9999999995</v>
      </c>
      <c r="G214" s="571">
        <v>279.28999999999996</v>
      </c>
      <c r="H214" s="580">
        <v>120.76441644885247</v>
      </c>
      <c r="I214" s="573"/>
      <c r="J214" s="477"/>
      <c r="K214" s="677">
        <v>46174</v>
      </c>
      <c r="L214" s="575">
        <v>15338320.000000002</v>
      </c>
      <c r="M214" s="530">
        <v>117.79</v>
      </c>
      <c r="N214" s="581">
        <v>130.2175057305374</v>
      </c>
      <c r="O214" s="577"/>
      <c r="P214" s="447">
        <v>46174</v>
      </c>
      <c r="Q214" s="575">
        <v>2509800</v>
      </c>
      <c r="R214" s="530">
        <v>15.35</v>
      </c>
      <c r="S214" s="581">
        <v>163.50488599348535</v>
      </c>
      <c r="T214" s="445"/>
    </row>
    <row r="215" spans="2:28" ht="16.5" thickBot="1">
      <c r="B215" s="513"/>
      <c r="C215" s="544" t="s">
        <v>656</v>
      </c>
      <c r="D215" s="582">
        <v>199813340.00000003</v>
      </c>
      <c r="E215" s="583">
        <v>365745616.13999999</v>
      </c>
      <c r="F215" s="584">
        <v>28992220</v>
      </c>
      <c r="G215" s="585">
        <v>2951.1800000000003</v>
      </c>
      <c r="H215" s="586">
        <v>123.93199199642176</v>
      </c>
      <c r="I215" s="587"/>
      <c r="K215" s="614" t="s">
        <v>656</v>
      </c>
      <c r="L215" s="588">
        <v>121213680.00000001</v>
      </c>
      <c r="M215" s="589">
        <v>898.41000000000008</v>
      </c>
      <c r="N215" s="590">
        <v>134.92022573212677</v>
      </c>
      <c r="O215" s="591"/>
      <c r="P215" s="544" t="s">
        <v>656</v>
      </c>
      <c r="Q215" s="582">
        <v>26864219.999999996</v>
      </c>
      <c r="R215" s="585">
        <v>165.35</v>
      </c>
      <c r="S215" s="590">
        <v>162.46882370728756</v>
      </c>
      <c r="T215" s="458"/>
      <c r="U215" s="463"/>
      <c r="V215" s="463"/>
    </row>
    <row r="216" spans="2:28" ht="16.5" thickBot="1">
      <c r="C216" s="557"/>
      <c r="D216" s="465"/>
      <c r="E216" s="465"/>
      <c r="F216" s="592"/>
      <c r="G216" s="490"/>
      <c r="H216" s="465"/>
      <c r="J216" s="557"/>
      <c r="AA216" s="463"/>
      <c r="AB216" s="463"/>
    </row>
    <row r="217" spans="2:28" ht="18.75" thickBot="1">
      <c r="C217" s="513"/>
      <c r="D217" s="1256" t="s">
        <v>2686</v>
      </c>
      <c r="E217" s="1257"/>
      <c r="F217" s="1257"/>
      <c r="G217" s="1257"/>
      <c r="H217" s="1258"/>
      <c r="J217" s="557"/>
      <c r="K217" s="431"/>
      <c r="L217" s="1259" t="s">
        <v>2722</v>
      </c>
      <c r="M217" s="1260"/>
      <c r="N217" s="1261"/>
      <c r="Q217" s="593" t="s">
        <v>2705</v>
      </c>
      <c r="AA217" s="463"/>
      <c r="AB217" s="463"/>
    </row>
    <row r="218" spans="2:28" ht="32.25" thickBot="1">
      <c r="C218" s="522" t="s">
        <v>2719</v>
      </c>
      <c r="D218" s="558" t="s">
        <v>2723</v>
      </c>
      <c r="E218" s="559" t="s">
        <v>2676</v>
      </c>
      <c r="F218" s="559" t="s">
        <v>2720</v>
      </c>
      <c r="G218" s="560" t="s">
        <v>2679</v>
      </c>
      <c r="H218" s="561" t="s">
        <v>2721</v>
      </c>
      <c r="J218" s="557"/>
      <c r="K218" s="562" t="s">
        <v>2719</v>
      </c>
      <c r="L218" s="559" t="s">
        <v>2676</v>
      </c>
      <c r="M218" s="563" t="s">
        <v>2679</v>
      </c>
      <c r="N218" s="567" t="s">
        <v>2721</v>
      </c>
      <c r="P218" s="565" t="s">
        <v>2719</v>
      </c>
      <c r="Q218" s="594" t="s">
        <v>2679</v>
      </c>
      <c r="AA218" s="463"/>
      <c r="AB218" s="463"/>
    </row>
    <row r="219" spans="2:28" ht="15.75">
      <c r="B219" s="513"/>
      <c r="C219" s="542">
        <v>45839</v>
      </c>
      <c r="D219" s="595">
        <v>17495507.09</v>
      </c>
      <c r="E219" s="596">
        <v>43682567.089999996</v>
      </c>
      <c r="F219" s="597">
        <v>2409510</v>
      </c>
      <c r="G219" s="598">
        <v>303.14</v>
      </c>
      <c r="H219" s="572">
        <v>57.714280827340502</v>
      </c>
      <c r="I219" s="445"/>
      <c r="J219" s="599"/>
      <c r="K219" s="574">
        <v>45839</v>
      </c>
      <c r="L219" s="575">
        <v>151880</v>
      </c>
      <c r="M219" s="600">
        <v>1.52</v>
      </c>
      <c r="N219" s="576">
        <v>99.921052631578945</v>
      </c>
      <c r="O219" s="577"/>
      <c r="P219" s="542">
        <v>45839</v>
      </c>
      <c r="Q219" s="601">
        <v>4.46</v>
      </c>
      <c r="AA219" s="463"/>
      <c r="AB219" s="463"/>
    </row>
    <row r="220" spans="2:28" ht="15.75">
      <c r="B220" s="513"/>
      <c r="C220" s="578">
        <v>45870</v>
      </c>
      <c r="D220" s="595">
        <v>17495507.09</v>
      </c>
      <c r="E220" s="602">
        <v>41991167.090000004</v>
      </c>
      <c r="F220" s="597">
        <v>2239660</v>
      </c>
      <c r="G220" s="603">
        <v>279.68</v>
      </c>
      <c r="H220" s="572">
        <v>62.555445830949651</v>
      </c>
      <c r="I220" s="445"/>
      <c r="J220" s="599"/>
      <c r="K220" s="677">
        <v>45870</v>
      </c>
      <c r="L220" s="575">
        <v>151440</v>
      </c>
      <c r="M220" s="600">
        <v>1.52</v>
      </c>
      <c r="N220" s="576">
        <v>99.631578947368425</v>
      </c>
      <c r="O220" s="577"/>
      <c r="P220" s="447">
        <v>45870</v>
      </c>
      <c r="Q220" s="601">
        <v>3.55</v>
      </c>
      <c r="AA220" s="463"/>
      <c r="AB220" s="463"/>
    </row>
    <row r="221" spans="2:28" ht="16.5" thickBot="1">
      <c r="B221" s="513"/>
      <c r="C221" s="604">
        <v>45901</v>
      </c>
      <c r="D221" s="595">
        <v>17495507.09</v>
      </c>
      <c r="E221" s="605">
        <v>41238267.089999996</v>
      </c>
      <c r="F221" s="597">
        <v>2179530</v>
      </c>
      <c r="G221" s="606">
        <v>273.55</v>
      </c>
      <c r="H221" s="607">
        <v>63.957254944251503</v>
      </c>
      <c r="I221" s="445"/>
      <c r="J221" s="599"/>
      <c r="K221" s="677">
        <v>45901</v>
      </c>
      <c r="L221" s="575">
        <v>166829.99999999997</v>
      </c>
      <c r="M221" s="600">
        <v>1.67</v>
      </c>
      <c r="N221" s="581">
        <v>99.898203592814369</v>
      </c>
      <c r="O221" s="577"/>
      <c r="P221" s="447">
        <v>45901</v>
      </c>
      <c r="Q221" s="601">
        <v>3.82</v>
      </c>
      <c r="S221" s="555"/>
      <c r="AA221" s="463"/>
      <c r="AB221" s="463"/>
    </row>
    <row r="222" spans="2:28" ht="16.5" thickBot="1">
      <c r="B222" s="513"/>
      <c r="C222" s="604">
        <v>45931</v>
      </c>
      <c r="D222" s="595">
        <v>17495507.09</v>
      </c>
      <c r="E222" s="605">
        <v>37351477.090000004</v>
      </c>
      <c r="F222" s="597">
        <v>1816980</v>
      </c>
      <c r="G222" s="606">
        <v>228.66</v>
      </c>
      <c r="H222" s="607">
        <v>76.513194655820868</v>
      </c>
      <c r="I222" s="445"/>
      <c r="J222" s="599"/>
      <c r="K222" s="677">
        <v>45931</v>
      </c>
      <c r="L222" s="575">
        <v>241440</v>
      </c>
      <c r="M222" s="600">
        <v>2.41</v>
      </c>
      <c r="N222" s="581">
        <v>100.18257261410788</v>
      </c>
      <c r="O222" s="577"/>
      <c r="P222" s="447">
        <v>45931</v>
      </c>
      <c r="Q222" s="601">
        <v>4.3099999999999996</v>
      </c>
      <c r="S222" s="555"/>
      <c r="AA222" s="463"/>
      <c r="AB222" s="463"/>
    </row>
    <row r="223" spans="2:28" ht="16.5" thickBot="1">
      <c r="B223" s="513"/>
      <c r="C223" s="604">
        <v>45962</v>
      </c>
      <c r="D223" s="595">
        <v>17495507.09</v>
      </c>
      <c r="E223" s="605">
        <v>43615487.089999996</v>
      </c>
      <c r="F223" s="597">
        <v>2329870</v>
      </c>
      <c r="G223" s="606">
        <v>293.04000000000002</v>
      </c>
      <c r="H223" s="607">
        <v>59.703477648102641</v>
      </c>
      <c r="I223" s="445"/>
      <c r="J223" s="599"/>
      <c r="K223" s="677">
        <v>45962</v>
      </c>
      <c r="L223" s="575">
        <v>146110</v>
      </c>
      <c r="M223" s="600">
        <v>1.46</v>
      </c>
      <c r="N223" s="581">
        <v>100.07534246575344</v>
      </c>
      <c r="O223" s="577"/>
      <c r="P223" s="447">
        <v>45962</v>
      </c>
      <c r="Q223" s="601">
        <v>4.28</v>
      </c>
      <c r="S223" s="555"/>
      <c r="AA223" s="463"/>
      <c r="AB223" s="463"/>
    </row>
    <row r="224" spans="2:28" ht="16.5" thickBot="1">
      <c r="B224" s="513"/>
      <c r="C224" s="604">
        <v>45992</v>
      </c>
      <c r="D224" s="595">
        <v>17495507.09</v>
      </c>
      <c r="E224" s="605">
        <v>43320677.089999996</v>
      </c>
      <c r="F224" s="597">
        <v>2207130</v>
      </c>
      <c r="G224" s="606">
        <v>275.07</v>
      </c>
      <c r="H224" s="607">
        <v>63.60383571454539</v>
      </c>
      <c r="I224" s="445"/>
      <c r="J224" s="599"/>
      <c r="K224" s="677">
        <v>45992</v>
      </c>
      <c r="L224" s="575">
        <v>33840</v>
      </c>
      <c r="M224" s="600">
        <v>0.34</v>
      </c>
      <c r="N224" s="581">
        <v>99.529411764705884</v>
      </c>
      <c r="O224" s="577"/>
      <c r="P224" s="447">
        <v>45992</v>
      </c>
      <c r="Q224" s="601">
        <v>3.69</v>
      </c>
      <c r="S224" s="555"/>
      <c r="AA224" s="463"/>
      <c r="AB224" s="463"/>
    </row>
    <row r="225" spans="2:28" ht="16.5" thickBot="1">
      <c r="B225" s="513"/>
      <c r="C225" s="604">
        <v>46023</v>
      </c>
      <c r="D225" s="595">
        <v>17495507.09</v>
      </c>
      <c r="E225" s="605">
        <v>42323027.090000004</v>
      </c>
      <c r="F225" s="597">
        <v>2074159.9999999998</v>
      </c>
      <c r="G225" s="606">
        <v>254.1</v>
      </c>
      <c r="H225" s="607">
        <v>68.852841755214484</v>
      </c>
      <c r="I225" s="445"/>
      <c r="J225" s="599"/>
      <c r="K225" s="677">
        <v>46023</v>
      </c>
      <c r="L225" s="575">
        <v>105580</v>
      </c>
      <c r="M225" s="600">
        <v>1.06</v>
      </c>
      <c r="N225" s="581">
        <v>99.603773584905653</v>
      </c>
      <c r="O225" s="577"/>
      <c r="P225" s="447">
        <v>46023</v>
      </c>
      <c r="Q225" s="601">
        <v>1.22</v>
      </c>
      <c r="S225" s="555"/>
      <c r="AA225" s="463"/>
      <c r="AB225" s="463"/>
    </row>
    <row r="226" spans="2:28" ht="16.5" thickBot="1">
      <c r="B226" s="513"/>
      <c r="C226" s="604">
        <v>46054</v>
      </c>
      <c r="D226" s="595">
        <v>17495507.09</v>
      </c>
      <c r="E226" s="605">
        <v>34159157.090000004</v>
      </c>
      <c r="F226" s="597">
        <v>1450670</v>
      </c>
      <c r="G226" s="606">
        <v>180</v>
      </c>
      <c r="H226" s="607">
        <v>97.197261611111102</v>
      </c>
      <c r="I226" s="445"/>
      <c r="J226" s="599"/>
      <c r="K226" s="677">
        <v>46054</v>
      </c>
      <c r="L226" s="575">
        <v>134490</v>
      </c>
      <c r="M226" s="600">
        <v>1.3399999999999999</v>
      </c>
      <c r="N226" s="581">
        <v>100.36567164179107</v>
      </c>
      <c r="O226" s="577"/>
      <c r="P226" s="447">
        <v>46054</v>
      </c>
      <c r="Q226" s="601">
        <v>1.71</v>
      </c>
      <c r="S226" s="555"/>
      <c r="AA226" s="463"/>
      <c r="AB226" s="463"/>
    </row>
    <row r="227" spans="2:28" ht="16.5" thickBot="1">
      <c r="B227" s="513"/>
      <c r="C227" s="604">
        <v>46082</v>
      </c>
      <c r="D227" s="595">
        <v>17495507.09</v>
      </c>
      <c r="E227" s="605">
        <v>37973007.089999996</v>
      </c>
      <c r="F227" s="597">
        <v>1904720</v>
      </c>
      <c r="G227" s="606">
        <v>224.19</v>
      </c>
      <c r="H227" s="607">
        <v>78.038748784513132</v>
      </c>
      <c r="I227" s="445"/>
      <c r="J227" s="599"/>
      <c r="K227" s="677">
        <v>46082</v>
      </c>
      <c r="L227" s="575">
        <v>72960.000000000015</v>
      </c>
      <c r="M227" s="600">
        <v>0.73</v>
      </c>
      <c r="N227" s="581">
        <v>99.945205479452071</v>
      </c>
      <c r="O227" s="577"/>
      <c r="P227" s="447">
        <v>46082</v>
      </c>
      <c r="Q227" s="601">
        <v>0.9</v>
      </c>
      <c r="S227" s="555"/>
      <c r="AA227" s="463"/>
      <c r="AB227" s="463"/>
    </row>
    <row r="228" spans="2:28" ht="16.5" thickBot="1">
      <c r="B228" s="513"/>
      <c r="C228" s="604">
        <v>46113</v>
      </c>
      <c r="D228" s="595">
        <v>17495507.09</v>
      </c>
      <c r="E228" s="605">
        <v>40075067.089999996</v>
      </c>
      <c r="F228" s="597">
        <v>2220930</v>
      </c>
      <c r="G228" s="606">
        <v>278.12</v>
      </c>
      <c r="H228" s="607">
        <v>62.906324931684161</v>
      </c>
      <c r="I228" s="445"/>
      <c r="J228" s="599"/>
      <c r="K228" s="677">
        <v>46113</v>
      </c>
      <c r="L228" s="575">
        <v>182160</v>
      </c>
      <c r="M228" s="600">
        <v>1.8199999999999998</v>
      </c>
      <c r="N228" s="581">
        <v>100.0879120879121</v>
      </c>
      <c r="O228" s="577"/>
      <c r="P228" s="447">
        <v>46113</v>
      </c>
      <c r="Q228" s="601">
        <v>2.27</v>
      </c>
      <c r="S228" s="555"/>
      <c r="AA228" s="463"/>
      <c r="AB228" s="463"/>
    </row>
    <row r="229" spans="2:28" ht="16.5" thickBot="1">
      <c r="B229" s="513"/>
      <c r="C229" s="604">
        <v>46143</v>
      </c>
      <c r="D229" s="595">
        <v>17495507.09</v>
      </c>
      <c r="E229" s="605">
        <v>41852197.090000004</v>
      </c>
      <c r="F229" s="597">
        <v>2398990</v>
      </c>
      <c r="G229" s="606">
        <v>301.69</v>
      </c>
      <c r="H229" s="607">
        <v>57.991670555868602</v>
      </c>
      <c r="I229" s="445"/>
      <c r="J229" s="599"/>
      <c r="K229" s="677">
        <v>46143</v>
      </c>
      <c r="L229" s="575">
        <v>297360</v>
      </c>
      <c r="M229" s="600">
        <v>2.9699999999999998</v>
      </c>
      <c r="N229" s="581">
        <v>100.12121212121214</v>
      </c>
      <c r="O229" s="577"/>
      <c r="P229" s="447">
        <v>46143</v>
      </c>
      <c r="Q229" s="601">
        <v>3.49</v>
      </c>
      <c r="S229" s="555"/>
      <c r="AA229" s="463"/>
      <c r="AB229" s="463"/>
    </row>
    <row r="230" spans="2:28" ht="16.5" thickBot="1">
      <c r="B230" s="513"/>
      <c r="C230" s="604">
        <v>46174</v>
      </c>
      <c r="D230" s="595">
        <v>17495507.09</v>
      </c>
      <c r="E230" s="605">
        <v>41065077.089999996</v>
      </c>
      <c r="F230" s="597">
        <v>2297260</v>
      </c>
      <c r="G230" s="606">
        <v>287.82</v>
      </c>
      <c r="H230" s="607">
        <v>60.786279931901881</v>
      </c>
      <c r="I230" s="445"/>
      <c r="J230" s="599"/>
      <c r="K230" s="677">
        <v>46174</v>
      </c>
      <c r="L230" s="575">
        <v>299580.00000000006</v>
      </c>
      <c r="M230" s="600">
        <v>3</v>
      </c>
      <c r="N230" s="581">
        <v>99.860000000000014</v>
      </c>
      <c r="O230" s="577"/>
      <c r="P230" s="447">
        <v>46174</v>
      </c>
      <c r="Q230" s="601">
        <v>3.17</v>
      </c>
      <c r="S230" s="555"/>
      <c r="AA230" s="463"/>
      <c r="AB230" s="463"/>
    </row>
    <row r="231" spans="2:28" ht="16.5" thickBot="1">
      <c r="B231" s="513"/>
      <c r="C231" s="544" t="s">
        <v>656</v>
      </c>
      <c r="D231" s="608">
        <v>209946085.07999998</v>
      </c>
      <c r="E231" s="609">
        <v>488647175.08000004</v>
      </c>
      <c r="F231" s="610">
        <v>25529410.000000004</v>
      </c>
      <c r="G231" s="611">
        <v>3179.06</v>
      </c>
      <c r="H231" s="612">
        <v>66.040302819072309</v>
      </c>
      <c r="I231" s="458"/>
      <c r="J231" s="599"/>
      <c r="K231" s="614" t="s">
        <v>656</v>
      </c>
      <c r="L231" s="582">
        <v>1983670</v>
      </c>
      <c r="M231" s="613">
        <v>19.84</v>
      </c>
      <c r="N231" s="590">
        <v>99.983366935483872</v>
      </c>
      <c r="O231" s="591"/>
      <c r="P231" s="614" t="s">
        <v>656</v>
      </c>
      <c r="Q231" s="615">
        <v>36.870000000000005</v>
      </c>
      <c r="S231" s="463"/>
      <c r="AA231" s="463"/>
      <c r="AB231" s="463"/>
    </row>
    <row r="232" spans="2:28" ht="15.75">
      <c r="B232" s="557"/>
      <c r="C232" s="465"/>
      <c r="D232" s="465"/>
      <c r="E232" s="592"/>
      <c r="F232" s="490"/>
      <c r="G232" s="465"/>
      <c r="I232" s="557"/>
      <c r="J232" s="465"/>
      <c r="S232" s="463"/>
      <c r="Z232" s="463"/>
      <c r="AA232" s="463"/>
    </row>
    <row r="233" spans="2:28" ht="16.5" thickBot="1">
      <c r="B233" s="557"/>
      <c r="C233" s="465"/>
      <c r="D233" s="465"/>
      <c r="E233" s="592"/>
      <c r="F233" s="490"/>
      <c r="G233" s="465"/>
      <c r="I233" s="557"/>
      <c r="J233" s="465"/>
      <c r="S233" s="463"/>
      <c r="Z233" s="463"/>
      <c r="AA233" s="463"/>
    </row>
    <row r="234" spans="2:28" ht="18.75" thickBot="1">
      <c r="B234" s="557"/>
      <c r="D234" s="1253" t="s">
        <v>2724</v>
      </c>
      <c r="E234" s="1254"/>
      <c r="F234" s="1254"/>
      <c r="G234" s="1255"/>
      <c r="I234" s="557"/>
      <c r="J234" s="465"/>
      <c r="L234" s="1253" t="s">
        <v>2725</v>
      </c>
      <c r="M234" s="1254"/>
      <c r="N234" s="1255"/>
      <c r="S234" s="465"/>
      <c r="Z234" s="463"/>
      <c r="AA234" s="463"/>
    </row>
    <row r="235" spans="2:28" ht="32.25" thickBot="1">
      <c r="B235" s="557"/>
      <c r="C235" s="565" t="s">
        <v>2719</v>
      </c>
      <c r="D235" s="616" t="s">
        <v>2676</v>
      </c>
      <c r="E235" s="559" t="s">
        <v>2720</v>
      </c>
      <c r="F235" s="617" t="s">
        <v>2679</v>
      </c>
      <c r="G235" s="561" t="s">
        <v>2721</v>
      </c>
      <c r="I235" s="557"/>
      <c r="J235" s="465"/>
      <c r="K235" s="562" t="s">
        <v>2719</v>
      </c>
      <c r="L235" s="559" t="s">
        <v>2676</v>
      </c>
      <c r="M235" s="563" t="s">
        <v>2679</v>
      </c>
      <c r="N235" s="564" t="s">
        <v>2721</v>
      </c>
      <c r="Z235" s="463"/>
      <c r="AA235" s="463"/>
    </row>
    <row r="236" spans="2:28" ht="16.5" thickBot="1">
      <c r="B236" s="599"/>
      <c r="C236" s="542">
        <v>45839</v>
      </c>
      <c r="D236" s="618">
        <v>50789776.5</v>
      </c>
      <c r="E236" s="619">
        <v>5266650</v>
      </c>
      <c r="F236" s="530">
        <v>593.97</v>
      </c>
      <c r="G236" s="620">
        <v>85.508992878428202</v>
      </c>
      <c r="I236" s="445"/>
      <c r="J236" s="465"/>
      <c r="K236" s="574">
        <v>45839</v>
      </c>
      <c r="L236" s="621">
        <v>7521860</v>
      </c>
      <c r="M236" s="622">
        <v>43.660000000000004</v>
      </c>
      <c r="N236" s="576">
        <v>172.28263857077414</v>
      </c>
      <c r="P236" s="445"/>
      <c r="Q236" s="463"/>
      <c r="Z236" s="463"/>
      <c r="AA236" s="463"/>
    </row>
    <row r="237" spans="2:28" ht="16.5" thickBot="1">
      <c r="B237" s="599"/>
      <c r="C237" s="447">
        <v>45870</v>
      </c>
      <c r="D237" s="618">
        <v>50157541.029999994</v>
      </c>
      <c r="E237" s="619">
        <v>5013580</v>
      </c>
      <c r="F237" s="530">
        <v>562.04</v>
      </c>
      <c r="G237" s="620">
        <v>89.241941908049242</v>
      </c>
      <c r="I237" s="445"/>
      <c r="J237" s="465"/>
      <c r="K237" s="677">
        <v>45870</v>
      </c>
      <c r="L237" s="621">
        <v>7127739.9999999991</v>
      </c>
      <c r="M237" s="622">
        <v>41.38</v>
      </c>
      <c r="N237" s="581">
        <v>172.2508458192363</v>
      </c>
      <c r="P237" s="445"/>
      <c r="Z237" s="463"/>
      <c r="AA237" s="463"/>
    </row>
    <row r="238" spans="2:28" ht="16.5" thickBot="1">
      <c r="B238" s="599"/>
      <c r="C238" s="447">
        <v>45901</v>
      </c>
      <c r="D238" s="618">
        <v>49569726.160000004</v>
      </c>
      <c r="E238" s="619">
        <v>4876059.9999999991</v>
      </c>
      <c r="F238" s="530">
        <v>548.04</v>
      </c>
      <c r="G238" s="580">
        <v>90.449102547259344</v>
      </c>
      <c r="I238" s="445"/>
      <c r="J238" s="465"/>
      <c r="K238" s="677">
        <v>45901</v>
      </c>
      <c r="L238" s="621">
        <v>5895830</v>
      </c>
      <c r="M238" s="622">
        <v>34.24</v>
      </c>
      <c r="N238" s="623">
        <v>172.19129672897196</v>
      </c>
      <c r="P238" s="445"/>
      <c r="Z238" s="463"/>
      <c r="AA238" s="463"/>
    </row>
    <row r="239" spans="2:28" ht="16.5" thickBot="1">
      <c r="B239" s="599"/>
      <c r="C239" s="447">
        <v>45931</v>
      </c>
      <c r="D239" s="618">
        <v>47883102.549999997</v>
      </c>
      <c r="E239" s="619">
        <v>4291500</v>
      </c>
      <c r="F239" s="530">
        <v>480.53999999999996</v>
      </c>
      <c r="G239" s="580">
        <v>99.644363736629629</v>
      </c>
      <c r="I239" s="445"/>
      <c r="J239" s="465"/>
      <c r="K239" s="677">
        <v>45931</v>
      </c>
      <c r="L239" s="621">
        <v>6087709.9999999991</v>
      </c>
      <c r="M239" s="622">
        <v>37.340000000000003</v>
      </c>
      <c r="N239" s="623">
        <v>163.03454740224956</v>
      </c>
      <c r="P239" s="445"/>
      <c r="Z239" s="463"/>
      <c r="AA239" s="463"/>
    </row>
    <row r="240" spans="2:28" ht="16.5" thickBot="1">
      <c r="B240" s="599"/>
      <c r="C240" s="447">
        <v>45962</v>
      </c>
      <c r="D240" s="618">
        <v>44790568.119999997</v>
      </c>
      <c r="E240" s="619">
        <v>4397290</v>
      </c>
      <c r="F240" s="530">
        <v>503.49</v>
      </c>
      <c r="G240" s="580">
        <v>88.960194085284698</v>
      </c>
      <c r="I240" s="445"/>
      <c r="J240" s="465"/>
      <c r="K240" s="677">
        <v>45962</v>
      </c>
      <c r="L240" s="621">
        <v>7980440</v>
      </c>
      <c r="M240" s="622">
        <v>53.74</v>
      </c>
      <c r="N240" s="623">
        <v>148.50093040565685</v>
      </c>
      <c r="P240" s="445"/>
      <c r="Z240" s="463"/>
      <c r="AA240" s="463"/>
    </row>
    <row r="241" spans="2:27" ht="16.5" thickBot="1">
      <c r="B241" s="599"/>
      <c r="C241" s="447">
        <v>45992</v>
      </c>
      <c r="D241" s="618">
        <v>48139951</v>
      </c>
      <c r="E241" s="619">
        <v>4715450</v>
      </c>
      <c r="F241" s="530">
        <v>530.4</v>
      </c>
      <c r="G241" s="580">
        <v>90.761596907993976</v>
      </c>
      <c r="I241" s="445"/>
      <c r="J241" s="465"/>
      <c r="K241" s="677">
        <v>45992</v>
      </c>
      <c r="L241" s="621">
        <v>14726580.000000002</v>
      </c>
      <c r="M241" s="622">
        <v>111.88</v>
      </c>
      <c r="N241" s="623">
        <v>131.62835180550593</v>
      </c>
      <c r="P241" s="445"/>
      <c r="Z241" s="463"/>
      <c r="AA241" s="463"/>
    </row>
    <row r="242" spans="2:27" ht="16.5" thickBot="1">
      <c r="B242" s="599"/>
      <c r="C242" s="447">
        <v>46023</v>
      </c>
      <c r="D242" s="618">
        <v>48782391.170000002</v>
      </c>
      <c r="E242" s="619">
        <v>4515349.9999999991</v>
      </c>
      <c r="F242" s="530">
        <v>502.6</v>
      </c>
      <c r="G242" s="580">
        <v>97.060069976124154</v>
      </c>
      <c r="I242" s="445"/>
      <c r="J242" s="465"/>
      <c r="K242" s="677">
        <v>46023</v>
      </c>
      <c r="L242" s="621">
        <v>16832350.000000004</v>
      </c>
      <c r="M242" s="622">
        <v>127.94000000000001</v>
      </c>
      <c r="N242" s="623">
        <v>131.56440518993278</v>
      </c>
      <c r="P242" s="445"/>
      <c r="Z242" s="463"/>
      <c r="AA242" s="463"/>
    </row>
    <row r="243" spans="2:27" ht="16.5" thickBot="1">
      <c r="B243" s="599"/>
      <c r="C243" s="447">
        <v>46054</v>
      </c>
      <c r="D243" s="618">
        <v>48015683.489999995</v>
      </c>
      <c r="E243" s="619">
        <v>3796840</v>
      </c>
      <c r="F243" s="530">
        <v>418.82</v>
      </c>
      <c r="G243" s="580">
        <v>114.64515421899623</v>
      </c>
      <c r="I243" s="445"/>
      <c r="J243" s="465"/>
      <c r="K243" s="677">
        <v>46054</v>
      </c>
      <c r="L243" s="621">
        <v>15785699.999999998</v>
      </c>
      <c r="M243" s="622">
        <v>120.83000000000001</v>
      </c>
      <c r="N243" s="623">
        <v>130.64387983116774</v>
      </c>
      <c r="P243" s="445"/>
      <c r="Z243" s="463"/>
      <c r="AA243" s="463"/>
    </row>
    <row r="244" spans="2:27" ht="16.5" thickBot="1">
      <c r="B244" s="599"/>
      <c r="C244" s="447">
        <v>46082</v>
      </c>
      <c r="D244" s="618">
        <v>46708839.009999998</v>
      </c>
      <c r="E244" s="619">
        <v>4088920</v>
      </c>
      <c r="F244" s="530">
        <v>446.53</v>
      </c>
      <c r="G244" s="580">
        <v>104.60403334602378</v>
      </c>
      <c r="I244" s="445"/>
      <c r="J244" s="465"/>
      <c r="K244" s="677">
        <v>46082</v>
      </c>
      <c r="L244" s="621">
        <v>14546070</v>
      </c>
      <c r="M244" s="622">
        <v>110.64</v>
      </c>
      <c r="N244" s="623">
        <v>131.47207158351409</v>
      </c>
      <c r="P244" s="445"/>
      <c r="Z244" s="463"/>
      <c r="AA244" s="463"/>
    </row>
    <row r="245" spans="2:27" ht="16.5" thickBot="1">
      <c r="B245" s="599"/>
      <c r="C245" s="447">
        <v>46113</v>
      </c>
      <c r="D245" s="618">
        <v>39896739.069999993</v>
      </c>
      <c r="E245" s="619">
        <v>3560880</v>
      </c>
      <c r="F245" s="530">
        <v>414.52</v>
      </c>
      <c r="G245" s="580">
        <v>96.24804368908616</v>
      </c>
      <c r="I245" s="445"/>
      <c r="J245" s="465"/>
      <c r="K245" s="677">
        <v>46113</v>
      </c>
      <c r="L245" s="621">
        <v>18650670</v>
      </c>
      <c r="M245" s="622">
        <v>140.39999999999998</v>
      </c>
      <c r="N245" s="623">
        <v>132.83952991452992</v>
      </c>
      <c r="P245" s="445"/>
      <c r="Z245" s="463"/>
      <c r="AA245" s="463"/>
    </row>
    <row r="246" spans="2:27" ht="16.5" thickBot="1">
      <c r="B246" s="599"/>
      <c r="C246" s="447">
        <v>46143</v>
      </c>
      <c r="D246" s="618">
        <v>49733582.159999996</v>
      </c>
      <c r="E246" s="619">
        <v>4958070</v>
      </c>
      <c r="F246" s="530">
        <v>562.18000000000006</v>
      </c>
      <c r="G246" s="580">
        <v>88.465584261268617</v>
      </c>
      <c r="I246" s="445"/>
      <c r="J246" s="465"/>
      <c r="K246" s="677">
        <v>46143</v>
      </c>
      <c r="L246" s="621">
        <v>16758919.999999998</v>
      </c>
      <c r="M246" s="622">
        <v>125.40999999999998</v>
      </c>
      <c r="N246" s="623">
        <v>133.63304361693645</v>
      </c>
      <c r="P246" s="445"/>
      <c r="Z246" s="463"/>
      <c r="AA246" s="463"/>
    </row>
    <row r="247" spans="2:27" ht="16.5" thickBot="1">
      <c r="B247" s="599"/>
      <c r="C247" s="447">
        <v>46174</v>
      </c>
      <c r="D247" s="618">
        <v>51223800.960000001</v>
      </c>
      <c r="E247" s="619">
        <v>5041040</v>
      </c>
      <c r="F247" s="530">
        <v>567.1099999999999</v>
      </c>
      <c r="G247" s="580">
        <v>90.324277406499633</v>
      </c>
      <c r="I247" s="445"/>
      <c r="J247" s="465"/>
      <c r="K247" s="677">
        <v>46174</v>
      </c>
      <c r="L247" s="621">
        <v>18147700.000000004</v>
      </c>
      <c r="M247" s="622">
        <v>136.14000000000001</v>
      </c>
      <c r="N247" s="623">
        <v>133.30174820038198</v>
      </c>
      <c r="P247" s="445"/>
      <c r="Z247" s="463"/>
      <c r="AA247" s="463"/>
    </row>
    <row r="248" spans="2:27" ht="16.5" thickBot="1">
      <c r="B248" s="599"/>
      <c r="C248" s="544" t="s">
        <v>656</v>
      </c>
      <c r="D248" s="624">
        <v>575691701.22000003</v>
      </c>
      <c r="E248" s="625">
        <v>54521630</v>
      </c>
      <c r="F248" s="589">
        <v>6130.2399999999989</v>
      </c>
      <c r="G248" s="626">
        <v>93.910140748159961</v>
      </c>
      <c r="I248" s="458"/>
      <c r="J248" s="465"/>
      <c r="K248" s="614" t="s">
        <v>656</v>
      </c>
      <c r="L248" s="627">
        <v>150061570</v>
      </c>
      <c r="M248" s="589">
        <v>1083.5999999999999</v>
      </c>
      <c r="N248" s="590">
        <v>138.4842838685862</v>
      </c>
      <c r="P248" s="458"/>
      <c r="Z248" s="463"/>
      <c r="AA248" s="463"/>
    </row>
    <row r="249" spans="2:27" ht="15.75">
      <c r="B249" s="557"/>
      <c r="C249" s="628"/>
      <c r="D249" s="465"/>
      <c r="E249" s="592"/>
      <c r="F249" s="490"/>
      <c r="G249" s="465"/>
      <c r="I249" s="557"/>
      <c r="J249" s="465"/>
      <c r="K249" s="592"/>
      <c r="L249" s="463"/>
      <c r="M249" s="465"/>
      <c r="Z249" s="463"/>
      <c r="AA249" s="463"/>
    </row>
    <row r="250" spans="2:27" ht="15.75">
      <c r="B250" s="557"/>
      <c r="C250" s="465"/>
      <c r="D250" s="465"/>
      <c r="E250" s="592"/>
      <c r="F250" s="490"/>
      <c r="G250" s="465"/>
      <c r="I250" s="557"/>
      <c r="J250" s="465"/>
      <c r="K250" s="592"/>
      <c r="L250" s="490"/>
      <c r="M250" s="465"/>
      <c r="Z250" s="463"/>
      <c r="AA250" s="463"/>
    </row>
    <row r="251" spans="2:27">
      <c r="F251" s="629"/>
      <c r="Q251" s="463"/>
      <c r="R251" s="463"/>
    </row>
    <row r="252" spans="2:27" ht="15" thickBot="1">
      <c r="M252" s="463"/>
      <c r="N252" s="463"/>
    </row>
    <row r="253" spans="2:27" ht="18.75" thickBot="1">
      <c r="B253" s="525"/>
      <c r="D253" s="1253" t="s">
        <v>2726</v>
      </c>
      <c r="E253" s="1254"/>
      <c r="F253" s="1255"/>
      <c r="M253" s="463"/>
      <c r="N253" s="463"/>
    </row>
    <row r="254" spans="2:27" ht="32.25" thickBot="1">
      <c r="B254" s="463"/>
      <c r="C254" s="562" t="s">
        <v>2719</v>
      </c>
      <c r="D254" s="616" t="s">
        <v>2676</v>
      </c>
      <c r="E254" s="563" t="s">
        <v>2679</v>
      </c>
      <c r="F254" s="564" t="s">
        <v>2721</v>
      </c>
      <c r="M254" s="463"/>
      <c r="N254" s="463"/>
    </row>
    <row r="255" spans="2:27" ht="15.75">
      <c r="B255" s="463"/>
      <c r="C255" s="574">
        <v>45839</v>
      </c>
      <c r="D255" s="621">
        <v>58311636.5</v>
      </c>
      <c r="E255" s="622">
        <v>637.63</v>
      </c>
      <c r="F255" s="576">
        <v>91.450584978749433</v>
      </c>
      <c r="H255" s="445"/>
      <c r="M255" s="463"/>
      <c r="N255" s="463"/>
    </row>
    <row r="256" spans="2:27" ht="15.75">
      <c r="B256" s="463"/>
      <c r="C256" s="630">
        <v>45870</v>
      </c>
      <c r="D256" s="621">
        <v>57285281.029999994</v>
      </c>
      <c r="E256" s="622">
        <v>603.41999999999996</v>
      </c>
      <c r="F256" s="581">
        <v>94.934342630340382</v>
      </c>
      <c r="H256" s="445"/>
      <c r="M256" s="463"/>
      <c r="N256" s="463"/>
    </row>
    <row r="257" spans="2:18" ht="16.5" thickBot="1">
      <c r="B257" s="465"/>
      <c r="C257" s="631">
        <v>45901</v>
      </c>
      <c r="D257" s="621">
        <v>55465556.160000004</v>
      </c>
      <c r="E257" s="622">
        <v>582.28</v>
      </c>
      <c r="F257" s="623">
        <v>95.255815346568681</v>
      </c>
      <c r="H257" s="445"/>
      <c r="M257" s="463"/>
      <c r="N257" s="463"/>
    </row>
    <row r="258" spans="2:18" ht="16.5" thickBot="1">
      <c r="B258" s="465"/>
      <c r="C258" s="631">
        <v>45931</v>
      </c>
      <c r="D258" s="621">
        <v>53970812.549999997</v>
      </c>
      <c r="E258" s="622">
        <v>517.88</v>
      </c>
      <c r="F258" s="623">
        <v>104.21490026647099</v>
      </c>
      <c r="H258" s="445"/>
      <c r="I258" s="536" t="s">
        <v>2727</v>
      </c>
      <c r="J258" s="537"/>
      <c r="K258" s="1252">
        <f>D248*('E-1'!$G$33/'E-1'!$D$33)</f>
        <v>558467756.85677922</v>
      </c>
      <c r="L258" s="1252"/>
      <c r="M258" s="1252">
        <f>L248*('E-1'!$G$33/'E-1'!$D$33)</f>
        <v>145571923.67148736</v>
      </c>
      <c r="N258" s="1252"/>
    </row>
    <row r="259" spans="2:18" ht="16.5" thickBot="1">
      <c r="B259" s="465"/>
      <c r="C259" s="631">
        <v>45962</v>
      </c>
      <c r="D259" s="621">
        <v>52771008.119999997</v>
      </c>
      <c r="E259" s="622">
        <v>557.23</v>
      </c>
      <c r="F259" s="623">
        <v>94.702381637743841</v>
      </c>
      <c r="H259" s="445"/>
      <c r="I259" s="536" t="s">
        <v>2728</v>
      </c>
      <c r="J259" s="537"/>
      <c r="K259" s="1252">
        <f>D248*('E-1'!$J$33/'E-1'!$D$33)</f>
        <v>546376567.54011166</v>
      </c>
      <c r="L259" s="1252"/>
      <c r="M259" s="1252">
        <f>L248*('E-1'!$J$33/'E-1'!$D$33)</f>
        <v>142420197.06472677</v>
      </c>
      <c r="N259" s="1252"/>
    </row>
    <row r="260" spans="2:18" ht="16.5" thickBot="1">
      <c r="B260" s="465"/>
      <c r="C260" s="631">
        <v>45992</v>
      </c>
      <c r="D260" s="621">
        <v>62866531</v>
      </c>
      <c r="E260" s="622">
        <v>642.28</v>
      </c>
      <c r="F260" s="623">
        <v>97.880256274522026</v>
      </c>
      <c r="H260" s="445"/>
      <c r="M260" s="463"/>
      <c r="N260" s="463"/>
    </row>
    <row r="261" spans="2:18" ht="16.5" thickBot="1">
      <c r="B261" s="465"/>
      <c r="C261" s="631">
        <v>46023</v>
      </c>
      <c r="D261" s="621">
        <v>65614741.170000009</v>
      </c>
      <c r="E261" s="622">
        <v>630.54000000000008</v>
      </c>
      <c r="F261" s="623">
        <v>104.06118750594729</v>
      </c>
      <c r="H261" s="445"/>
      <c r="M261" s="463"/>
      <c r="N261" s="463"/>
    </row>
    <row r="262" spans="2:18" ht="16.5" thickBot="1">
      <c r="B262" s="465"/>
      <c r="C262" s="631">
        <v>46054</v>
      </c>
      <c r="D262" s="621">
        <v>63801383.489999995</v>
      </c>
      <c r="E262" s="622">
        <v>539.65</v>
      </c>
      <c r="F262" s="623">
        <v>118.22733899749836</v>
      </c>
      <c r="H262" s="445"/>
      <c r="M262" s="463"/>
      <c r="N262" s="463"/>
    </row>
    <row r="263" spans="2:18" ht="16.5" thickBot="1">
      <c r="B263" s="465"/>
      <c r="C263" s="631">
        <v>46082</v>
      </c>
      <c r="D263" s="621">
        <v>61254909.009999998</v>
      </c>
      <c r="E263" s="622">
        <v>557.16999999999996</v>
      </c>
      <c r="F263" s="623">
        <v>109.93935245975196</v>
      </c>
      <c r="H263" s="445"/>
      <c r="M263" s="463"/>
      <c r="N263" s="463"/>
    </row>
    <row r="264" spans="2:18" ht="16.5" thickBot="1">
      <c r="B264" s="465"/>
      <c r="C264" s="631">
        <v>46113</v>
      </c>
      <c r="D264" s="621">
        <v>58547409.069999993</v>
      </c>
      <c r="E264" s="622">
        <v>554.91999999999996</v>
      </c>
      <c r="F264" s="623">
        <v>105.50603523030347</v>
      </c>
      <c r="H264" s="445"/>
      <c r="M264" s="463"/>
      <c r="N264" s="463"/>
    </row>
    <row r="265" spans="2:18" ht="16.5" thickBot="1">
      <c r="B265" s="465"/>
      <c r="C265" s="631">
        <v>46143</v>
      </c>
      <c r="D265" s="621">
        <v>66492502.160000004</v>
      </c>
      <c r="E265" s="622">
        <v>687.59</v>
      </c>
      <c r="F265" s="623">
        <v>96.703707383760673</v>
      </c>
      <c r="H265" s="445"/>
      <c r="M265" s="463"/>
      <c r="N265" s="463"/>
    </row>
    <row r="266" spans="2:18" ht="16.5" thickBot="1">
      <c r="B266" s="465"/>
      <c r="C266" s="631">
        <v>46174</v>
      </c>
      <c r="D266" s="621">
        <v>69371500.960000008</v>
      </c>
      <c r="E266" s="622">
        <v>703.24999999999989</v>
      </c>
      <c r="F266" s="623">
        <v>98.64415351581944</v>
      </c>
      <c r="H266" s="445"/>
      <c r="M266" s="463"/>
      <c r="N266" s="463"/>
    </row>
    <row r="267" spans="2:18" ht="16.5" thickBot="1">
      <c r="C267" s="614" t="s">
        <v>656</v>
      </c>
      <c r="D267" s="627">
        <v>725753271.22000003</v>
      </c>
      <c r="E267" s="589">
        <v>7213.84</v>
      </c>
      <c r="F267" s="590">
        <v>100.60567897541392</v>
      </c>
      <c r="H267" s="458"/>
      <c r="Q267" s="463"/>
      <c r="R267" s="463"/>
    </row>
    <row r="268" spans="2:18">
      <c r="Q268" s="463"/>
      <c r="R268" s="463"/>
    </row>
    <row r="269" spans="2:18">
      <c r="F269" s="445"/>
      <c r="G269" s="445"/>
      <c r="H269" s="445"/>
      <c r="O269" s="445"/>
      <c r="P269" s="445"/>
    </row>
    <row r="270" spans="2:18">
      <c r="F270" s="445"/>
      <c r="G270" s="445"/>
      <c r="H270" s="445"/>
      <c r="O270" s="445"/>
      <c r="P270" s="445"/>
    </row>
    <row r="271" spans="2:18">
      <c r="F271" s="445"/>
      <c r="G271" s="445"/>
      <c r="H271" s="445"/>
      <c r="O271" s="445"/>
      <c r="P271" s="445"/>
    </row>
    <row r="272" spans="2:18">
      <c r="F272" s="445"/>
      <c r="G272" s="445"/>
      <c r="H272" s="445"/>
      <c r="O272" s="445"/>
      <c r="P272" s="445"/>
    </row>
    <row r="273" spans="1:16" ht="15.75">
      <c r="A273" s="542"/>
      <c r="F273" s="445"/>
      <c r="G273" s="445"/>
      <c r="H273" s="445"/>
      <c r="O273" s="445"/>
      <c r="P273" s="445"/>
    </row>
    <row r="274" spans="1:16" ht="15.75">
      <c r="A274" s="542"/>
      <c r="D274" s="555"/>
      <c r="E274" s="555"/>
      <c r="F274" s="445"/>
      <c r="G274" s="445"/>
      <c r="H274" s="445"/>
      <c r="O274" s="445"/>
      <c r="P274" s="445"/>
    </row>
    <row r="275" spans="1:16" ht="15.75">
      <c r="A275" s="542"/>
      <c r="D275" s="463"/>
      <c r="E275" s="539"/>
      <c r="F275" s="445"/>
      <c r="G275" s="445"/>
      <c r="H275" s="445"/>
      <c r="O275" s="445"/>
      <c r="P275" s="445"/>
    </row>
    <row r="276" spans="1:16" ht="15.75">
      <c r="A276" s="542"/>
      <c r="F276" s="445"/>
      <c r="G276" s="445"/>
      <c r="H276" s="445"/>
      <c r="O276" s="445"/>
      <c r="P276" s="445"/>
    </row>
    <row r="277" spans="1:16" ht="15.75">
      <c r="A277" s="542"/>
      <c r="F277" s="445"/>
      <c r="G277" s="445"/>
      <c r="H277" s="445"/>
      <c r="O277" s="445"/>
      <c r="P277" s="445"/>
    </row>
    <row r="278" spans="1:16" ht="15.75">
      <c r="A278" s="542"/>
      <c r="F278" s="445"/>
      <c r="G278" s="445"/>
      <c r="H278" s="445"/>
      <c r="O278" s="445"/>
      <c r="P278" s="445"/>
    </row>
    <row r="279" spans="1:16" ht="15.75">
      <c r="A279" s="542"/>
      <c r="F279" s="445"/>
      <c r="G279" s="445"/>
      <c r="H279" s="445"/>
      <c r="O279" s="445"/>
      <c r="P279" s="445"/>
    </row>
    <row r="280" spans="1:16" ht="15.75">
      <c r="A280" s="542"/>
      <c r="F280" s="445"/>
      <c r="G280" s="445"/>
      <c r="H280" s="445"/>
      <c r="O280" s="445"/>
      <c r="P280" s="445"/>
    </row>
    <row r="281" spans="1:16" ht="15.75">
      <c r="A281" s="542"/>
      <c r="F281" s="458"/>
      <c r="G281" s="458"/>
      <c r="H281" s="458"/>
      <c r="O281" s="458"/>
      <c r="P281" s="458"/>
    </row>
    <row r="282" spans="1:16" ht="15.75">
      <c r="A282" s="542"/>
    </row>
    <row r="283" spans="1:16" ht="15.75">
      <c r="A283" s="542"/>
    </row>
    <row r="284" spans="1:16" ht="15.75">
      <c r="A284" s="542"/>
    </row>
    <row r="291" spans="4:11" ht="15.75">
      <c r="D291" s="542"/>
      <c r="E291" s="542"/>
      <c r="F291" s="542"/>
      <c r="G291" s="542"/>
      <c r="H291" s="542"/>
      <c r="I291" s="542"/>
      <c r="J291" s="542"/>
      <c r="K291" s="542"/>
    </row>
    <row r="292" spans="4:11" ht="15.75">
      <c r="D292" s="542"/>
      <c r="E292" s="542"/>
      <c r="F292" s="542"/>
      <c r="G292" s="542"/>
      <c r="H292" s="542"/>
      <c r="I292" s="542"/>
      <c r="J292" s="542"/>
      <c r="K292" s="542"/>
    </row>
    <row r="293" spans="4:11" ht="15.75">
      <c r="D293" s="542"/>
      <c r="E293" s="542"/>
      <c r="F293" s="542"/>
      <c r="G293" s="542"/>
      <c r="H293" s="542"/>
      <c r="I293" s="542"/>
      <c r="J293" s="542"/>
      <c r="K293" s="542"/>
    </row>
  </sheetData>
  <mergeCells count="54">
    <mergeCell ref="B6:K6"/>
    <mergeCell ref="B7:K7"/>
    <mergeCell ref="B23:K23"/>
    <mergeCell ref="B24:K24"/>
    <mergeCell ref="B40:K40"/>
    <mergeCell ref="B41:K41"/>
    <mergeCell ref="B57:K57"/>
    <mergeCell ref="B58:K58"/>
    <mergeCell ref="B74:K74"/>
    <mergeCell ref="B75:K75"/>
    <mergeCell ref="B91:K91"/>
    <mergeCell ref="B92:K92"/>
    <mergeCell ref="B108:J108"/>
    <mergeCell ref="B109:J109"/>
    <mergeCell ref="B125:J125"/>
    <mergeCell ref="B126:J126"/>
    <mergeCell ref="B142:U142"/>
    <mergeCell ref="B143:H143"/>
    <mergeCell ref="J143:O143"/>
    <mergeCell ref="Q143:S143"/>
    <mergeCell ref="B159:U159"/>
    <mergeCell ref="B160:H160"/>
    <mergeCell ref="J160:O160"/>
    <mergeCell ref="Q160:S160"/>
    <mergeCell ref="F176:M177"/>
    <mergeCell ref="D217:H217"/>
    <mergeCell ref="L217:N217"/>
    <mergeCell ref="D191:E191"/>
    <mergeCell ref="A1:K5"/>
    <mergeCell ref="B193:S197"/>
    <mergeCell ref="C199:H199"/>
    <mergeCell ref="K199:S199"/>
    <mergeCell ref="D186:E186"/>
    <mergeCell ref="D187:E187"/>
    <mergeCell ref="D188:E188"/>
    <mergeCell ref="D189:E189"/>
    <mergeCell ref="D190:E190"/>
    <mergeCell ref="D181:E181"/>
    <mergeCell ref="D182:E182"/>
    <mergeCell ref="D183:E183"/>
    <mergeCell ref="D184:E184"/>
    <mergeCell ref="Q180:R180"/>
    <mergeCell ref="Q181:R181"/>
    <mergeCell ref="D201:H201"/>
    <mergeCell ref="L201:N201"/>
    <mergeCell ref="Q201:S201"/>
    <mergeCell ref="D185:E185"/>
    <mergeCell ref="K258:L258"/>
    <mergeCell ref="K259:L259"/>
    <mergeCell ref="M258:N258"/>
    <mergeCell ref="M259:N259"/>
    <mergeCell ref="D234:G234"/>
    <mergeCell ref="L234:N234"/>
    <mergeCell ref="D253:F253"/>
  </mergeCells>
  <pageMargins left="0.7" right="0.7" top="0.75" bottom="0.75" header="0.3" footer="0.3"/>
  <pageSetup scale="52" orientation="landscape" r:id="rId1"/>
  <headerFooter>
    <oddHeader>&amp;LPuerto Rico Electric Power Authority 
Rate Review (NEPR-AP-2023-0003)
Fuel and Purchased Power Costs
&amp;RSchedule F-6
Page &amp;P of &amp;N</oddHeader>
  </headerFooter>
  <rowBreaks count="3" manualBreakCount="3">
    <brk id="38" max="10" man="1"/>
    <brk id="89" max="10" man="1"/>
    <brk id="191" max="20" man="1"/>
  </rowBreaks>
  <colBreaks count="2" manualBreakCount="2">
    <brk id="9" min="140" max="173" man="1"/>
    <brk id="9" min="192" max="231"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6B261-896D-44E8-BC89-F62186542013}">
  <sheetPr>
    <tabColor rgb="FFFFCCCC"/>
  </sheetPr>
  <dimension ref="B1:BT182"/>
  <sheetViews>
    <sheetView workbookViewId="0"/>
    <sheetView workbookViewId="1"/>
    <sheetView workbookViewId="2"/>
  </sheetViews>
  <sheetFormatPr defaultColWidth="8.5703125" defaultRowHeight="14.25" outlineLevelRow="1" outlineLevelCol="2"/>
  <cols>
    <col min="1" max="1" width="1.5703125" style="1" customWidth="1"/>
    <col min="2" max="2" width="14.42578125" style="230" customWidth="1"/>
    <col min="3" max="3" width="3.5703125" style="1" customWidth="1"/>
    <col min="4" max="4" width="73.140625" style="1" customWidth="1"/>
    <col min="5" max="5" width="15.85546875" style="1" customWidth="1" outlineLevel="1"/>
    <col min="6" max="9" width="15.85546875" style="1" hidden="1" customWidth="1" outlineLevel="2"/>
    <col min="10" max="10" width="15.85546875" style="1" customWidth="1" outlineLevel="1" collapsed="1"/>
    <col min="11" max="14" width="15.85546875" style="1" hidden="1" customWidth="1" outlineLevel="2"/>
    <col min="15" max="15" width="15.85546875" style="1" customWidth="1" outlineLevel="1" collapsed="1"/>
    <col min="16" max="19" width="15.85546875" style="1" hidden="1" customWidth="1" outlineLevel="2"/>
    <col min="20" max="20" width="15.85546875" style="1" customWidth="1" outlineLevel="1" collapsed="1"/>
    <col min="21" max="25" width="15.85546875" style="1" customWidth="1" outlineLevel="2"/>
    <col min="26" max="26" width="15.85546875" style="1" customWidth="1" outlineLevel="1"/>
    <col min="27" max="27" width="3.85546875" style="1" customWidth="1" outlineLevel="1"/>
    <col min="28" max="28" width="15.85546875" style="1" customWidth="1" outlineLevel="1"/>
    <col min="29" max="32" width="15.85546875" style="1" hidden="1" customWidth="1" outlineLevel="2"/>
    <col min="33" max="33" width="15.85546875" style="1" customWidth="1" outlineLevel="1" collapsed="1"/>
    <col min="34" max="37" width="15.85546875" style="1" hidden="1" customWidth="1" outlineLevel="2"/>
    <col min="38" max="38" width="15.85546875" style="1" customWidth="1" outlineLevel="1" collapsed="1"/>
    <col min="39" max="42" width="15.85546875" style="1" hidden="1" customWidth="1" outlineLevel="2"/>
    <col min="43" max="43" width="15.85546875" style="1" customWidth="1" outlineLevel="1" collapsed="1"/>
    <col min="44" max="44" width="15.85546875" style="1" customWidth="1" outlineLevel="1"/>
    <col min="45" max="45" width="13.85546875" style="1" customWidth="1" outlineLevel="1"/>
    <col min="46" max="46" width="15.85546875" style="1" customWidth="1" outlineLevel="1"/>
    <col min="47" max="47" width="14.140625" style="1" customWidth="1" outlineLevel="1"/>
    <col min="48" max="48" width="15.85546875" style="1" customWidth="1"/>
    <col min="49" max="49" width="11.5703125" style="1" customWidth="1"/>
    <col min="50" max="50" width="3.42578125" style="1" customWidth="1"/>
    <col min="51" max="51" width="15.85546875" style="1" customWidth="1" outlineLevel="1"/>
    <col min="52" max="55" width="15.85546875" style="1" hidden="1" customWidth="1" outlineLevel="2"/>
    <col min="56" max="56" width="15.85546875" style="1" customWidth="1" outlineLevel="1" collapsed="1"/>
    <col min="57" max="60" width="15.85546875" style="1" hidden="1" customWidth="1" outlineLevel="2"/>
    <col min="61" max="61" width="15.85546875" style="1" customWidth="1" outlineLevel="1" collapsed="1"/>
    <col min="62" max="65" width="15.85546875" style="1" hidden="1" customWidth="1" outlineLevel="2"/>
    <col min="66" max="66" width="15.85546875" style="1" customWidth="1" outlineLevel="1" collapsed="1"/>
    <col min="67" max="67" width="13.85546875" style="1" customWidth="1"/>
    <col min="68" max="68" width="13.5703125" style="1" customWidth="1"/>
    <col min="69" max="69" width="11.5703125" style="1" customWidth="1"/>
    <col min="70" max="70" width="12.85546875" style="1" customWidth="1"/>
    <col min="71" max="71" width="12.5703125" style="1" customWidth="1"/>
    <col min="72" max="16384" width="8.5703125" style="1"/>
  </cols>
  <sheetData>
    <row r="1" spans="2:72" ht="15">
      <c r="B1" s="181" t="s">
        <v>349</v>
      </c>
      <c r="E1" s="182"/>
      <c r="F1" s="182"/>
      <c r="G1" s="182"/>
      <c r="H1" s="182"/>
      <c r="I1" s="182"/>
      <c r="J1" s="182"/>
      <c r="K1" s="182"/>
      <c r="L1" s="182"/>
      <c r="M1" s="182"/>
      <c r="N1" s="182"/>
      <c r="O1" s="182"/>
      <c r="P1" s="182"/>
      <c r="Q1" s="182"/>
      <c r="R1" s="182"/>
      <c r="S1" s="182"/>
      <c r="T1" s="182"/>
      <c r="U1" s="182"/>
      <c r="V1" s="182"/>
      <c r="W1" s="182"/>
      <c r="X1" s="182"/>
      <c r="Y1" s="182"/>
      <c r="Z1" s="182"/>
      <c r="AB1" s="182"/>
      <c r="AC1" s="182"/>
      <c r="AD1" s="182"/>
      <c r="AE1" s="182"/>
      <c r="AF1" s="182"/>
      <c r="AG1" s="182"/>
      <c r="AH1" s="182"/>
      <c r="AI1" s="182"/>
      <c r="AJ1" s="182"/>
      <c r="AK1" s="182"/>
      <c r="AL1" s="182"/>
      <c r="AM1" s="182"/>
      <c r="AN1" s="182"/>
      <c r="AO1" s="182"/>
      <c r="AP1" s="182"/>
      <c r="AQ1" s="182"/>
      <c r="AR1" s="182"/>
      <c r="AT1" s="78"/>
      <c r="AV1" s="78"/>
      <c r="AW1" s="78"/>
      <c r="AX1" s="78"/>
      <c r="AY1" s="182"/>
      <c r="AZ1" s="182"/>
      <c r="BA1" s="182"/>
      <c r="BB1" s="182"/>
      <c r="BC1" s="182"/>
      <c r="BD1" s="182"/>
      <c r="BE1" s="182"/>
      <c r="BF1" s="182"/>
      <c r="BG1" s="182"/>
      <c r="BH1" s="182"/>
      <c r="BI1" s="182"/>
      <c r="BJ1" s="182"/>
      <c r="BK1" s="182"/>
      <c r="BL1" s="182"/>
      <c r="BM1" s="182"/>
      <c r="BN1" s="182"/>
    </row>
    <row r="2" spans="2:72" ht="15">
      <c r="B2" s="181"/>
      <c r="E2" s="78"/>
      <c r="F2" s="78"/>
      <c r="G2" s="78"/>
      <c r="H2" s="78"/>
      <c r="I2" s="78"/>
      <c r="J2" s="78"/>
      <c r="K2" s="78"/>
      <c r="L2" s="78"/>
      <c r="M2" s="78"/>
      <c r="N2" s="78"/>
      <c r="O2" s="78"/>
      <c r="P2" s="78"/>
      <c r="Q2" s="78"/>
      <c r="R2" s="78"/>
      <c r="S2" s="78"/>
      <c r="T2" s="78"/>
      <c r="U2" s="78"/>
      <c r="V2" s="78"/>
      <c r="W2" s="78"/>
      <c r="X2" s="78"/>
      <c r="Y2" s="78"/>
      <c r="Z2" s="78"/>
      <c r="AB2" s="78"/>
      <c r="AC2" s="78"/>
      <c r="AD2" s="78"/>
      <c r="AE2" s="78"/>
      <c r="AF2" s="78"/>
      <c r="AG2" s="78"/>
      <c r="AH2" s="78"/>
      <c r="AI2" s="78"/>
      <c r="AJ2" s="78"/>
      <c r="AK2" s="78"/>
      <c r="AL2" s="78"/>
      <c r="AM2" s="78"/>
      <c r="AN2" s="78"/>
      <c r="AO2" s="78"/>
      <c r="AP2" s="78"/>
      <c r="AQ2" s="78"/>
      <c r="AR2" s="78"/>
      <c r="AT2" s="78"/>
      <c r="AV2" s="78"/>
      <c r="AW2" s="78"/>
      <c r="AX2" s="78"/>
      <c r="AY2" s="78"/>
      <c r="AZ2" s="78"/>
      <c r="BA2" s="78"/>
      <c r="BB2" s="78"/>
      <c r="BC2" s="78"/>
      <c r="BD2" s="78"/>
      <c r="BE2" s="78"/>
      <c r="BF2" s="78"/>
      <c r="BG2" s="78"/>
      <c r="BH2" s="78"/>
      <c r="BI2" s="78"/>
      <c r="BJ2" s="78"/>
      <c r="BK2" s="78"/>
      <c r="BL2" s="78"/>
      <c r="BM2" s="78"/>
      <c r="BN2" s="78"/>
    </row>
    <row r="3" spans="2:72" ht="15.75" thickBot="1">
      <c r="B3" s="181"/>
      <c r="AW3" s="78"/>
      <c r="AX3" s="78"/>
    </row>
    <row r="4" spans="2:72" ht="15">
      <c r="B4" s="1190" t="s">
        <v>350</v>
      </c>
      <c r="C4" s="1191"/>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1"/>
      <c r="BB4" s="1191"/>
      <c r="BC4" s="1191"/>
      <c r="BD4" s="1191"/>
      <c r="BE4" s="1191"/>
      <c r="BF4" s="1191"/>
      <c r="BG4" s="1191"/>
      <c r="BH4" s="1191"/>
      <c r="BI4" s="1191"/>
      <c r="BJ4" s="1191"/>
      <c r="BK4" s="1191"/>
      <c r="BL4" s="1191"/>
      <c r="BM4" s="1191"/>
      <c r="BN4" s="1191"/>
      <c r="BO4" s="1191"/>
      <c r="BP4" s="1191"/>
      <c r="BQ4" s="1191"/>
      <c r="BR4" s="1191"/>
      <c r="BS4" s="1191"/>
      <c r="BT4" s="1192"/>
    </row>
    <row r="5" spans="2:72" ht="24.95" customHeight="1">
      <c r="B5" s="183"/>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5"/>
      <c r="AX5" s="185"/>
      <c r="AY5" s="184"/>
      <c r="AZ5" s="184"/>
      <c r="BA5" s="184"/>
      <c r="BB5" s="184"/>
      <c r="BC5" s="184"/>
      <c r="BD5" s="184"/>
      <c r="BE5" s="184"/>
      <c r="BF5" s="184"/>
      <c r="BG5" s="184"/>
      <c r="BH5" s="184"/>
      <c r="BI5" s="184"/>
      <c r="BJ5" s="184"/>
      <c r="BK5" s="184"/>
      <c r="BL5" s="184"/>
      <c r="BM5" s="184"/>
      <c r="BN5" s="184"/>
      <c r="BO5" s="184"/>
      <c r="BP5" s="184"/>
      <c r="BQ5" s="184"/>
      <c r="BR5" s="184"/>
      <c r="BS5" s="184"/>
      <c r="BT5" s="186"/>
    </row>
    <row r="6" spans="2:72" ht="18" customHeight="1">
      <c r="B6" s="187"/>
      <c r="C6" s="184"/>
      <c r="D6" s="184"/>
      <c r="E6" s="188"/>
      <c r="F6" s="188"/>
      <c r="G6" s="188"/>
      <c r="H6" s="188"/>
      <c r="I6" s="188"/>
      <c r="J6" s="189"/>
      <c r="K6" s="188"/>
      <c r="L6" s="188"/>
      <c r="M6" s="188"/>
      <c r="N6" s="188"/>
      <c r="O6" s="189"/>
      <c r="P6" s="188"/>
      <c r="Q6" s="188"/>
      <c r="R6" s="188"/>
      <c r="S6" s="188"/>
      <c r="T6" s="189"/>
      <c r="U6" s="188" t="s">
        <v>239</v>
      </c>
      <c r="V6" s="188"/>
      <c r="W6" s="188"/>
      <c r="X6" s="188"/>
      <c r="Y6" s="188"/>
      <c r="Z6" s="188"/>
      <c r="AA6" s="184"/>
      <c r="AB6" s="188"/>
      <c r="AC6" s="188"/>
      <c r="AD6" s="188"/>
      <c r="AE6" s="188"/>
      <c r="AF6" s="188"/>
      <c r="AG6" s="189"/>
      <c r="AH6" s="188"/>
      <c r="AI6" s="188"/>
      <c r="AJ6" s="188"/>
      <c r="AK6" s="188"/>
      <c r="AL6" s="189"/>
      <c r="AM6" s="188"/>
      <c r="AN6" s="188"/>
      <c r="AO6" s="188"/>
      <c r="AP6" s="188"/>
      <c r="AQ6" s="189"/>
      <c r="AR6" s="188" t="s">
        <v>240</v>
      </c>
      <c r="AS6" s="188"/>
      <c r="AT6" s="188"/>
      <c r="AU6" s="188"/>
      <c r="AV6" s="188"/>
      <c r="AW6" s="188"/>
      <c r="AX6" s="185"/>
      <c r="AY6" s="188"/>
      <c r="AZ6" s="188"/>
      <c r="BA6" s="188"/>
      <c r="BB6" s="188"/>
      <c r="BC6" s="188"/>
      <c r="BD6" s="189"/>
      <c r="BE6" s="188"/>
      <c r="BF6" s="188"/>
      <c r="BG6" s="188"/>
      <c r="BH6" s="188"/>
      <c r="BI6" s="189"/>
      <c r="BJ6" s="188"/>
      <c r="BK6" s="188"/>
      <c r="BL6" s="188"/>
      <c r="BM6" s="188"/>
      <c r="BN6" s="189"/>
      <c r="BO6" s="188" t="s">
        <v>241</v>
      </c>
      <c r="BP6" s="188"/>
      <c r="BQ6" s="188"/>
      <c r="BR6" s="188"/>
      <c r="BS6" s="188"/>
      <c r="BT6" s="190"/>
    </row>
    <row r="7" spans="2:72" ht="52.5" customHeight="1">
      <c r="B7" s="191" t="s">
        <v>242</v>
      </c>
      <c r="C7" s="192"/>
      <c r="D7" s="193" t="s">
        <v>5</v>
      </c>
      <c r="E7" s="193" t="s">
        <v>243</v>
      </c>
      <c r="F7" s="193" t="s">
        <v>244</v>
      </c>
      <c r="G7" s="193" t="s">
        <v>245</v>
      </c>
      <c r="H7" s="193" t="s">
        <v>246</v>
      </c>
      <c r="I7" s="193" t="s">
        <v>247</v>
      </c>
      <c r="J7" s="193" t="s">
        <v>248</v>
      </c>
      <c r="K7" s="193" t="s">
        <v>249</v>
      </c>
      <c r="L7" s="193" t="s">
        <v>250</v>
      </c>
      <c r="M7" s="193" t="s">
        <v>251</v>
      </c>
      <c r="N7" s="193" t="s">
        <v>252</v>
      </c>
      <c r="O7" s="193" t="s">
        <v>253</v>
      </c>
      <c r="P7" s="193" t="s">
        <v>254</v>
      </c>
      <c r="Q7" s="193" t="s">
        <v>255</v>
      </c>
      <c r="R7" s="193" t="s">
        <v>256</v>
      </c>
      <c r="S7" s="193" t="s">
        <v>257</v>
      </c>
      <c r="T7" s="193" t="s">
        <v>258</v>
      </c>
      <c r="U7" s="194" t="s">
        <v>259</v>
      </c>
      <c r="V7" s="194" t="s">
        <v>260</v>
      </c>
      <c r="W7" s="194" t="s">
        <v>261</v>
      </c>
      <c r="X7" s="194" t="s">
        <v>262</v>
      </c>
      <c r="Y7" s="194" t="s">
        <v>263</v>
      </c>
      <c r="Z7" s="193" t="s">
        <v>264</v>
      </c>
      <c r="AA7" s="192"/>
      <c r="AB7" s="193" t="s">
        <v>243</v>
      </c>
      <c r="AC7" s="193" t="s">
        <v>244</v>
      </c>
      <c r="AD7" s="193" t="s">
        <v>245</v>
      </c>
      <c r="AE7" s="193" t="s">
        <v>246</v>
      </c>
      <c r="AF7" s="193" t="s">
        <v>247</v>
      </c>
      <c r="AG7" s="193" t="s">
        <v>248</v>
      </c>
      <c r="AH7" s="193" t="s">
        <v>249</v>
      </c>
      <c r="AI7" s="193" t="s">
        <v>250</v>
      </c>
      <c r="AJ7" s="193" t="s">
        <v>251</v>
      </c>
      <c r="AK7" s="193" t="s">
        <v>252</v>
      </c>
      <c r="AL7" s="193" t="s">
        <v>253</v>
      </c>
      <c r="AM7" s="193" t="s">
        <v>254</v>
      </c>
      <c r="AN7" s="193" t="s">
        <v>255</v>
      </c>
      <c r="AO7" s="193" t="s">
        <v>256</v>
      </c>
      <c r="AP7" s="193" t="s">
        <v>257</v>
      </c>
      <c r="AQ7" s="193" t="s">
        <v>258</v>
      </c>
      <c r="AR7" s="194" t="s">
        <v>259</v>
      </c>
      <c r="AS7" s="194" t="s">
        <v>260</v>
      </c>
      <c r="AT7" s="194" t="s">
        <v>261</v>
      </c>
      <c r="AU7" s="194" t="s">
        <v>262</v>
      </c>
      <c r="AV7" s="194" t="s">
        <v>263</v>
      </c>
      <c r="AW7" s="193" t="s">
        <v>264</v>
      </c>
      <c r="AX7" s="184"/>
      <c r="AY7" s="193" t="s">
        <v>243</v>
      </c>
      <c r="AZ7" s="193" t="s">
        <v>244</v>
      </c>
      <c r="BA7" s="193" t="s">
        <v>245</v>
      </c>
      <c r="BB7" s="193" t="s">
        <v>246</v>
      </c>
      <c r="BC7" s="193" t="s">
        <v>247</v>
      </c>
      <c r="BD7" s="193" t="s">
        <v>248</v>
      </c>
      <c r="BE7" s="193" t="s">
        <v>249</v>
      </c>
      <c r="BF7" s="193" t="s">
        <v>250</v>
      </c>
      <c r="BG7" s="193" t="s">
        <v>251</v>
      </c>
      <c r="BH7" s="193" t="s">
        <v>252</v>
      </c>
      <c r="BI7" s="193" t="s">
        <v>253</v>
      </c>
      <c r="BJ7" s="193" t="s">
        <v>254</v>
      </c>
      <c r="BK7" s="193" t="s">
        <v>255</v>
      </c>
      <c r="BL7" s="193" t="s">
        <v>256</v>
      </c>
      <c r="BM7" s="193" t="s">
        <v>257</v>
      </c>
      <c r="BN7" s="193" t="s">
        <v>258</v>
      </c>
      <c r="BO7" s="194" t="s">
        <v>259</v>
      </c>
      <c r="BP7" s="194" t="s">
        <v>260</v>
      </c>
      <c r="BQ7" s="194" t="s">
        <v>261</v>
      </c>
      <c r="BR7" s="194" t="s">
        <v>262</v>
      </c>
      <c r="BS7" s="194" t="s">
        <v>263</v>
      </c>
      <c r="BT7" s="195" t="s">
        <v>264</v>
      </c>
    </row>
    <row r="8" spans="2:72" ht="14.25" customHeight="1">
      <c r="B8" s="196"/>
      <c r="C8" s="184"/>
      <c r="D8" s="184"/>
      <c r="E8" s="185"/>
      <c r="F8" s="185" t="s">
        <v>265</v>
      </c>
      <c r="G8" s="185" t="s">
        <v>266</v>
      </c>
      <c r="H8" s="185" t="s">
        <v>267</v>
      </c>
      <c r="I8" s="185" t="s">
        <v>268</v>
      </c>
      <c r="J8" s="185"/>
      <c r="K8" s="185" t="s">
        <v>269</v>
      </c>
      <c r="L8" s="185" t="s">
        <v>270</v>
      </c>
      <c r="M8" s="185" t="s">
        <v>271</v>
      </c>
      <c r="N8" s="185" t="s">
        <v>272</v>
      </c>
      <c r="O8" s="185"/>
      <c r="P8" s="185" t="s">
        <v>273</v>
      </c>
      <c r="Q8" s="185" t="s">
        <v>274</v>
      </c>
      <c r="R8" s="185" t="s">
        <v>275</v>
      </c>
      <c r="S8" s="185" t="s">
        <v>276</v>
      </c>
      <c r="T8" s="185"/>
      <c r="U8" s="197">
        <v>1</v>
      </c>
      <c r="V8" s="197">
        <v>2</v>
      </c>
      <c r="W8" s="197">
        <v>3</v>
      </c>
      <c r="X8" s="197">
        <v>4</v>
      </c>
      <c r="Y8" s="197">
        <v>5</v>
      </c>
      <c r="Z8" s="185" t="s">
        <v>277</v>
      </c>
      <c r="AA8" s="184"/>
      <c r="AB8" s="185"/>
      <c r="AC8" s="185" t="s">
        <v>265</v>
      </c>
      <c r="AD8" s="185" t="s">
        <v>266</v>
      </c>
      <c r="AE8" s="185" t="s">
        <v>267</v>
      </c>
      <c r="AF8" s="185" t="s">
        <v>268</v>
      </c>
      <c r="AG8" s="185"/>
      <c r="AH8" s="185" t="s">
        <v>269</v>
      </c>
      <c r="AI8" s="185" t="s">
        <v>270</v>
      </c>
      <c r="AJ8" s="185" t="s">
        <v>271</v>
      </c>
      <c r="AK8" s="185" t="s">
        <v>272</v>
      </c>
      <c r="AL8" s="185"/>
      <c r="AM8" s="185" t="s">
        <v>273</v>
      </c>
      <c r="AN8" s="185" t="s">
        <v>274</v>
      </c>
      <c r="AO8" s="185" t="s">
        <v>275</v>
      </c>
      <c r="AP8" s="185" t="s">
        <v>276</v>
      </c>
      <c r="AQ8" s="185"/>
      <c r="AR8" s="197">
        <v>1</v>
      </c>
      <c r="AS8" s="197">
        <v>2</v>
      </c>
      <c r="AT8" s="197">
        <v>3</v>
      </c>
      <c r="AU8" s="197">
        <v>4</v>
      </c>
      <c r="AV8" s="197">
        <v>5</v>
      </c>
      <c r="AW8" s="185" t="s">
        <v>277</v>
      </c>
      <c r="AX8" s="184"/>
      <c r="AY8" s="185"/>
      <c r="AZ8" s="185" t="s">
        <v>265</v>
      </c>
      <c r="BA8" s="185" t="s">
        <v>266</v>
      </c>
      <c r="BB8" s="185" t="s">
        <v>267</v>
      </c>
      <c r="BC8" s="185" t="s">
        <v>268</v>
      </c>
      <c r="BD8" s="185"/>
      <c r="BE8" s="185" t="s">
        <v>269</v>
      </c>
      <c r="BF8" s="185" t="s">
        <v>270</v>
      </c>
      <c r="BG8" s="185" t="s">
        <v>271</v>
      </c>
      <c r="BH8" s="185" t="s">
        <v>272</v>
      </c>
      <c r="BI8" s="185"/>
      <c r="BJ8" s="185" t="s">
        <v>273</v>
      </c>
      <c r="BK8" s="185" t="s">
        <v>274</v>
      </c>
      <c r="BL8" s="185" t="s">
        <v>275</v>
      </c>
      <c r="BM8" s="185" t="s">
        <v>276</v>
      </c>
      <c r="BN8" s="185"/>
      <c r="BO8" s="197">
        <v>1</v>
      </c>
      <c r="BP8" s="197">
        <v>2</v>
      </c>
      <c r="BQ8" s="197">
        <v>3</v>
      </c>
      <c r="BR8" s="197">
        <v>4</v>
      </c>
      <c r="BS8" s="197">
        <v>5</v>
      </c>
      <c r="BT8" s="185" t="s">
        <v>277</v>
      </c>
    </row>
    <row r="9" spans="2:72" ht="14.45" hidden="1" customHeight="1" outlineLevel="1">
      <c r="B9" s="196">
        <v>1</v>
      </c>
      <c r="C9" s="184"/>
      <c r="D9" s="198" t="s">
        <v>278</v>
      </c>
      <c r="E9" s="198" t="s">
        <v>279</v>
      </c>
      <c r="F9" s="198"/>
      <c r="G9" s="198"/>
      <c r="H9" s="198"/>
      <c r="I9" s="198"/>
      <c r="J9" s="198" t="s">
        <v>279</v>
      </c>
      <c r="K9" s="198"/>
      <c r="L9" s="198"/>
      <c r="M9" s="198"/>
      <c r="N9" s="198"/>
      <c r="O9" s="198" t="s">
        <v>279</v>
      </c>
      <c r="P9" s="198"/>
      <c r="Q9" s="198"/>
      <c r="R9" s="198"/>
      <c r="S9" s="198"/>
      <c r="T9" s="198" t="s">
        <v>279</v>
      </c>
      <c r="U9" s="199"/>
      <c r="V9" s="199"/>
      <c r="W9" s="199"/>
      <c r="X9" s="199"/>
      <c r="Y9" s="199"/>
      <c r="Z9" s="198" t="s">
        <v>279</v>
      </c>
      <c r="AA9" s="180"/>
      <c r="AB9" s="198" t="s">
        <v>279</v>
      </c>
      <c r="AC9" s="198"/>
      <c r="AD9" s="198"/>
      <c r="AE9" s="198"/>
      <c r="AF9" s="198"/>
      <c r="AG9" s="198" t="s">
        <v>279</v>
      </c>
      <c r="AH9" s="198"/>
      <c r="AI9" s="198"/>
      <c r="AJ9" s="198"/>
      <c r="AK9" s="198"/>
      <c r="AL9" s="198" t="s">
        <v>279</v>
      </c>
      <c r="AM9" s="198"/>
      <c r="AN9" s="198"/>
      <c r="AO9" s="198"/>
      <c r="AP9" s="198"/>
      <c r="AQ9" s="198" t="s">
        <v>279</v>
      </c>
      <c r="AR9" s="199"/>
      <c r="AS9" s="199"/>
      <c r="AT9" s="199"/>
      <c r="AU9" s="199"/>
      <c r="AV9" s="199"/>
      <c r="AW9" s="198" t="s">
        <v>279</v>
      </c>
      <c r="AX9" s="180"/>
      <c r="AY9" s="198" t="s">
        <v>279</v>
      </c>
      <c r="AZ9" s="198"/>
      <c r="BA9" s="198"/>
      <c r="BB9" s="198"/>
      <c r="BC9" s="198"/>
      <c r="BD9" s="198" t="s">
        <v>279</v>
      </c>
      <c r="BE9" s="198"/>
      <c r="BF9" s="198"/>
      <c r="BG9" s="198"/>
      <c r="BH9" s="198"/>
      <c r="BI9" s="198" t="s">
        <v>279</v>
      </c>
      <c r="BJ9" s="198"/>
      <c r="BK9" s="198"/>
      <c r="BL9" s="198"/>
      <c r="BM9" s="198"/>
      <c r="BN9" s="198" t="s">
        <v>279</v>
      </c>
      <c r="BO9" s="199"/>
      <c r="BP9" s="199"/>
      <c r="BQ9" s="199"/>
      <c r="BR9" s="199"/>
      <c r="BS9" s="199"/>
      <c r="BT9" s="198" t="s">
        <v>279</v>
      </c>
    </row>
    <row r="10" spans="2:72" ht="6.75" hidden="1" customHeight="1" outlineLevel="1">
      <c r="B10" s="196"/>
      <c r="C10" s="184"/>
      <c r="D10" s="198"/>
      <c r="E10" s="201"/>
      <c r="F10" s="201"/>
      <c r="G10" s="201"/>
      <c r="H10" s="201"/>
      <c r="I10" s="201"/>
      <c r="J10" s="201"/>
      <c r="K10" s="201"/>
      <c r="L10" s="201"/>
      <c r="M10" s="201"/>
      <c r="N10" s="201"/>
      <c r="O10" s="201"/>
      <c r="P10" s="201"/>
      <c r="Q10" s="201"/>
      <c r="R10" s="201"/>
      <c r="S10" s="201"/>
      <c r="T10" s="201"/>
      <c r="U10" s="202"/>
      <c r="V10" s="202"/>
      <c r="W10" s="202"/>
      <c r="X10" s="202"/>
      <c r="Y10" s="202"/>
      <c r="Z10" s="201"/>
      <c r="AA10" s="180"/>
      <c r="AB10" s="201"/>
      <c r="AC10" s="201"/>
      <c r="AD10" s="201"/>
      <c r="AE10" s="201"/>
      <c r="AF10" s="201"/>
      <c r="AG10" s="201"/>
      <c r="AH10" s="201"/>
      <c r="AI10" s="201"/>
      <c r="AJ10" s="201"/>
      <c r="AK10" s="201"/>
      <c r="AL10" s="201"/>
      <c r="AM10" s="201"/>
      <c r="AN10" s="201"/>
      <c r="AO10" s="201"/>
      <c r="AP10" s="201"/>
      <c r="AQ10" s="201"/>
      <c r="AR10" s="202"/>
      <c r="AS10" s="202"/>
      <c r="AT10" s="202"/>
      <c r="AU10" s="202"/>
      <c r="AV10" s="202"/>
      <c r="AW10" s="201"/>
      <c r="AX10" s="180"/>
      <c r="AY10" s="201"/>
      <c r="AZ10" s="201"/>
      <c r="BA10" s="201"/>
      <c r="BB10" s="201"/>
      <c r="BC10" s="201"/>
      <c r="BD10" s="201"/>
      <c r="BE10" s="201"/>
      <c r="BF10" s="201"/>
      <c r="BG10" s="201"/>
      <c r="BH10" s="201"/>
      <c r="BI10" s="201"/>
      <c r="BJ10" s="201"/>
      <c r="BK10" s="201"/>
      <c r="BL10" s="201"/>
      <c r="BM10" s="201"/>
      <c r="BN10" s="201"/>
      <c r="BO10" s="202"/>
      <c r="BP10" s="202"/>
      <c r="BQ10" s="202"/>
      <c r="BR10" s="202"/>
      <c r="BS10" s="202"/>
      <c r="BT10" s="201"/>
    </row>
    <row r="11" spans="2:72" ht="14.45" hidden="1" customHeight="1" outlineLevel="1">
      <c r="B11" s="196">
        <f t="shared" ref="B11:B74" si="0">IF(D11&lt;&gt;"",MAX(B8:B10)+1,"")</f>
        <v>2</v>
      </c>
      <c r="C11" s="184"/>
      <c r="D11" s="198" t="s">
        <v>280</v>
      </c>
      <c r="E11" s="204"/>
      <c r="F11" s="204"/>
      <c r="G11" s="204"/>
      <c r="H11" s="204"/>
      <c r="I11" s="204"/>
      <c r="J11" s="204"/>
      <c r="K11" s="204"/>
      <c r="L11" s="204"/>
      <c r="M11" s="204"/>
      <c r="N11" s="204"/>
      <c r="O11" s="204"/>
      <c r="P11" s="204"/>
      <c r="Q11" s="204"/>
      <c r="R11" s="204"/>
      <c r="S11" s="204"/>
      <c r="T11" s="204"/>
      <c r="U11" s="205"/>
      <c r="V11" s="205"/>
      <c r="W11" s="205"/>
      <c r="X11" s="205"/>
      <c r="Y11" s="205"/>
      <c r="Z11" s="204"/>
      <c r="AA11" s="180"/>
      <c r="AB11" s="204"/>
      <c r="AC11" s="204"/>
      <c r="AD11" s="204"/>
      <c r="AE11" s="204"/>
      <c r="AF11" s="204"/>
      <c r="AG11" s="204"/>
      <c r="AH11" s="204"/>
      <c r="AI11" s="204"/>
      <c r="AJ11" s="204"/>
      <c r="AK11" s="204"/>
      <c r="AL11" s="204"/>
      <c r="AM11" s="204"/>
      <c r="AN11" s="204"/>
      <c r="AO11" s="204"/>
      <c r="AP11" s="204"/>
      <c r="AQ11" s="204"/>
      <c r="AR11" s="205"/>
      <c r="AS11" s="205"/>
      <c r="AT11" s="205"/>
      <c r="AU11" s="205"/>
      <c r="AV11" s="205"/>
      <c r="AW11" s="204"/>
      <c r="AX11" s="180"/>
      <c r="AY11" s="204"/>
      <c r="AZ11" s="204"/>
      <c r="BA11" s="204"/>
      <c r="BB11" s="204"/>
      <c r="BC11" s="204"/>
      <c r="BD11" s="204"/>
      <c r="BE11" s="204"/>
      <c r="BF11" s="204"/>
      <c r="BG11" s="204"/>
      <c r="BH11" s="204"/>
      <c r="BI11" s="204"/>
      <c r="BJ11" s="204"/>
      <c r="BK11" s="204"/>
      <c r="BL11" s="204"/>
      <c r="BM11" s="204"/>
      <c r="BN11" s="204"/>
      <c r="BO11" s="205"/>
      <c r="BP11" s="205"/>
      <c r="BQ11" s="205"/>
      <c r="BR11" s="205"/>
      <c r="BS11" s="205"/>
      <c r="BT11" s="204"/>
    </row>
    <row r="12" spans="2:72" ht="14.45" hidden="1" customHeight="1" outlineLevel="1">
      <c r="B12" s="196">
        <f t="shared" si="0"/>
        <v>3</v>
      </c>
      <c r="C12" s="184"/>
      <c r="D12" s="207" t="s">
        <v>281</v>
      </c>
      <c r="E12" s="208">
        <v>0</v>
      </c>
      <c r="F12" s="208">
        <v>0</v>
      </c>
      <c r="G12" s="208">
        <v>0</v>
      </c>
      <c r="H12" s="208">
        <v>0</v>
      </c>
      <c r="I12" s="208">
        <v>0</v>
      </c>
      <c r="J12" s="208">
        <f>SUM(F12:I12)</f>
        <v>0</v>
      </c>
      <c r="K12" s="208">
        <v>0</v>
      </c>
      <c r="L12" s="208">
        <v>0</v>
      </c>
      <c r="M12" s="208">
        <v>0</v>
      </c>
      <c r="N12" s="208">
        <v>0</v>
      </c>
      <c r="O12" s="208">
        <f>SUM(K12:N12)</f>
        <v>0</v>
      </c>
      <c r="P12" s="208">
        <v>0</v>
      </c>
      <c r="Q12" s="208">
        <v>0</v>
      </c>
      <c r="R12" s="208">
        <v>0</v>
      </c>
      <c r="S12" s="208">
        <v>0</v>
      </c>
      <c r="T12" s="208">
        <f>SUM(P12:S12)</f>
        <v>0</v>
      </c>
      <c r="U12" s="209">
        <v>0</v>
      </c>
      <c r="V12" s="209">
        <v>0</v>
      </c>
      <c r="W12" s="209">
        <v>0</v>
      </c>
      <c r="X12" s="209">
        <v>0</v>
      </c>
      <c r="Y12" s="209">
        <v>0</v>
      </c>
      <c r="Z12" s="208">
        <f>SUM(U12:Y12)</f>
        <v>0</v>
      </c>
      <c r="AA12" s="210"/>
      <c r="AB12" s="208">
        <v>0</v>
      </c>
      <c r="AC12" s="208">
        <v>0</v>
      </c>
      <c r="AD12" s="208">
        <v>0</v>
      </c>
      <c r="AE12" s="208">
        <v>0</v>
      </c>
      <c r="AF12" s="208">
        <v>0</v>
      </c>
      <c r="AG12" s="208">
        <f>SUM(AC12:AF12)</f>
        <v>0</v>
      </c>
      <c r="AH12" s="208">
        <v>0</v>
      </c>
      <c r="AI12" s="208">
        <v>0</v>
      </c>
      <c r="AJ12" s="208">
        <v>0</v>
      </c>
      <c r="AK12" s="208">
        <v>0</v>
      </c>
      <c r="AL12" s="208">
        <f>SUM(AH12:AK12)</f>
        <v>0</v>
      </c>
      <c r="AM12" s="208">
        <v>0</v>
      </c>
      <c r="AN12" s="208">
        <v>0</v>
      </c>
      <c r="AO12" s="208">
        <v>0</v>
      </c>
      <c r="AP12" s="208">
        <v>0</v>
      </c>
      <c r="AQ12" s="208">
        <f>SUM(AM12:AP12)</f>
        <v>0</v>
      </c>
      <c r="AR12" s="209">
        <v>0</v>
      </c>
      <c r="AS12" s="209">
        <v>0</v>
      </c>
      <c r="AT12" s="209">
        <v>0</v>
      </c>
      <c r="AU12" s="209">
        <v>0</v>
      </c>
      <c r="AV12" s="209">
        <v>0</v>
      </c>
      <c r="AW12" s="208">
        <f>SUM(AR12:AV12)</f>
        <v>0</v>
      </c>
      <c r="AX12" s="180"/>
      <c r="AY12" s="208">
        <v>0</v>
      </c>
      <c r="AZ12" s="208">
        <v>0</v>
      </c>
      <c r="BA12" s="208">
        <v>0</v>
      </c>
      <c r="BB12" s="208">
        <v>0</v>
      </c>
      <c r="BC12" s="208">
        <v>0</v>
      </c>
      <c r="BD12" s="208">
        <f>SUM(AZ12:BC12)</f>
        <v>0</v>
      </c>
      <c r="BE12" s="208">
        <v>0</v>
      </c>
      <c r="BF12" s="208">
        <v>0</v>
      </c>
      <c r="BG12" s="208">
        <v>0</v>
      </c>
      <c r="BH12" s="208">
        <v>0</v>
      </c>
      <c r="BI12" s="208">
        <f>SUM(BE12:BH12)</f>
        <v>0</v>
      </c>
      <c r="BJ12" s="208">
        <v>0</v>
      </c>
      <c r="BK12" s="208">
        <v>0</v>
      </c>
      <c r="BL12" s="208">
        <v>0</v>
      </c>
      <c r="BM12" s="208">
        <v>0</v>
      </c>
      <c r="BN12" s="208">
        <f>SUM(BJ12:BM12)</f>
        <v>0</v>
      </c>
      <c r="BO12" s="209">
        <v>0</v>
      </c>
      <c r="BP12" s="209">
        <v>0</v>
      </c>
      <c r="BQ12" s="209">
        <v>0</v>
      </c>
      <c r="BR12" s="209">
        <v>0</v>
      </c>
      <c r="BS12" s="209">
        <v>0</v>
      </c>
      <c r="BT12" s="208">
        <f>SUM(BO12:BS12)</f>
        <v>0</v>
      </c>
    </row>
    <row r="13" spans="2:72" ht="14.45" hidden="1" customHeight="1" outlineLevel="1">
      <c r="B13" s="196">
        <f t="shared" si="0"/>
        <v>4</v>
      </c>
      <c r="C13" s="184"/>
      <c r="D13" s="207" t="s">
        <v>282</v>
      </c>
      <c r="E13" s="212">
        <v>0</v>
      </c>
      <c r="F13" s="212">
        <v>0</v>
      </c>
      <c r="G13" s="212">
        <v>0</v>
      </c>
      <c r="H13" s="212">
        <v>0</v>
      </c>
      <c r="I13" s="212">
        <v>0</v>
      </c>
      <c r="J13" s="212">
        <f>SUM(F13:I13)</f>
        <v>0</v>
      </c>
      <c r="K13" s="212">
        <v>0</v>
      </c>
      <c r="L13" s="212">
        <v>0</v>
      </c>
      <c r="M13" s="212">
        <v>0</v>
      </c>
      <c r="N13" s="212">
        <v>0</v>
      </c>
      <c r="O13" s="212">
        <f>SUM(K13:N13)</f>
        <v>0</v>
      </c>
      <c r="P13" s="212">
        <v>0</v>
      </c>
      <c r="Q13" s="212">
        <v>0</v>
      </c>
      <c r="R13" s="212">
        <v>0</v>
      </c>
      <c r="S13" s="212">
        <v>0</v>
      </c>
      <c r="T13" s="212">
        <f>SUM(P13:S13)</f>
        <v>0</v>
      </c>
      <c r="U13" s="213">
        <v>0</v>
      </c>
      <c r="V13" s="213">
        <v>0</v>
      </c>
      <c r="W13" s="213">
        <v>0</v>
      </c>
      <c r="X13" s="213">
        <v>0</v>
      </c>
      <c r="Y13" s="213">
        <v>0</v>
      </c>
      <c r="Z13" s="212">
        <f>SUM(U13:Y13)</f>
        <v>0</v>
      </c>
      <c r="AA13" s="180"/>
      <c r="AB13" s="212">
        <v>0</v>
      </c>
      <c r="AC13" s="212">
        <v>0</v>
      </c>
      <c r="AD13" s="212">
        <v>0</v>
      </c>
      <c r="AE13" s="212">
        <v>0</v>
      </c>
      <c r="AF13" s="212">
        <v>0</v>
      </c>
      <c r="AG13" s="212">
        <f>SUM(AC13:AF13)</f>
        <v>0</v>
      </c>
      <c r="AH13" s="212">
        <v>0</v>
      </c>
      <c r="AI13" s="212">
        <v>0</v>
      </c>
      <c r="AJ13" s="212">
        <v>0</v>
      </c>
      <c r="AK13" s="212">
        <v>0</v>
      </c>
      <c r="AL13" s="212">
        <f>SUM(AH13:AK13)</f>
        <v>0</v>
      </c>
      <c r="AM13" s="212">
        <v>0</v>
      </c>
      <c r="AN13" s="212">
        <v>0</v>
      </c>
      <c r="AO13" s="212">
        <v>0</v>
      </c>
      <c r="AP13" s="212">
        <v>0</v>
      </c>
      <c r="AQ13" s="212">
        <f>SUM(AM13:AP13)</f>
        <v>0</v>
      </c>
      <c r="AR13" s="213">
        <v>0</v>
      </c>
      <c r="AS13" s="213">
        <v>0</v>
      </c>
      <c r="AT13" s="213">
        <v>0</v>
      </c>
      <c r="AU13" s="213">
        <v>0</v>
      </c>
      <c r="AV13" s="213">
        <v>0</v>
      </c>
      <c r="AW13" s="212">
        <f>SUM(AR13:AV13)</f>
        <v>0</v>
      </c>
      <c r="AX13" s="180"/>
      <c r="AY13" s="212">
        <v>0</v>
      </c>
      <c r="AZ13" s="212">
        <v>0</v>
      </c>
      <c r="BA13" s="212">
        <v>0</v>
      </c>
      <c r="BB13" s="212">
        <v>0</v>
      </c>
      <c r="BC13" s="212">
        <v>0</v>
      </c>
      <c r="BD13" s="212">
        <f>SUM(AZ13:BC13)</f>
        <v>0</v>
      </c>
      <c r="BE13" s="212">
        <v>0</v>
      </c>
      <c r="BF13" s="212">
        <v>0</v>
      </c>
      <c r="BG13" s="212">
        <v>0</v>
      </c>
      <c r="BH13" s="212">
        <v>0</v>
      </c>
      <c r="BI13" s="212">
        <f>SUM(BE13:BH13)</f>
        <v>0</v>
      </c>
      <c r="BJ13" s="212">
        <v>0</v>
      </c>
      <c r="BK13" s="212">
        <v>0</v>
      </c>
      <c r="BL13" s="212">
        <v>0</v>
      </c>
      <c r="BM13" s="212">
        <v>0</v>
      </c>
      <c r="BN13" s="212">
        <f>SUM(BJ13:BM13)</f>
        <v>0</v>
      </c>
      <c r="BO13" s="213">
        <v>0</v>
      </c>
      <c r="BP13" s="213">
        <v>0</v>
      </c>
      <c r="BQ13" s="213">
        <v>0</v>
      </c>
      <c r="BR13" s="213">
        <v>0</v>
      </c>
      <c r="BS13" s="213">
        <v>0</v>
      </c>
      <c r="BT13" s="212">
        <f>SUM(BO13:BS13)</f>
        <v>0</v>
      </c>
    </row>
    <row r="14" spans="2:72" ht="14.45" hidden="1" customHeight="1" outlineLevel="1">
      <c r="B14" s="196">
        <f t="shared" si="0"/>
        <v>5</v>
      </c>
      <c r="C14" s="184"/>
      <c r="D14" s="207" t="s">
        <v>283</v>
      </c>
      <c r="E14" s="212">
        <v>0</v>
      </c>
      <c r="F14" s="212">
        <v>0</v>
      </c>
      <c r="G14" s="212">
        <v>0</v>
      </c>
      <c r="H14" s="212">
        <v>0</v>
      </c>
      <c r="I14" s="212">
        <v>0</v>
      </c>
      <c r="J14" s="212">
        <f>SUM(F14:I14)</f>
        <v>0</v>
      </c>
      <c r="K14" s="212">
        <v>0</v>
      </c>
      <c r="L14" s="212">
        <v>0</v>
      </c>
      <c r="M14" s="212">
        <v>0</v>
      </c>
      <c r="N14" s="212">
        <v>0</v>
      </c>
      <c r="O14" s="212">
        <f>SUM(K14:N14)</f>
        <v>0</v>
      </c>
      <c r="P14" s="212">
        <v>0</v>
      </c>
      <c r="Q14" s="212">
        <v>0</v>
      </c>
      <c r="R14" s="212">
        <v>0</v>
      </c>
      <c r="S14" s="212">
        <v>0</v>
      </c>
      <c r="T14" s="212">
        <f>SUM(P14:S14)</f>
        <v>0</v>
      </c>
      <c r="U14" s="213">
        <v>0</v>
      </c>
      <c r="V14" s="213">
        <v>0</v>
      </c>
      <c r="W14" s="213">
        <v>0</v>
      </c>
      <c r="X14" s="213">
        <v>0</v>
      </c>
      <c r="Y14" s="213">
        <v>0</v>
      </c>
      <c r="Z14" s="212">
        <f>SUM(U14:Y14)</f>
        <v>0</v>
      </c>
      <c r="AA14" s="180"/>
      <c r="AB14" s="212">
        <v>0</v>
      </c>
      <c r="AC14" s="212">
        <v>0</v>
      </c>
      <c r="AD14" s="212">
        <v>0</v>
      </c>
      <c r="AE14" s="212">
        <v>0</v>
      </c>
      <c r="AF14" s="212">
        <v>0</v>
      </c>
      <c r="AG14" s="212">
        <f>SUM(AC14:AF14)</f>
        <v>0</v>
      </c>
      <c r="AH14" s="212">
        <v>0</v>
      </c>
      <c r="AI14" s="212">
        <v>0</v>
      </c>
      <c r="AJ14" s="212">
        <v>0</v>
      </c>
      <c r="AK14" s="212">
        <v>0</v>
      </c>
      <c r="AL14" s="212">
        <f>SUM(AH14:AK14)</f>
        <v>0</v>
      </c>
      <c r="AM14" s="212">
        <v>0</v>
      </c>
      <c r="AN14" s="212">
        <v>0</v>
      </c>
      <c r="AO14" s="212">
        <v>0</v>
      </c>
      <c r="AP14" s="212">
        <v>0</v>
      </c>
      <c r="AQ14" s="212">
        <f>SUM(AM14:AP14)</f>
        <v>0</v>
      </c>
      <c r="AR14" s="213">
        <v>0</v>
      </c>
      <c r="AS14" s="213">
        <v>0</v>
      </c>
      <c r="AT14" s="213">
        <v>0</v>
      </c>
      <c r="AU14" s="213">
        <v>0</v>
      </c>
      <c r="AV14" s="213">
        <v>0</v>
      </c>
      <c r="AW14" s="212">
        <f>SUM(AR14:AV14)</f>
        <v>0</v>
      </c>
      <c r="AX14" s="180"/>
      <c r="AY14" s="212">
        <v>0</v>
      </c>
      <c r="AZ14" s="212">
        <v>0</v>
      </c>
      <c r="BA14" s="212">
        <v>0</v>
      </c>
      <c r="BB14" s="212">
        <v>0</v>
      </c>
      <c r="BC14" s="212">
        <v>0</v>
      </c>
      <c r="BD14" s="212">
        <f>SUM(AZ14:BC14)</f>
        <v>0</v>
      </c>
      <c r="BE14" s="212">
        <v>0</v>
      </c>
      <c r="BF14" s="212">
        <v>0</v>
      </c>
      <c r="BG14" s="212">
        <v>0</v>
      </c>
      <c r="BH14" s="212">
        <v>0</v>
      </c>
      <c r="BI14" s="212">
        <f>SUM(BE14:BH14)</f>
        <v>0</v>
      </c>
      <c r="BJ14" s="212">
        <v>0</v>
      </c>
      <c r="BK14" s="212">
        <v>0</v>
      </c>
      <c r="BL14" s="212">
        <v>0</v>
      </c>
      <c r="BM14" s="212">
        <v>0</v>
      </c>
      <c r="BN14" s="212">
        <f>SUM(BJ14:BM14)</f>
        <v>0</v>
      </c>
      <c r="BO14" s="213">
        <v>0</v>
      </c>
      <c r="BP14" s="213">
        <v>0</v>
      </c>
      <c r="BQ14" s="213">
        <v>0</v>
      </c>
      <c r="BR14" s="213">
        <v>0</v>
      </c>
      <c r="BS14" s="213">
        <v>0</v>
      </c>
      <c r="BT14" s="212">
        <f>SUM(BO14:BS14)</f>
        <v>0</v>
      </c>
    </row>
    <row r="15" spans="2:72" ht="14.45" hidden="1" customHeight="1" outlineLevel="1">
      <c r="B15" s="196">
        <f>IF(D15&lt;&gt;"",MAX(B13:B14)+1,"")</f>
        <v>6</v>
      </c>
      <c r="C15" s="184"/>
      <c r="D15" s="198" t="s">
        <v>284</v>
      </c>
      <c r="E15" s="215">
        <f>SUM(E12:E14)</f>
        <v>0</v>
      </c>
      <c r="F15" s="215">
        <f t="shared" ref="F15:I15" si="1">SUM(F12:F14)</f>
        <v>0</v>
      </c>
      <c r="G15" s="215">
        <f t="shared" si="1"/>
        <v>0</v>
      </c>
      <c r="H15" s="215">
        <f t="shared" si="1"/>
        <v>0</v>
      </c>
      <c r="I15" s="215">
        <f t="shared" si="1"/>
        <v>0</v>
      </c>
      <c r="J15" s="215">
        <f>SUM(J12:J14)</f>
        <v>0</v>
      </c>
      <c r="K15" s="215">
        <f t="shared" ref="K15:N15" si="2">SUM(K12:K14)</f>
        <v>0</v>
      </c>
      <c r="L15" s="215">
        <f t="shared" si="2"/>
        <v>0</v>
      </c>
      <c r="M15" s="215">
        <f t="shared" si="2"/>
        <v>0</v>
      </c>
      <c r="N15" s="215">
        <f t="shared" si="2"/>
        <v>0</v>
      </c>
      <c r="O15" s="215">
        <f>SUM(O12:O14)</f>
        <v>0</v>
      </c>
      <c r="P15" s="215">
        <f t="shared" ref="P15:S15" si="3">SUM(P12:P14)</f>
        <v>0</v>
      </c>
      <c r="Q15" s="215">
        <f t="shared" si="3"/>
        <v>0</v>
      </c>
      <c r="R15" s="215">
        <f t="shared" si="3"/>
        <v>0</v>
      </c>
      <c r="S15" s="215">
        <f t="shared" si="3"/>
        <v>0</v>
      </c>
      <c r="T15" s="215">
        <f>SUM(T12:T14)</f>
        <v>0</v>
      </c>
      <c r="U15" s="216">
        <f t="shared" ref="U15:Y15" si="4">SUM(U12:U14)</f>
        <v>0</v>
      </c>
      <c r="V15" s="216">
        <f t="shared" si="4"/>
        <v>0</v>
      </c>
      <c r="W15" s="216">
        <f t="shared" si="4"/>
        <v>0</v>
      </c>
      <c r="X15" s="216">
        <f t="shared" si="4"/>
        <v>0</v>
      </c>
      <c r="Y15" s="216">
        <f t="shared" si="4"/>
        <v>0</v>
      </c>
      <c r="Z15" s="215">
        <f>SUM(Z12:Z14)</f>
        <v>0</v>
      </c>
      <c r="AA15" s="180"/>
      <c r="AB15" s="215">
        <f>SUM(AB12:AB14)</f>
        <v>0</v>
      </c>
      <c r="AC15" s="215">
        <f t="shared" ref="AC15:AF15" si="5">SUM(AC12:AC14)</f>
        <v>0</v>
      </c>
      <c r="AD15" s="215">
        <f t="shared" si="5"/>
        <v>0</v>
      </c>
      <c r="AE15" s="215">
        <f t="shared" si="5"/>
        <v>0</v>
      </c>
      <c r="AF15" s="215">
        <f t="shared" si="5"/>
        <v>0</v>
      </c>
      <c r="AG15" s="215">
        <f>SUM(AG12:AG14)</f>
        <v>0</v>
      </c>
      <c r="AH15" s="215">
        <f t="shared" ref="AH15:AK15" si="6">SUM(AH12:AH14)</f>
        <v>0</v>
      </c>
      <c r="AI15" s="215">
        <f t="shared" si="6"/>
        <v>0</v>
      </c>
      <c r="AJ15" s="215">
        <f t="shared" si="6"/>
        <v>0</v>
      </c>
      <c r="AK15" s="215">
        <f t="shared" si="6"/>
        <v>0</v>
      </c>
      <c r="AL15" s="215">
        <f>SUM(AL12:AL14)</f>
        <v>0</v>
      </c>
      <c r="AM15" s="215">
        <f t="shared" ref="AM15:AP15" si="7">SUM(AM12:AM14)</f>
        <v>0</v>
      </c>
      <c r="AN15" s="215">
        <f t="shared" si="7"/>
        <v>0</v>
      </c>
      <c r="AO15" s="215">
        <f t="shared" si="7"/>
        <v>0</v>
      </c>
      <c r="AP15" s="215">
        <f t="shared" si="7"/>
        <v>0</v>
      </c>
      <c r="AQ15" s="215">
        <f>SUM(AQ12:AQ14)</f>
        <v>0</v>
      </c>
      <c r="AR15" s="216">
        <f t="shared" ref="AR15:AV15" si="8">SUM(AR12:AR14)</f>
        <v>0</v>
      </c>
      <c r="AS15" s="216">
        <f t="shared" si="8"/>
        <v>0</v>
      </c>
      <c r="AT15" s="216">
        <f t="shared" si="8"/>
        <v>0</v>
      </c>
      <c r="AU15" s="216">
        <f t="shared" si="8"/>
        <v>0</v>
      </c>
      <c r="AV15" s="216">
        <f t="shared" si="8"/>
        <v>0</v>
      </c>
      <c r="AW15" s="215">
        <f>SUM(AW12:AW14)</f>
        <v>0</v>
      </c>
      <c r="AX15" s="180"/>
      <c r="AY15" s="215">
        <f>SUM(AY12:AY14)</f>
        <v>0</v>
      </c>
      <c r="AZ15" s="215">
        <f t="shared" ref="AZ15:BC15" si="9">SUM(AZ12:AZ14)</f>
        <v>0</v>
      </c>
      <c r="BA15" s="215">
        <f t="shared" si="9"/>
        <v>0</v>
      </c>
      <c r="BB15" s="215">
        <f t="shared" si="9"/>
        <v>0</v>
      </c>
      <c r="BC15" s="215">
        <f t="shared" si="9"/>
        <v>0</v>
      </c>
      <c r="BD15" s="215">
        <f>SUM(BD12:BD14)</f>
        <v>0</v>
      </c>
      <c r="BE15" s="215">
        <f t="shared" ref="BE15:BH15" si="10">SUM(BE12:BE14)</f>
        <v>0</v>
      </c>
      <c r="BF15" s="215">
        <f t="shared" si="10"/>
        <v>0</v>
      </c>
      <c r="BG15" s="215">
        <f t="shared" si="10"/>
        <v>0</v>
      </c>
      <c r="BH15" s="215">
        <f t="shared" si="10"/>
        <v>0</v>
      </c>
      <c r="BI15" s="215">
        <f>SUM(BI12:BI14)</f>
        <v>0</v>
      </c>
      <c r="BJ15" s="215">
        <f t="shared" ref="BJ15:BM15" si="11">SUM(BJ12:BJ14)</f>
        <v>0</v>
      </c>
      <c r="BK15" s="215">
        <f t="shared" si="11"/>
        <v>0</v>
      </c>
      <c r="BL15" s="215">
        <f t="shared" si="11"/>
        <v>0</v>
      </c>
      <c r="BM15" s="215">
        <f t="shared" si="11"/>
        <v>0</v>
      </c>
      <c r="BN15" s="215">
        <f>SUM(BN12:BN14)</f>
        <v>0</v>
      </c>
      <c r="BO15" s="216">
        <f t="shared" ref="BO15:BS15" si="12">SUM(BO12:BO14)</f>
        <v>0</v>
      </c>
      <c r="BP15" s="216">
        <f t="shared" si="12"/>
        <v>0</v>
      </c>
      <c r="BQ15" s="216">
        <f t="shared" si="12"/>
        <v>0</v>
      </c>
      <c r="BR15" s="216">
        <f t="shared" si="12"/>
        <v>0</v>
      </c>
      <c r="BS15" s="216">
        <f t="shared" si="12"/>
        <v>0</v>
      </c>
      <c r="BT15" s="215">
        <f>SUM(BT12:BT14)</f>
        <v>0</v>
      </c>
    </row>
    <row r="16" spans="2:72" ht="14.45" hidden="1" customHeight="1" outlineLevel="1">
      <c r="B16" s="196">
        <f>IF(D16&lt;&gt;"",MAX(B14:B15)+1,"")</f>
        <v>7</v>
      </c>
      <c r="C16" s="184"/>
      <c r="D16" s="207" t="s">
        <v>285</v>
      </c>
      <c r="E16" s="212">
        <v>0</v>
      </c>
      <c r="F16" s="212">
        <v>0</v>
      </c>
      <c r="G16" s="212">
        <v>0</v>
      </c>
      <c r="H16" s="212">
        <v>0</v>
      </c>
      <c r="I16" s="212">
        <v>0</v>
      </c>
      <c r="J16" s="212">
        <f>SUM(F16:I16)</f>
        <v>0</v>
      </c>
      <c r="K16" s="212">
        <v>0</v>
      </c>
      <c r="L16" s="212">
        <v>0</v>
      </c>
      <c r="M16" s="212">
        <v>0</v>
      </c>
      <c r="N16" s="212">
        <v>0</v>
      </c>
      <c r="O16" s="212">
        <f>SUM(K16:N16)</f>
        <v>0</v>
      </c>
      <c r="P16" s="212">
        <v>0</v>
      </c>
      <c r="Q16" s="212">
        <v>0</v>
      </c>
      <c r="R16" s="212">
        <v>0</v>
      </c>
      <c r="S16" s="212">
        <v>0</v>
      </c>
      <c r="T16" s="212">
        <f>SUM(P16:S16)</f>
        <v>0</v>
      </c>
      <c r="U16" s="213">
        <v>0</v>
      </c>
      <c r="V16" s="213">
        <v>0</v>
      </c>
      <c r="W16" s="213">
        <v>0</v>
      </c>
      <c r="X16" s="213">
        <v>0</v>
      </c>
      <c r="Y16" s="213">
        <v>0</v>
      </c>
      <c r="Z16" s="212">
        <f>SUM(U16:Y16)</f>
        <v>0</v>
      </c>
      <c r="AA16" s="180"/>
      <c r="AB16" s="212">
        <v>0</v>
      </c>
      <c r="AC16" s="212">
        <v>0</v>
      </c>
      <c r="AD16" s="212">
        <v>0</v>
      </c>
      <c r="AE16" s="212">
        <v>0</v>
      </c>
      <c r="AF16" s="212">
        <v>0</v>
      </c>
      <c r="AG16" s="212">
        <f>SUM(AC16:AF16)</f>
        <v>0</v>
      </c>
      <c r="AH16" s="212">
        <v>0</v>
      </c>
      <c r="AI16" s="212">
        <v>0</v>
      </c>
      <c r="AJ16" s="212">
        <v>0</v>
      </c>
      <c r="AK16" s="212">
        <v>0</v>
      </c>
      <c r="AL16" s="212">
        <f>SUM(AH16:AK16)</f>
        <v>0</v>
      </c>
      <c r="AM16" s="212">
        <v>0</v>
      </c>
      <c r="AN16" s="212">
        <v>0</v>
      </c>
      <c r="AO16" s="212">
        <v>0</v>
      </c>
      <c r="AP16" s="212">
        <v>0</v>
      </c>
      <c r="AQ16" s="212">
        <f>SUM(AM16:AP16)</f>
        <v>0</v>
      </c>
      <c r="AR16" s="213">
        <v>0</v>
      </c>
      <c r="AS16" s="213">
        <v>0</v>
      </c>
      <c r="AT16" s="213">
        <v>0</v>
      </c>
      <c r="AU16" s="213">
        <v>0</v>
      </c>
      <c r="AV16" s="213">
        <v>0</v>
      </c>
      <c r="AW16" s="212">
        <f>SUM(AR16:AV16)</f>
        <v>0</v>
      </c>
      <c r="AX16" s="180"/>
      <c r="AY16" s="212">
        <v>0</v>
      </c>
      <c r="AZ16" s="212">
        <v>0</v>
      </c>
      <c r="BA16" s="212">
        <v>0</v>
      </c>
      <c r="BB16" s="212">
        <v>0</v>
      </c>
      <c r="BC16" s="212">
        <v>0</v>
      </c>
      <c r="BD16" s="212">
        <f>SUM(AZ16:BC16)</f>
        <v>0</v>
      </c>
      <c r="BE16" s="212">
        <v>0</v>
      </c>
      <c r="BF16" s="212">
        <v>0</v>
      </c>
      <c r="BG16" s="212">
        <v>0</v>
      </c>
      <c r="BH16" s="212">
        <v>0</v>
      </c>
      <c r="BI16" s="212">
        <f>SUM(BE16:BH16)</f>
        <v>0</v>
      </c>
      <c r="BJ16" s="212">
        <v>0</v>
      </c>
      <c r="BK16" s="212">
        <v>0</v>
      </c>
      <c r="BL16" s="212">
        <v>0</v>
      </c>
      <c r="BM16" s="212">
        <v>0</v>
      </c>
      <c r="BN16" s="212">
        <f>SUM(BJ16:BM16)</f>
        <v>0</v>
      </c>
      <c r="BO16" s="213">
        <v>0</v>
      </c>
      <c r="BP16" s="213">
        <v>0</v>
      </c>
      <c r="BQ16" s="213">
        <v>0</v>
      </c>
      <c r="BR16" s="213">
        <v>0</v>
      </c>
      <c r="BS16" s="213">
        <v>0</v>
      </c>
      <c r="BT16" s="212">
        <f>SUM(BO16:BS16)</f>
        <v>0</v>
      </c>
    </row>
    <row r="17" spans="2:72" ht="14.45" hidden="1" customHeight="1" outlineLevel="1">
      <c r="B17" s="196">
        <f>IF(D17&lt;&gt;"",MAX(B15:B16)+1,"")</f>
        <v>8</v>
      </c>
      <c r="C17" s="184"/>
      <c r="D17" s="207" t="s">
        <v>286</v>
      </c>
      <c r="E17" s="212">
        <v>0</v>
      </c>
      <c r="F17" s="212">
        <v>0</v>
      </c>
      <c r="G17" s="212">
        <v>0</v>
      </c>
      <c r="H17" s="212">
        <v>0</v>
      </c>
      <c r="I17" s="212">
        <v>0</v>
      </c>
      <c r="J17" s="212">
        <f>SUM(F17:I17)</f>
        <v>0</v>
      </c>
      <c r="K17" s="212">
        <v>0</v>
      </c>
      <c r="L17" s="212">
        <v>0</v>
      </c>
      <c r="M17" s="212">
        <v>0</v>
      </c>
      <c r="N17" s="212">
        <v>0</v>
      </c>
      <c r="O17" s="212">
        <f>SUM(K17:N17)</f>
        <v>0</v>
      </c>
      <c r="P17" s="212">
        <v>0</v>
      </c>
      <c r="Q17" s="212">
        <v>0</v>
      </c>
      <c r="R17" s="212">
        <v>0</v>
      </c>
      <c r="S17" s="212">
        <v>0</v>
      </c>
      <c r="T17" s="212">
        <f>SUM(P17:S17)</f>
        <v>0</v>
      </c>
      <c r="U17" s="213">
        <v>0</v>
      </c>
      <c r="V17" s="213">
        <v>0</v>
      </c>
      <c r="W17" s="213">
        <v>0</v>
      </c>
      <c r="X17" s="213">
        <v>0</v>
      </c>
      <c r="Y17" s="213">
        <v>0</v>
      </c>
      <c r="Z17" s="212">
        <f>SUM(U17:Y17)</f>
        <v>0</v>
      </c>
      <c r="AA17" s="180"/>
      <c r="AB17" s="212">
        <v>0</v>
      </c>
      <c r="AC17" s="212">
        <v>0</v>
      </c>
      <c r="AD17" s="212">
        <v>0</v>
      </c>
      <c r="AE17" s="212">
        <v>0</v>
      </c>
      <c r="AF17" s="212">
        <v>0</v>
      </c>
      <c r="AG17" s="212">
        <f>SUM(AC17:AF17)</f>
        <v>0</v>
      </c>
      <c r="AH17" s="212">
        <v>0</v>
      </c>
      <c r="AI17" s="212">
        <v>0</v>
      </c>
      <c r="AJ17" s="212">
        <v>0</v>
      </c>
      <c r="AK17" s="212">
        <v>0</v>
      </c>
      <c r="AL17" s="212">
        <f>SUM(AH17:AK17)</f>
        <v>0</v>
      </c>
      <c r="AM17" s="212">
        <v>0</v>
      </c>
      <c r="AN17" s="212">
        <v>0</v>
      </c>
      <c r="AO17" s="212">
        <v>0</v>
      </c>
      <c r="AP17" s="212">
        <v>0</v>
      </c>
      <c r="AQ17" s="212">
        <f>SUM(AM17:AP17)</f>
        <v>0</v>
      </c>
      <c r="AR17" s="213">
        <v>0</v>
      </c>
      <c r="AS17" s="213">
        <v>0</v>
      </c>
      <c r="AT17" s="213">
        <v>0</v>
      </c>
      <c r="AU17" s="213">
        <v>0</v>
      </c>
      <c r="AV17" s="213">
        <v>0</v>
      </c>
      <c r="AW17" s="212">
        <f>SUM(AR17:AV17)</f>
        <v>0</v>
      </c>
      <c r="AX17" s="180"/>
      <c r="AY17" s="212">
        <v>0</v>
      </c>
      <c r="AZ17" s="212">
        <v>0</v>
      </c>
      <c r="BA17" s="212">
        <v>0</v>
      </c>
      <c r="BB17" s="212">
        <v>0</v>
      </c>
      <c r="BC17" s="212">
        <v>0</v>
      </c>
      <c r="BD17" s="212">
        <f>SUM(AZ17:BC17)</f>
        <v>0</v>
      </c>
      <c r="BE17" s="212">
        <v>0</v>
      </c>
      <c r="BF17" s="212">
        <v>0</v>
      </c>
      <c r="BG17" s="212">
        <v>0</v>
      </c>
      <c r="BH17" s="212">
        <v>0</v>
      </c>
      <c r="BI17" s="212">
        <f>SUM(BE17:BH17)</f>
        <v>0</v>
      </c>
      <c r="BJ17" s="212">
        <v>0</v>
      </c>
      <c r="BK17" s="212">
        <v>0</v>
      </c>
      <c r="BL17" s="212">
        <v>0</v>
      </c>
      <c r="BM17" s="212">
        <v>0</v>
      </c>
      <c r="BN17" s="212">
        <f>SUM(BJ17:BM17)</f>
        <v>0</v>
      </c>
      <c r="BO17" s="213">
        <v>0</v>
      </c>
      <c r="BP17" s="213">
        <v>0</v>
      </c>
      <c r="BQ17" s="213">
        <v>0</v>
      </c>
      <c r="BR17" s="213">
        <v>0</v>
      </c>
      <c r="BS17" s="213">
        <v>0</v>
      </c>
      <c r="BT17" s="212">
        <f>SUM(BO17:BS17)</f>
        <v>0</v>
      </c>
    </row>
    <row r="18" spans="2:72" ht="14.45" hidden="1" customHeight="1" outlineLevel="1">
      <c r="B18" s="196">
        <f t="shared" si="0"/>
        <v>9</v>
      </c>
      <c r="C18" s="184"/>
      <c r="D18" s="198" t="s">
        <v>287</v>
      </c>
      <c r="E18" s="215">
        <f>E15+SUM(E16:E17)</f>
        <v>0</v>
      </c>
      <c r="F18" s="215">
        <f t="shared" ref="F18:Z18" si="13">F15+SUM(F16:F17)</f>
        <v>0</v>
      </c>
      <c r="G18" s="215">
        <f t="shared" si="13"/>
        <v>0</v>
      </c>
      <c r="H18" s="215">
        <f t="shared" si="13"/>
        <v>0</v>
      </c>
      <c r="I18" s="215">
        <f t="shared" si="13"/>
        <v>0</v>
      </c>
      <c r="J18" s="215">
        <f t="shared" si="13"/>
        <v>0</v>
      </c>
      <c r="K18" s="215">
        <f t="shared" si="13"/>
        <v>0</v>
      </c>
      <c r="L18" s="215">
        <f t="shared" si="13"/>
        <v>0</v>
      </c>
      <c r="M18" s="215">
        <f t="shared" si="13"/>
        <v>0</v>
      </c>
      <c r="N18" s="215">
        <f t="shared" si="13"/>
        <v>0</v>
      </c>
      <c r="O18" s="215">
        <f t="shared" si="13"/>
        <v>0</v>
      </c>
      <c r="P18" s="215">
        <f t="shared" si="13"/>
        <v>0</v>
      </c>
      <c r="Q18" s="215">
        <f t="shared" si="13"/>
        <v>0</v>
      </c>
      <c r="R18" s="215">
        <f t="shared" si="13"/>
        <v>0</v>
      </c>
      <c r="S18" s="215">
        <f t="shared" si="13"/>
        <v>0</v>
      </c>
      <c r="T18" s="215">
        <f t="shared" si="13"/>
        <v>0</v>
      </c>
      <c r="U18" s="216">
        <f t="shared" si="13"/>
        <v>0</v>
      </c>
      <c r="V18" s="216">
        <f t="shared" si="13"/>
        <v>0</v>
      </c>
      <c r="W18" s="216">
        <f t="shared" si="13"/>
        <v>0</v>
      </c>
      <c r="X18" s="216">
        <f t="shared" si="13"/>
        <v>0</v>
      </c>
      <c r="Y18" s="216">
        <f t="shared" ref="Y18" si="14">Y15+SUM(Y16:Y17)</f>
        <v>0</v>
      </c>
      <c r="Z18" s="215">
        <f t="shared" si="13"/>
        <v>0</v>
      </c>
      <c r="AA18" s="180"/>
      <c r="AB18" s="215">
        <f>AB15+SUM(AB16:AB17)</f>
        <v>0</v>
      </c>
      <c r="AC18" s="215">
        <f t="shared" ref="AC18:AW18" si="15">AC15+SUM(AC16:AC17)</f>
        <v>0</v>
      </c>
      <c r="AD18" s="215">
        <f t="shared" si="15"/>
        <v>0</v>
      </c>
      <c r="AE18" s="215">
        <f t="shared" si="15"/>
        <v>0</v>
      </c>
      <c r="AF18" s="215">
        <f t="shared" si="15"/>
        <v>0</v>
      </c>
      <c r="AG18" s="215">
        <f t="shared" si="15"/>
        <v>0</v>
      </c>
      <c r="AH18" s="215">
        <f t="shared" si="15"/>
        <v>0</v>
      </c>
      <c r="AI18" s="215">
        <f t="shared" si="15"/>
        <v>0</v>
      </c>
      <c r="AJ18" s="215">
        <f t="shared" si="15"/>
        <v>0</v>
      </c>
      <c r="AK18" s="215">
        <f t="shared" si="15"/>
        <v>0</v>
      </c>
      <c r="AL18" s="215">
        <f t="shared" si="15"/>
        <v>0</v>
      </c>
      <c r="AM18" s="215">
        <f t="shared" si="15"/>
        <v>0</v>
      </c>
      <c r="AN18" s="215">
        <f t="shared" si="15"/>
        <v>0</v>
      </c>
      <c r="AO18" s="215">
        <f t="shared" si="15"/>
        <v>0</v>
      </c>
      <c r="AP18" s="215">
        <f t="shared" si="15"/>
        <v>0</v>
      </c>
      <c r="AQ18" s="215">
        <f t="shared" si="15"/>
        <v>0</v>
      </c>
      <c r="AR18" s="216">
        <f t="shared" si="15"/>
        <v>0</v>
      </c>
      <c r="AS18" s="216">
        <f t="shared" si="15"/>
        <v>0</v>
      </c>
      <c r="AT18" s="216">
        <f t="shared" si="15"/>
        <v>0</v>
      </c>
      <c r="AU18" s="216">
        <f t="shared" si="15"/>
        <v>0</v>
      </c>
      <c r="AV18" s="216">
        <f t="shared" si="15"/>
        <v>0</v>
      </c>
      <c r="AW18" s="215">
        <f t="shared" si="15"/>
        <v>0</v>
      </c>
      <c r="AX18" s="180"/>
      <c r="AY18" s="215">
        <f>AY15+SUM(AY16:AY17)</f>
        <v>0</v>
      </c>
      <c r="AZ18" s="215">
        <f t="shared" ref="AZ18:BT18" si="16">AZ15+SUM(AZ16:AZ17)</f>
        <v>0</v>
      </c>
      <c r="BA18" s="215">
        <f t="shared" si="16"/>
        <v>0</v>
      </c>
      <c r="BB18" s="215">
        <f t="shared" si="16"/>
        <v>0</v>
      </c>
      <c r="BC18" s="215">
        <f t="shared" si="16"/>
        <v>0</v>
      </c>
      <c r="BD18" s="215">
        <f t="shared" si="16"/>
        <v>0</v>
      </c>
      <c r="BE18" s="215">
        <f t="shared" si="16"/>
        <v>0</v>
      </c>
      <c r="BF18" s="215">
        <f t="shared" si="16"/>
        <v>0</v>
      </c>
      <c r="BG18" s="215">
        <f t="shared" si="16"/>
        <v>0</v>
      </c>
      <c r="BH18" s="215">
        <f t="shared" si="16"/>
        <v>0</v>
      </c>
      <c r="BI18" s="215">
        <f t="shared" si="16"/>
        <v>0</v>
      </c>
      <c r="BJ18" s="215">
        <f t="shared" si="16"/>
        <v>0</v>
      </c>
      <c r="BK18" s="215">
        <f t="shared" si="16"/>
        <v>0</v>
      </c>
      <c r="BL18" s="215">
        <f t="shared" si="16"/>
        <v>0</v>
      </c>
      <c r="BM18" s="215">
        <f t="shared" si="16"/>
        <v>0</v>
      </c>
      <c r="BN18" s="215">
        <f t="shared" si="16"/>
        <v>0</v>
      </c>
      <c r="BO18" s="216">
        <f t="shared" si="16"/>
        <v>0</v>
      </c>
      <c r="BP18" s="216">
        <f t="shared" si="16"/>
        <v>0</v>
      </c>
      <c r="BQ18" s="216">
        <f t="shared" si="16"/>
        <v>0</v>
      </c>
      <c r="BR18" s="216">
        <f t="shared" si="16"/>
        <v>0</v>
      </c>
      <c r="BS18" s="216">
        <f t="shared" si="16"/>
        <v>0</v>
      </c>
      <c r="BT18" s="215">
        <f t="shared" si="16"/>
        <v>0</v>
      </c>
    </row>
    <row r="19" spans="2:72" ht="14.45" hidden="1" customHeight="1" outlineLevel="1">
      <c r="B19" s="196">
        <f t="shared" si="0"/>
        <v>10</v>
      </c>
      <c r="C19" s="184"/>
      <c r="D19" s="207" t="s">
        <v>288</v>
      </c>
      <c r="E19" s="212">
        <v>0</v>
      </c>
      <c r="F19" s="212">
        <v>0</v>
      </c>
      <c r="G19" s="212">
        <v>0</v>
      </c>
      <c r="H19" s="212">
        <v>0</v>
      </c>
      <c r="I19" s="212">
        <v>0</v>
      </c>
      <c r="J19" s="212">
        <f>SUM(F19:I19)</f>
        <v>0</v>
      </c>
      <c r="K19" s="212">
        <v>0</v>
      </c>
      <c r="L19" s="212">
        <v>0</v>
      </c>
      <c r="M19" s="212">
        <v>0</v>
      </c>
      <c r="N19" s="212">
        <v>0</v>
      </c>
      <c r="O19" s="212">
        <f>SUM(K19:N19)</f>
        <v>0</v>
      </c>
      <c r="P19" s="212">
        <v>0</v>
      </c>
      <c r="Q19" s="212">
        <v>0</v>
      </c>
      <c r="R19" s="212">
        <v>0</v>
      </c>
      <c r="S19" s="212">
        <v>0</v>
      </c>
      <c r="T19" s="212">
        <f>SUM(P19:S19)</f>
        <v>0</v>
      </c>
      <c r="U19" s="213">
        <v>0</v>
      </c>
      <c r="V19" s="213">
        <v>0</v>
      </c>
      <c r="W19" s="213">
        <v>0</v>
      </c>
      <c r="X19" s="213">
        <v>0</v>
      </c>
      <c r="Y19" s="213">
        <v>0</v>
      </c>
      <c r="Z19" s="212">
        <f>SUM(U19:Y19)</f>
        <v>0</v>
      </c>
      <c r="AA19" s="180"/>
      <c r="AB19" s="212">
        <v>0</v>
      </c>
      <c r="AC19" s="212">
        <v>0</v>
      </c>
      <c r="AD19" s="212">
        <v>0</v>
      </c>
      <c r="AE19" s="212">
        <v>0</v>
      </c>
      <c r="AF19" s="212">
        <v>0</v>
      </c>
      <c r="AG19" s="212">
        <f>SUM(AC19:AF19)</f>
        <v>0</v>
      </c>
      <c r="AH19" s="212">
        <v>0</v>
      </c>
      <c r="AI19" s="212">
        <v>0</v>
      </c>
      <c r="AJ19" s="212">
        <v>0</v>
      </c>
      <c r="AK19" s="212">
        <v>0</v>
      </c>
      <c r="AL19" s="212">
        <f>SUM(AH19:AK19)</f>
        <v>0</v>
      </c>
      <c r="AM19" s="212">
        <v>0</v>
      </c>
      <c r="AN19" s="212">
        <v>0</v>
      </c>
      <c r="AO19" s="212">
        <v>0</v>
      </c>
      <c r="AP19" s="212">
        <v>0</v>
      </c>
      <c r="AQ19" s="212">
        <f>SUM(AM19:AP19)</f>
        <v>0</v>
      </c>
      <c r="AR19" s="213">
        <v>0</v>
      </c>
      <c r="AS19" s="213">
        <v>0</v>
      </c>
      <c r="AT19" s="213">
        <v>0</v>
      </c>
      <c r="AU19" s="213">
        <v>0</v>
      </c>
      <c r="AV19" s="213">
        <v>0</v>
      </c>
      <c r="AW19" s="212">
        <f>SUM(AR19:AV19)</f>
        <v>0</v>
      </c>
      <c r="AX19" s="180"/>
      <c r="AY19" s="212">
        <v>0</v>
      </c>
      <c r="AZ19" s="212">
        <v>0</v>
      </c>
      <c r="BA19" s="212">
        <v>0</v>
      </c>
      <c r="BB19" s="212">
        <v>0</v>
      </c>
      <c r="BC19" s="212">
        <v>0</v>
      </c>
      <c r="BD19" s="212">
        <f>SUM(AZ19:BC19)</f>
        <v>0</v>
      </c>
      <c r="BE19" s="212">
        <v>0</v>
      </c>
      <c r="BF19" s="212">
        <v>0</v>
      </c>
      <c r="BG19" s="212">
        <v>0</v>
      </c>
      <c r="BH19" s="212">
        <v>0</v>
      </c>
      <c r="BI19" s="212">
        <f>SUM(BE19:BH19)</f>
        <v>0</v>
      </c>
      <c r="BJ19" s="212">
        <v>0</v>
      </c>
      <c r="BK19" s="212">
        <v>0</v>
      </c>
      <c r="BL19" s="212">
        <v>0</v>
      </c>
      <c r="BM19" s="212">
        <v>0</v>
      </c>
      <c r="BN19" s="212">
        <f>SUM(BJ19:BM19)</f>
        <v>0</v>
      </c>
      <c r="BO19" s="213">
        <v>0</v>
      </c>
      <c r="BP19" s="213">
        <v>0</v>
      </c>
      <c r="BQ19" s="213">
        <v>0</v>
      </c>
      <c r="BR19" s="213">
        <v>0</v>
      </c>
      <c r="BS19" s="213">
        <v>0</v>
      </c>
      <c r="BT19" s="212">
        <f>SUM(BO19:BS19)</f>
        <v>0</v>
      </c>
    </row>
    <row r="20" spans="2:72" ht="14.45" hidden="1" customHeight="1" outlineLevel="1">
      <c r="B20" s="196">
        <f t="shared" si="0"/>
        <v>11</v>
      </c>
      <c r="C20" s="184"/>
      <c r="D20" s="207" t="s">
        <v>289</v>
      </c>
      <c r="E20" s="212">
        <v>0</v>
      </c>
      <c r="F20" s="212">
        <v>0</v>
      </c>
      <c r="G20" s="212">
        <v>0</v>
      </c>
      <c r="H20" s="212">
        <v>0</v>
      </c>
      <c r="I20" s="212">
        <v>0</v>
      </c>
      <c r="J20" s="212">
        <f>SUM(F20:I20)</f>
        <v>0</v>
      </c>
      <c r="K20" s="212">
        <v>0</v>
      </c>
      <c r="L20" s="212">
        <v>0</v>
      </c>
      <c r="M20" s="212">
        <v>0</v>
      </c>
      <c r="N20" s="212">
        <v>0</v>
      </c>
      <c r="O20" s="212">
        <f>SUM(K20:N20)</f>
        <v>0</v>
      </c>
      <c r="P20" s="212">
        <v>0</v>
      </c>
      <c r="Q20" s="212">
        <v>0</v>
      </c>
      <c r="R20" s="212">
        <v>0</v>
      </c>
      <c r="S20" s="212">
        <v>0</v>
      </c>
      <c r="T20" s="212">
        <f>SUM(P20:S20)</f>
        <v>0</v>
      </c>
      <c r="U20" s="213">
        <v>0</v>
      </c>
      <c r="V20" s="213">
        <v>0</v>
      </c>
      <c r="W20" s="213">
        <v>0</v>
      </c>
      <c r="X20" s="213">
        <v>0</v>
      </c>
      <c r="Y20" s="213">
        <v>0</v>
      </c>
      <c r="Z20" s="212">
        <f>SUM(U20:Y20)</f>
        <v>0</v>
      </c>
      <c r="AA20" s="180"/>
      <c r="AB20" s="212">
        <v>0</v>
      </c>
      <c r="AC20" s="212">
        <v>0</v>
      </c>
      <c r="AD20" s="212">
        <v>0</v>
      </c>
      <c r="AE20" s="212">
        <v>0</v>
      </c>
      <c r="AF20" s="212">
        <v>0</v>
      </c>
      <c r="AG20" s="212">
        <f>SUM(AC20:AF20)</f>
        <v>0</v>
      </c>
      <c r="AH20" s="212">
        <v>0</v>
      </c>
      <c r="AI20" s="212">
        <v>0</v>
      </c>
      <c r="AJ20" s="212">
        <v>0</v>
      </c>
      <c r="AK20" s="212">
        <v>0</v>
      </c>
      <c r="AL20" s="212">
        <f>SUM(AH20:AK20)</f>
        <v>0</v>
      </c>
      <c r="AM20" s="212">
        <v>0</v>
      </c>
      <c r="AN20" s="212">
        <v>0</v>
      </c>
      <c r="AO20" s="212">
        <v>0</v>
      </c>
      <c r="AP20" s="212">
        <v>0</v>
      </c>
      <c r="AQ20" s="212">
        <f>SUM(AM20:AP20)</f>
        <v>0</v>
      </c>
      <c r="AR20" s="213">
        <v>0</v>
      </c>
      <c r="AS20" s="213">
        <v>0</v>
      </c>
      <c r="AT20" s="213">
        <v>0</v>
      </c>
      <c r="AU20" s="213">
        <v>0</v>
      </c>
      <c r="AV20" s="213">
        <v>0</v>
      </c>
      <c r="AW20" s="212">
        <f>SUM(AR20:AV20)</f>
        <v>0</v>
      </c>
      <c r="AX20" s="180"/>
      <c r="AY20" s="212">
        <v>0</v>
      </c>
      <c r="AZ20" s="212">
        <v>0</v>
      </c>
      <c r="BA20" s="212">
        <v>0</v>
      </c>
      <c r="BB20" s="212">
        <v>0</v>
      </c>
      <c r="BC20" s="212">
        <v>0</v>
      </c>
      <c r="BD20" s="212">
        <f>SUM(AZ20:BC20)</f>
        <v>0</v>
      </c>
      <c r="BE20" s="212">
        <v>0</v>
      </c>
      <c r="BF20" s="212">
        <v>0</v>
      </c>
      <c r="BG20" s="212">
        <v>0</v>
      </c>
      <c r="BH20" s="212">
        <v>0</v>
      </c>
      <c r="BI20" s="212">
        <f>SUM(BE20:BH20)</f>
        <v>0</v>
      </c>
      <c r="BJ20" s="212">
        <v>0</v>
      </c>
      <c r="BK20" s="212">
        <v>0</v>
      </c>
      <c r="BL20" s="212">
        <v>0</v>
      </c>
      <c r="BM20" s="212">
        <v>0</v>
      </c>
      <c r="BN20" s="212">
        <f>SUM(BJ20:BM20)</f>
        <v>0</v>
      </c>
      <c r="BO20" s="213">
        <v>0</v>
      </c>
      <c r="BP20" s="213">
        <v>0</v>
      </c>
      <c r="BQ20" s="213">
        <v>0</v>
      </c>
      <c r="BR20" s="213">
        <v>0</v>
      </c>
      <c r="BS20" s="213">
        <v>0</v>
      </c>
      <c r="BT20" s="212">
        <f>SUM(BO20:BS20)</f>
        <v>0</v>
      </c>
    </row>
    <row r="21" spans="2:72" ht="15" hidden="1" customHeight="1" outlineLevel="1">
      <c r="B21" s="196">
        <f>IF(D21&lt;&gt;"",MAX(B19:B20)+1,"")</f>
        <v>12</v>
      </c>
      <c r="C21" s="184"/>
      <c r="D21" s="198" t="s">
        <v>290</v>
      </c>
      <c r="E21" s="218">
        <f>E18+SUM(E19:E20)</f>
        <v>0</v>
      </c>
      <c r="F21" s="218">
        <f t="shared" ref="F21:Z21" si="17">F18+SUM(F19:F20)</f>
        <v>0</v>
      </c>
      <c r="G21" s="218">
        <f t="shared" si="17"/>
        <v>0</v>
      </c>
      <c r="H21" s="218">
        <f t="shared" si="17"/>
        <v>0</v>
      </c>
      <c r="I21" s="218">
        <f t="shared" si="17"/>
        <v>0</v>
      </c>
      <c r="J21" s="218">
        <f t="shared" si="17"/>
        <v>0</v>
      </c>
      <c r="K21" s="218">
        <f t="shared" si="17"/>
        <v>0</v>
      </c>
      <c r="L21" s="218">
        <f t="shared" si="17"/>
        <v>0</v>
      </c>
      <c r="M21" s="218">
        <f t="shared" si="17"/>
        <v>0</v>
      </c>
      <c r="N21" s="218">
        <f t="shared" si="17"/>
        <v>0</v>
      </c>
      <c r="O21" s="218">
        <f t="shared" si="17"/>
        <v>0</v>
      </c>
      <c r="P21" s="218">
        <f t="shared" si="17"/>
        <v>0</v>
      </c>
      <c r="Q21" s="218">
        <f t="shared" si="17"/>
        <v>0</v>
      </c>
      <c r="R21" s="218">
        <f t="shared" si="17"/>
        <v>0</v>
      </c>
      <c r="S21" s="218">
        <f t="shared" si="17"/>
        <v>0</v>
      </c>
      <c r="T21" s="218">
        <f t="shared" si="17"/>
        <v>0</v>
      </c>
      <c r="U21" s="219">
        <f t="shared" si="17"/>
        <v>0</v>
      </c>
      <c r="V21" s="219">
        <f t="shared" si="17"/>
        <v>0</v>
      </c>
      <c r="W21" s="219">
        <f t="shared" si="17"/>
        <v>0</v>
      </c>
      <c r="X21" s="219">
        <f t="shared" si="17"/>
        <v>0</v>
      </c>
      <c r="Y21" s="219">
        <f t="shared" ref="Y21" si="18">Y18+SUM(Y19:Y20)</f>
        <v>0</v>
      </c>
      <c r="Z21" s="218">
        <f t="shared" si="17"/>
        <v>0</v>
      </c>
      <c r="AA21" s="180"/>
      <c r="AB21" s="218">
        <f>AB18+SUM(AB19:AB20)</f>
        <v>0</v>
      </c>
      <c r="AC21" s="218">
        <f t="shared" ref="AC21:AW21" si="19">AC18+SUM(AC19:AC20)</f>
        <v>0</v>
      </c>
      <c r="AD21" s="218">
        <f t="shared" si="19"/>
        <v>0</v>
      </c>
      <c r="AE21" s="218">
        <f t="shared" si="19"/>
        <v>0</v>
      </c>
      <c r="AF21" s="218">
        <f t="shared" si="19"/>
        <v>0</v>
      </c>
      <c r="AG21" s="218">
        <f t="shared" si="19"/>
        <v>0</v>
      </c>
      <c r="AH21" s="218">
        <f t="shared" si="19"/>
        <v>0</v>
      </c>
      <c r="AI21" s="218">
        <f t="shared" si="19"/>
        <v>0</v>
      </c>
      <c r="AJ21" s="218">
        <f t="shared" si="19"/>
        <v>0</v>
      </c>
      <c r="AK21" s="218">
        <f t="shared" si="19"/>
        <v>0</v>
      </c>
      <c r="AL21" s="218">
        <f t="shared" si="19"/>
        <v>0</v>
      </c>
      <c r="AM21" s="218">
        <f t="shared" si="19"/>
        <v>0</v>
      </c>
      <c r="AN21" s="218">
        <f t="shared" si="19"/>
        <v>0</v>
      </c>
      <c r="AO21" s="218">
        <f t="shared" si="19"/>
        <v>0</v>
      </c>
      <c r="AP21" s="218">
        <f t="shared" si="19"/>
        <v>0</v>
      </c>
      <c r="AQ21" s="218">
        <f t="shared" si="19"/>
        <v>0</v>
      </c>
      <c r="AR21" s="219">
        <f t="shared" si="19"/>
        <v>0</v>
      </c>
      <c r="AS21" s="219">
        <f t="shared" si="19"/>
        <v>0</v>
      </c>
      <c r="AT21" s="219">
        <f t="shared" si="19"/>
        <v>0</v>
      </c>
      <c r="AU21" s="219">
        <f t="shared" si="19"/>
        <v>0</v>
      </c>
      <c r="AV21" s="219">
        <f t="shared" si="19"/>
        <v>0</v>
      </c>
      <c r="AW21" s="218">
        <f t="shared" si="19"/>
        <v>0</v>
      </c>
      <c r="AX21" s="180"/>
      <c r="AY21" s="218">
        <f>AY18+SUM(AY19:AY20)</f>
        <v>0</v>
      </c>
      <c r="AZ21" s="218">
        <f t="shared" ref="AZ21:BT21" si="20">AZ18+SUM(AZ19:AZ20)</f>
        <v>0</v>
      </c>
      <c r="BA21" s="218">
        <f t="shared" si="20"/>
        <v>0</v>
      </c>
      <c r="BB21" s="218">
        <f t="shared" si="20"/>
        <v>0</v>
      </c>
      <c r="BC21" s="218">
        <f t="shared" si="20"/>
        <v>0</v>
      </c>
      <c r="BD21" s="218">
        <f t="shared" si="20"/>
        <v>0</v>
      </c>
      <c r="BE21" s="218">
        <f t="shared" si="20"/>
        <v>0</v>
      </c>
      <c r="BF21" s="218">
        <f t="shared" si="20"/>
        <v>0</v>
      </c>
      <c r="BG21" s="218">
        <f t="shared" si="20"/>
        <v>0</v>
      </c>
      <c r="BH21" s="218">
        <f t="shared" si="20"/>
        <v>0</v>
      </c>
      <c r="BI21" s="218">
        <f t="shared" si="20"/>
        <v>0</v>
      </c>
      <c r="BJ21" s="218">
        <f t="shared" si="20"/>
        <v>0</v>
      </c>
      <c r="BK21" s="218">
        <f t="shared" si="20"/>
        <v>0</v>
      </c>
      <c r="BL21" s="218">
        <f t="shared" si="20"/>
        <v>0</v>
      </c>
      <c r="BM21" s="218">
        <f t="shared" si="20"/>
        <v>0</v>
      </c>
      <c r="BN21" s="218">
        <f t="shared" si="20"/>
        <v>0</v>
      </c>
      <c r="BO21" s="219">
        <f t="shared" si="20"/>
        <v>0</v>
      </c>
      <c r="BP21" s="219">
        <f t="shared" si="20"/>
        <v>0</v>
      </c>
      <c r="BQ21" s="219">
        <f t="shared" si="20"/>
        <v>0</v>
      </c>
      <c r="BR21" s="219">
        <f t="shared" si="20"/>
        <v>0</v>
      </c>
      <c r="BS21" s="219">
        <f t="shared" si="20"/>
        <v>0</v>
      </c>
      <c r="BT21" s="218">
        <f t="shared" si="20"/>
        <v>0</v>
      </c>
    </row>
    <row r="22" spans="2:72" ht="6" customHeight="1" collapsed="1">
      <c r="B22" s="196" t="str">
        <f>IF(D22&lt;&gt;"",MAX(B20:B21)+1,"")</f>
        <v/>
      </c>
      <c r="C22" s="184"/>
      <c r="D22" s="198"/>
      <c r="E22" s="198"/>
      <c r="F22" s="198"/>
      <c r="G22" s="198"/>
      <c r="H22" s="198"/>
      <c r="I22" s="198"/>
      <c r="J22" s="198"/>
      <c r="K22" s="198"/>
      <c r="L22" s="198"/>
      <c r="M22" s="198"/>
      <c r="N22" s="198"/>
      <c r="O22" s="198"/>
      <c r="P22" s="198"/>
      <c r="Q22" s="198"/>
      <c r="R22" s="198"/>
      <c r="S22" s="198"/>
      <c r="T22" s="198"/>
      <c r="U22" s="199"/>
      <c r="V22" s="199"/>
      <c r="W22" s="199"/>
      <c r="X22" s="199"/>
      <c r="Y22" s="199"/>
      <c r="Z22" s="198"/>
      <c r="AA22" s="180"/>
      <c r="AB22" s="198"/>
      <c r="AC22" s="198"/>
      <c r="AD22" s="198"/>
      <c r="AE22" s="198"/>
      <c r="AF22" s="198"/>
      <c r="AG22" s="198"/>
      <c r="AH22" s="198"/>
      <c r="AI22" s="198"/>
      <c r="AJ22" s="198"/>
      <c r="AK22" s="198"/>
      <c r="AL22" s="198"/>
      <c r="AM22" s="198"/>
      <c r="AN22" s="198"/>
      <c r="AO22" s="198"/>
      <c r="AP22" s="198"/>
      <c r="AQ22" s="198"/>
      <c r="AR22" s="199"/>
      <c r="AS22" s="199"/>
      <c r="AT22" s="199"/>
      <c r="AU22" s="199"/>
      <c r="AV22" s="199"/>
      <c r="AW22" s="198"/>
      <c r="AX22" s="180"/>
      <c r="AY22" s="198"/>
      <c r="AZ22" s="198"/>
      <c r="BA22" s="198"/>
      <c r="BB22" s="198"/>
      <c r="BC22" s="198"/>
      <c r="BD22" s="198"/>
      <c r="BE22" s="198"/>
      <c r="BF22" s="198"/>
      <c r="BG22" s="198"/>
      <c r="BH22" s="198"/>
      <c r="BI22" s="198"/>
      <c r="BJ22" s="198"/>
      <c r="BK22" s="198"/>
      <c r="BL22" s="198"/>
      <c r="BM22" s="198"/>
      <c r="BN22" s="198"/>
      <c r="BO22" s="199"/>
      <c r="BP22" s="199"/>
      <c r="BQ22" s="199"/>
      <c r="BR22" s="199"/>
      <c r="BS22" s="199"/>
      <c r="BT22" s="198"/>
    </row>
    <row r="23" spans="2:72" ht="15">
      <c r="B23" s="196">
        <f>IF(D23&lt;&gt;"",MAX(B21:B22)+1,"")</f>
        <v>13</v>
      </c>
      <c r="C23" s="184"/>
      <c r="D23" s="198" t="s">
        <v>291</v>
      </c>
      <c r="E23" s="198" t="s">
        <v>279</v>
      </c>
      <c r="F23" s="198"/>
      <c r="G23" s="198"/>
      <c r="H23" s="198"/>
      <c r="I23" s="198"/>
      <c r="J23" s="198" t="s">
        <v>279</v>
      </c>
      <c r="K23" s="198"/>
      <c r="L23" s="198"/>
      <c r="M23" s="198"/>
      <c r="N23" s="198"/>
      <c r="O23" s="198" t="s">
        <v>279</v>
      </c>
      <c r="P23" s="198"/>
      <c r="Q23" s="198"/>
      <c r="R23" s="198"/>
      <c r="S23" s="198"/>
      <c r="T23" s="198" t="s">
        <v>279</v>
      </c>
      <c r="U23" s="199"/>
      <c r="V23" s="199"/>
      <c r="W23" s="199"/>
      <c r="X23" s="199"/>
      <c r="Y23" s="199"/>
      <c r="Z23" s="198" t="s">
        <v>279</v>
      </c>
      <c r="AA23" s="180"/>
      <c r="AB23" s="198" t="s">
        <v>279</v>
      </c>
      <c r="AC23" s="198"/>
      <c r="AD23" s="198"/>
      <c r="AE23" s="198"/>
      <c r="AF23" s="198"/>
      <c r="AG23" s="198" t="s">
        <v>279</v>
      </c>
      <c r="AH23" s="198"/>
      <c r="AI23" s="198"/>
      <c r="AJ23" s="198"/>
      <c r="AK23" s="198"/>
      <c r="AL23" s="198" t="s">
        <v>279</v>
      </c>
      <c r="AM23" s="198"/>
      <c r="AN23" s="198"/>
      <c r="AO23" s="198"/>
      <c r="AP23" s="198"/>
      <c r="AQ23" s="198" t="s">
        <v>279</v>
      </c>
      <c r="AR23" s="199"/>
      <c r="AS23" s="199"/>
      <c r="AT23" s="199"/>
      <c r="AU23" s="199"/>
      <c r="AV23" s="199"/>
      <c r="AW23" s="198" t="s">
        <v>279</v>
      </c>
      <c r="AX23" s="180"/>
      <c r="AY23" s="198" t="s">
        <v>279</v>
      </c>
      <c r="AZ23" s="198"/>
      <c r="BA23" s="198"/>
      <c r="BB23" s="198"/>
      <c r="BC23" s="198"/>
      <c r="BD23" s="198" t="s">
        <v>279</v>
      </c>
      <c r="BE23" s="198"/>
      <c r="BF23" s="198"/>
      <c r="BG23" s="198"/>
      <c r="BH23" s="198"/>
      <c r="BI23" s="198" t="s">
        <v>279</v>
      </c>
      <c r="BJ23" s="198"/>
      <c r="BK23" s="198"/>
      <c r="BL23" s="198"/>
      <c r="BM23" s="198"/>
      <c r="BN23" s="198" t="s">
        <v>279</v>
      </c>
      <c r="BO23" s="199"/>
      <c r="BP23" s="199"/>
      <c r="BQ23" s="199"/>
      <c r="BR23" s="199"/>
      <c r="BS23" s="199"/>
      <c r="BT23" s="200" t="s">
        <v>279</v>
      </c>
    </row>
    <row r="24" spans="2:72" ht="6" customHeight="1">
      <c r="B24" s="196" t="str">
        <f t="shared" si="0"/>
        <v/>
      </c>
      <c r="C24" s="184"/>
      <c r="D24" s="198"/>
      <c r="E24" s="198"/>
      <c r="F24" s="198"/>
      <c r="G24" s="198"/>
      <c r="H24" s="198"/>
      <c r="I24" s="198"/>
      <c r="J24" s="198"/>
      <c r="K24" s="198"/>
      <c r="L24" s="198"/>
      <c r="M24" s="198"/>
      <c r="N24" s="198"/>
      <c r="O24" s="198"/>
      <c r="P24" s="198"/>
      <c r="Q24" s="198"/>
      <c r="R24" s="198"/>
      <c r="S24" s="198"/>
      <c r="T24" s="198"/>
      <c r="U24" s="199"/>
      <c r="V24" s="199"/>
      <c r="W24" s="199"/>
      <c r="X24" s="199"/>
      <c r="Y24" s="199"/>
      <c r="Z24" s="198"/>
      <c r="AA24" s="180"/>
      <c r="AB24" s="198"/>
      <c r="AC24" s="198"/>
      <c r="AD24" s="198"/>
      <c r="AE24" s="198"/>
      <c r="AF24" s="198"/>
      <c r="AG24" s="198"/>
      <c r="AH24" s="198"/>
      <c r="AI24" s="198"/>
      <c r="AJ24" s="198"/>
      <c r="AK24" s="198"/>
      <c r="AL24" s="198"/>
      <c r="AM24" s="198"/>
      <c r="AN24" s="198"/>
      <c r="AO24" s="198"/>
      <c r="AP24" s="198"/>
      <c r="AQ24" s="198"/>
      <c r="AR24" s="199"/>
      <c r="AS24" s="199"/>
      <c r="AT24" s="199"/>
      <c r="AU24" s="199"/>
      <c r="AV24" s="199"/>
      <c r="AW24" s="198"/>
      <c r="AX24" s="180"/>
      <c r="AY24" s="198"/>
      <c r="AZ24" s="198"/>
      <c r="BA24" s="198"/>
      <c r="BB24" s="198"/>
      <c r="BC24" s="198"/>
      <c r="BD24" s="198"/>
      <c r="BE24" s="198"/>
      <c r="BF24" s="198"/>
      <c r="BG24" s="198"/>
      <c r="BH24" s="198"/>
      <c r="BI24" s="198"/>
      <c r="BJ24" s="198"/>
      <c r="BK24" s="198"/>
      <c r="BL24" s="198"/>
      <c r="BM24" s="198"/>
      <c r="BN24" s="198"/>
      <c r="BO24" s="199"/>
      <c r="BP24" s="199"/>
      <c r="BQ24" s="199"/>
      <c r="BR24" s="199"/>
      <c r="BS24" s="199"/>
      <c r="BT24" s="200"/>
    </row>
    <row r="25" spans="2:72" ht="14.45" hidden="1" customHeight="1" outlineLevel="1">
      <c r="B25" s="196">
        <f t="shared" si="0"/>
        <v>14</v>
      </c>
      <c r="C25" s="184"/>
      <c r="D25" s="198" t="s">
        <v>292</v>
      </c>
      <c r="E25" s="204"/>
      <c r="F25" s="204"/>
      <c r="G25" s="204"/>
      <c r="H25" s="204"/>
      <c r="I25" s="204"/>
      <c r="J25" s="204"/>
      <c r="K25" s="204"/>
      <c r="L25" s="204"/>
      <c r="M25" s="204"/>
      <c r="N25" s="204"/>
      <c r="O25" s="204"/>
      <c r="P25" s="204"/>
      <c r="Q25" s="204"/>
      <c r="R25" s="204"/>
      <c r="S25" s="204"/>
      <c r="T25" s="204"/>
      <c r="U25" s="205"/>
      <c r="V25" s="205"/>
      <c r="W25" s="205"/>
      <c r="X25" s="205"/>
      <c r="Y25" s="205"/>
      <c r="Z25" s="204"/>
      <c r="AA25" s="180"/>
      <c r="AB25" s="204"/>
      <c r="AC25" s="204"/>
      <c r="AD25" s="204"/>
      <c r="AE25" s="204"/>
      <c r="AF25" s="204"/>
      <c r="AG25" s="204"/>
      <c r="AH25" s="204"/>
      <c r="AI25" s="204"/>
      <c r="AJ25" s="204"/>
      <c r="AK25" s="204"/>
      <c r="AL25" s="204"/>
      <c r="AM25" s="204"/>
      <c r="AN25" s="204"/>
      <c r="AO25" s="204"/>
      <c r="AP25" s="204"/>
      <c r="AQ25" s="204"/>
      <c r="AR25" s="205"/>
      <c r="AS25" s="205"/>
      <c r="AT25" s="205"/>
      <c r="AU25" s="205"/>
      <c r="AV25" s="205"/>
      <c r="AW25" s="204"/>
      <c r="AX25" s="180"/>
      <c r="AY25" s="204"/>
      <c r="AZ25" s="204"/>
      <c r="BA25" s="204"/>
      <c r="BB25" s="204"/>
      <c r="BC25" s="204"/>
      <c r="BD25" s="204"/>
      <c r="BE25" s="204"/>
      <c r="BF25" s="204"/>
      <c r="BG25" s="204"/>
      <c r="BH25" s="204"/>
      <c r="BI25" s="204"/>
      <c r="BJ25" s="204"/>
      <c r="BK25" s="204"/>
      <c r="BL25" s="204"/>
      <c r="BM25" s="204"/>
      <c r="BN25" s="204"/>
      <c r="BO25" s="205"/>
      <c r="BP25" s="205"/>
      <c r="BQ25" s="205"/>
      <c r="BR25" s="205"/>
      <c r="BS25" s="205"/>
      <c r="BT25" s="206"/>
    </row>
    <row r="26" spans="2:72" ht="14.45" hidden="1" customHeight="1" outlineLevel="1">
      <c r="B26" s="196">
        <f t="shared" si="0"/>
        <v>15</v>
      </c>
      <c r="C26" s="184"/>
      <c r="D26" s="207" t="s">
        <v>293</v>
      </c>
      <c r="E26" s="212">
        <v>0</v>
      </c>
      <c r="F26" s="212">
        <v>0</v>
      </c>
      <c r="G26" s="212">
        <v>0</v>
      </c>
      <c r="H26" s="212">
        <v>0</v>
      </c>
      <c r="I26" s="212">
        <v>0</v>
      </c>
      <c r="J26" s="212">
        <f>SUM(F26:I26)</f>
        <v>0</v>
      </c>
      <c r="K26" s="212">
        <v>0</v>
      </c>
      <c r="L26" s="212">
        <v>0</v>
      </c>
      <c r="M26" s="212">
        <v>0</v>
      </c>
      <c r="N26" s="212">
        <v>0</v>
      </c>
      <c r="O26" s="212">
        <f>SUM(K26:N26)</f>
        <v>0</v>
      </c>
      <c r="P26" s="212">
        <v>0</v>
      </c>
      <c r="Q26" s="212">
        <v>0</v>
      </c>
      <c r="R26" s="212">
        <v>0</v>
      </c>
      <c r="S26" s="212">
        <v>0</v>
      </c>
      <c r="T26" s="212">
        <f>SUM(P26:S26)</f>
        <v>0</v>
      </c>
      <c r="U26" s="213">
        <v>0</v>
      </c>
      <c r="V26" s="213">
        <v>0</v>
      </c>
      <c r="W26" s="213">
        <v>0</v>
      </c>
      <c r="X26" s="213">
        <v>0</v>
      </c>
      <c r="Y26" s="213">
        <v>0</v>
      </c>
      <c r="Z26" s="212">
        <f>SUM(U26:Y26)</f>
        <v>0</v>
      </c>
      <c r="AA26" s="180"/>
      <c r="AB26" s="212">
        <v>0</v>
      </c>
      <c r="AC26" s="212">
        <v>0</v>
      </c>
      <c r="AD26" s="212">
        <v>0</v>
      </c>
      <c r="AE26" s="212">
        <v>0</v>
      </c>
      <c r="AF26" s="212">
        <v>0</v>
      </c>
      <c r="AG26" s="212">
        <f>SUM(AC26:AF26)</f>
        <v>0</v>
      </c>
      <c r="AH26" s="212">
        <v>0</v>
      </c>
      <c r="AI26" s="212">
        <v>0</v>
      </c>
      <c r="AJ26" s="212">
        <v>0</v>
      </c>
      <c r="AK26" s="212">
        <v>0</v>
      </c>
      <c r="AL26" s="212">
        <f>SUM(AH26:AK26)</f>
        <v>0</v>
      </c>
      <c r="AM26" s="212">
        <v>0</v>
      </c>
      <c r="AN26" s="212">
        <v>0</v>
      </c>
      <c r="AO26" s="212">
        <v>0</v>
      </c>
      <c r="AP26" s="212">
        <v>0</v>
      </c>
      <c r="AQ26" s="212">
        <f>SUM(AM26:AP26)</f>
        <v>0</v>
      </c>
      <c r="AR26" s="213">
        <v>0</v>
      </c>
      <c r="AS26" s="213">
        <v>0</v>
      </c>
      <c r="AT26" s="213">
        <v>0</v>
      </c>
      <c r="AU26" s="213">
        <v>0</v>
      </c>
      <c r="AV26" s="213">
        <v>0</v>
      </c>
      <c r="AW26" s="212">
        <f>SUM(AR26:AV26)</f>
        <v>0</v>
      </c>
      <c r="AX26" s="180"/>
      <c r="AY26" s="212">
        <v>0</v>
      </c>
      <c r="AZ26" s="212">
        <v>0</v>
      </c>
      <c r="BA26" s="212">
        <v>0</v>
      </c>
      <c r="BB26" s="212">
        <v>0</v>
      </c>
      <c r="BC26" s="212">
        <v>0</v>
      </c>
      <c r="BD26" s="212">
        <f>SUM(AZ26:BC26)</f>
        <v>0</v>
      </c>
      <c r="BE26" s="212">
        <v>0</v>
      </c>
      <c r="BF26" s="212">
        <v>0</v>
      </c>
      <c r="BG26" s="212">
        <v>0</v>
      </c>
      <c r="BH26" s="212">
        <v>0</v>
      </c>
      <c r="BI26" s="212">
        <f>SUM(BE26:BH26)</f>
        <v>0</v>
      </c>
      <c r="BJ26" s="212">
        <v>0</v>
      </c>
      <c r="BK26" s="212">
        <v>0</v>
      </c>
      <c r="BL26" s="212">
        <v>0</v>
      </c>
      <c r="BM26" s="212">
        <v>0</v>
      </c>
      <c r="BN26" s="212">
        <f>SUM(BJ26:BM26)</f>
        <v>0</v>
      </c>
      <c r="BO26" s="213">
        <v>0</v>
      </c>
      <c r="BP26" s="213">
        <v>0</v>
      </c>
      <c r="BQ26" s="213">
        <v>0</v>
      </c>
      <c r="BR26" s="213">
        <v>0</v>
      </c>
      <c r="BS26" s="213">
        <v>0</v>
      </c>
      <c r="BT26" s="214">
        <f>SUM(BO26:BS26)</f>
        <v>0</v>
      </c>
    </row>
    <row r="27" spans="2:72" ht="14.45" hidden="1" customHeight="1" outlineLevel="1">
      <c r="B27" s="196">
        <f t="shared" si="0"/>
        <v>16</v>
      </c>
      <c r="C27" s="184"/>
      <c r="D27" s="207" t="s">
        <v>294</v>
      </c>
      <c r="E27" s="212">
        <v>0</v>
      </c>
      <c r="F27" s="212">
        <v>0</v>
      </c>
      <c r="G27" s="212">
        <v>0</v>
      </c>
      <c r="H27" s="212">
        <v>0</v>
      </c>
      <c r="I27" s="212">
        <v>0</v>
      </c>
      <c r="J27" s="212">
        <f>SUM(F27:I27)</f>
        <v>0</v>
      </c>
      <c r="K27" s="212">
        <v>0</v>
      </c>
      <c r="L27" s="212">
        <v>0</v>
      </c>
      <c r="M27" s="212">
        <v>0</v>
      </c>
      <c r="N27" s="212">
        <v>0</v>
      </c>
      <c r="O27" s="212">
        <f>SUM(K27:N27)</f>
        <v>0</v>
      </c>
      <c r="P27" s="212">
        <v>0</v>
      </c>
      <c r="Q27" s="212">
        <v>0</v>
      </c>
      <c r="R27" s="212">
        <v>0</v>
      </c>
      <c r="S27" s="212">
        <v>0</v>
      </c>
      <c r="T27" s="212">
        <f>SUM(P27:S27)</f>
        <v>0</v>
      </c>
      <c r="U27" s="213">
        <v>0</v>
      </c>
      <c r="V27" s="213">
        <v>0</v>
      </c>
      <c r="W27" s="213">
        <v>0</v>
      </c>
      <c r="X27" s="213">
        <v>0</v>
      </c>
      <c r="Y27" s="213">
        <v>0</v>
      </c>
      <c r="Z27" s="212">
        <f>SUM(U27:Y27)</f>
        <v>0</v>
      </c>
      <c r="AA27" s="180"/>
      <c r="AB27" s="212">
        <v>0</v>
      </c>
      <c r="AC27" s="212">
        <v>0</v>
      </c>
      <c r="AD27" s="212">
        <v>0</v>
      </c>
      <c r="AE27" s="212">
        <v>0</v>
      </c>
      <c r="AF27" s="212">
        <v>0</v>
      </c>
      <c r="AG27" s="212">
        <f>SUM(AC27:AF27)</f>
        <v>0</v>
      </c>
      <c r="AH27" s="212">
        <v>0</v>
      </c>
      <c r="AI27" s="212">
        <v>0</v>
      </c>
      <c r="AJ27" s="212">
        <v>0</v>
      </c>
      <c r="AK27" s="212">
        <v>0</v>
      </c>
      <c r="AL27" s="212">
        <f>SUM(AH27:AK27)</f>
        <v>0</v>
      </c>
      <c r="AM27" s="212">
        <v>0</v>
      </c>
      <c r="AN27" s="212">
        <v>0</v>
      </c>
      <c r="AO27" s="212">
        <v>0</v>
      </c>
      <c r="AP27" s="212">
        <v>0</v>
      </c>
      <c r="AQ27" s="212">
        <f>SUM(AM27:AP27)</f>
        <v>0</v>
      </c>
      <c r="AR27" s="213">
        <v>0</v>
      </c>
      <c r="AS27" s="213">
        <v>0</v>
      </c>
      <c r="AT27" s="213">
        <v>0</v>
      </c>
      <c r="AU27" s="213">
        <v>0</v>
      </c>
      <c r="AV27" s="213">
        <v>0</v>
      </c>
      <c r="AW27" s="212">
        <f>SUM(AR27:AV27)</f>
        <v>0</v>
      </c>
      <c r="AX27" s="180"/>
      <c r="AY27" s="212">
        <v>0</v>
      </c>
      <c r="AZ27" s="212">
        <v>0</v>
      </c>
      <c r="BA27" s="212">
        <v>0</v>
      </c>
      <c r="BB27" s="212">
        <v>0</v>
      </c>
      <c r="BC27" s="212">
        <v>0</v>
      </c>
      <c r="BD27" s="212">
        <f>SUM(AZ27:BC27)</f>
        <v>0</v>
      </c>
      <c r="BE27" s="212">
        <v>0</v>
      </c>
      <c r="BF27" s="212">
        <v>0</v>
      </c>
      <c r="BG27" s="212">
        <v>0</v>
      </c>
      <c r="BH27" s="212">
        <v>0</v>
      </c>
      <c r="BI27" s="212">
        <f>SUM(BE27:BH27)</f>
        <v>0</v>
      </c>
      <c r="BJ27" s="212">
        <v>0</v>
      </c>
      <c r="BK27" s="212">
        <v>0</v>
      </c>
      <c r="BL27" s="212">
        <v>0</v>
      </c>
      <c r="BM27" s="212">
        <v>0</v>
      </c>
      <c r="BN27" s="212">
        <f>SUM(BJ27:BM27)</f>
        <v>0</v>
      </c>
      <c r="BO27" s="213">
        <v>0</v>
      </c>
      <c r="BP27" s="213">
        <v>0</v>
      </c>
      <c r="BQ27" s="213">
        <v>0</v>
      </c>
      <c r="BR27" s="213">
        <v>0</v>
      </c>
      <c r="BS27" s="213">
        <v>0</v>
      </c>
      <c r="BT27" s="214">
        <f>SUM(BO27:BS27)</f>
        <v>0</v>
      </c>
    </row>
    <row r="28" spans="2:72" ht="14.45" hidden="1" customHeight="1" outlineLevel="1">
      <c r="B28" s="196">
        <f t="shared" si="0"/>
        <v>17</v>
      </c>
      <c r="C28" s="184"/>
      <c r="D28" s="207" t="s">
        <v>295</v>
      </c>
      <c r="E28" s="212">
        <v>0</v>
      </c>
      <c r="F28" s="212">
        <v>0</v>
      </c>
      <c r="G28" s="212">
        <v>0</v>
      </c>
      <c r="H28" s="212">
        <v>0</v>
      </c>
      <c r="I28" s="212">
        <v>0</v>
      </c>
      <c r="J28" s="212">
        <f>SUM(F28:I28)</f>
        <v>0</v>
      </c>
      <c r="K28" s="212">
        <v>0</v>
      </c>
      <c r="L28" s="212">
        <v>0</v>
      </c>
      <c r="M28" s="212">
        <v>0</v>
      </c>
      <c r="N28" s="212">
        <v>0</v>
      </c>
      <c r="O28" s="212">
        <f>SUM(K28:N28)</f>
        <v>0</v>
      </c>
      <c r="P28" s="212">
        <v>0</v>
      </c>
      <c r="Q28" s="212">
        <v>0</v>
      </c>
      <c r="R28" s="212">
        <v>0</v>
      </c>
      <c r="S28" s="212">
        <v>0</v>
      </c>
      <c r="T28" s="212">
        <f>SUM(P28:S28)</f>
        <v>0</v>
      </c>
      <c r="U28" s="213">
        <v>0</v>
      </c>
      <c r="V28" s="213">
        <v>0</v>
      </c>
      <c r="W28" s="213">
        <v>0</v>
      </c>
      <c r="X28" s="213">
        <v>0</v>
      </c>
      <c r="Y28" s="213">
        <v>0</v>
      </c>
      <c r="Z28" s="212">
        <f>SUM(U28:Y28)</f>
        <v>0</v>
      </c>
      <c r="AA28" s="180"/>
      <c r="AB28" s="212">
        <v>0</v>
      </c>
      <c r="AC28" s="212">
        <v>0</v>
      </c>
      <c r="AD28" s="212">
        <v>0</v>
      </c>
      <c r="AE28" s="212">
        <v>0</v>
      </c>
      <c r="AF28" s="212">
        <v>0</v>
      </c>
      <c r="AG28" s="212">
        <f>SUM(AC28:AF28)</f>
        <v>0</v>
      </c>
      <c r="AH28" s="212">
        <v>0</v>
      </c>
      <c r="AI28" s="212">
        <v>0</v>
      </c>
      <c r="AJ28" s="212">
        <v>0</v>
      </c>
      <c r="AK28" s="212">
        <v>0</v>
      </c>
      <c r="AL28" s="212">
        <f>SUM(AH28:AK28)</f>
        <v>0</v>
      </c>
      <c r="AM28" s="212">
        <v>0</v>
      </c>
      <c r="AN28" s="212">
        <v>0</v>
      </c>
      <c r="AO28" s="212">
        <v>0</v>
      </c>
      <c r="AP28" s="212">
        <v>0</v>
      </c>
      <c r="AQ28" s="212">
        <f>SUM(AM28:AP28)</f>
        <v>0</v>
      </c>
      <c r="AR28" s="213">
        <v>0</v>
      </c>
      <c r="AS28" s="213">
        <v>0</v>
      </c>
      <c r="AT28" s="213">
        <v>0</v>
      </c>
      <c r="AU28" s="213">
        <v>0</v>
      </c>
      <c r="AV28" s="213">
        <v>0</v>
      </c>
      <c r="AW28" s="212">
        <f>SUM(AR28:AV28)</f>
        <v>0</v>
      </c>
      <c r="AX28" s="180"/>
      <c r="AY28" s="212">
        <v>0</v>
      </c>
      <c r="AZ28" s="212">
        <v>0</v>
      </c>
      <c r="BA28" s="212">
        <v>0</v>
      </c>
      <c r="BB28" s="212">
        <v>0</v>
      </c>
      <c r="BC28" s="212">
        <v>0</v>
      </c>
      <c r="BD28" s="212">
        <f>SUM(AZ28:BC28)</f>
        <v>0</v>
      </c>
      <c r="BE28" s="212">
        <v>0</v>
      </c>
      <c r="BF28" s="212">
        <v>0</v>
      </c>
      <c r="BG28" s="212">
        <v>0</v>
      </c>
      <c r="BH28" s="212">
        <v>0</v>
      </c>
      <c r="BI28" s="212">
        <f>SUM(BE28:BH28)</f>
        <v>0</v>
      </c>
      <c r="BJ28" s="212">
        <v>0</v>
      </c>
      <c r="BK28" s="212">
        <v>0</v>
      </c>
      <c r="BL28" s="212">
        <v>0</v>
      </c>
      <c r="BM28" s="212">
        <v>0</v>
      </c>
      <c r="BN28" s="212">
        <f>SUM(BJ28:BM28)</f>
        <v>0</v>
      </c>
      <c r="BO28" s="213">
        <v>0</v>
      </c>
      <c r="BP28" s="213">
        <v>0</v>
      </c>
      <c r="BQ28" s="213">
        <v>0</v>
      </c>
      <c r="BR28" s="213">
        <v>0</v>
      </c>
      <c r="BS28" s="213">
        <v>0</v>
      </c>
      <c r="BT28" s="214">
        <f>SUM(BO28:BS28)</f>
        <v>0</v>
      </c>
    </row>
    <row r="29" spans="2:72" ht="14.45" hidden="1" customHeight="1" outlineLevel="1">
      <c r="B29" s="196">
        <f t="shared" si="0"/>
        <v>18</v>
      </c>
      <c r="C29" s="184"/>
      <c r="D29" s="198" t="s">
        <v>296</v>
      </c>
      <c r="E29" s="215">
        <f>SUM(E26:E28)</f>
        <v>0</v>
      </c>
      <c r="F29" s="215">
        <f t="shared" ref="F29:Z29" si="21">SUM(F26:F28)</f>
        <v>0</v>
      </c>
      <c r="G29" s="215">
        <f t="shared" si="21"/>
        <v>0</v>
      </c>
      <c r="H29" s="215">
        <f t="shared" si="21"/>
        <v>0</v>
      </c>
      <c r="I29" s="215">
        <f t="shared" si="21"/>
        <v>0</v>
      </c>
      <c r="J29" s="215">
        <f t="shared" si="21"/>
        <v>0</v>
      </c>
      <c r="K29" s="215">
        <f t="shared" si="21"/>
        <v>0</v>
      </c>
      <c r="L29" s="215">
        <f t="shared" si="21"/>
        <v>0</v>
      </c>
      <c r="M29" s="215">
        <f t="shared" si="21"/>
        <v>0</v>
      </c>
      <c r="N29" s="215">
        <f t="shared" si="21"/>
        <v>0</v>
      </c>
      <c r="O29" s="215">
        <f t="shared" si="21"/>
        <v>0</v>
      </c>
      <c r="P29" s="215">
        <f t="shared" si="21"/>
        <v>0</v>
      </c>
      <c r="Q29" s="215">
        <f t="shared" si="21"/>
        <v>0</v>
      </c>
      <c r="R29" s="215">
        <f t="shared" si="21"/>
        <v>0</v>
      </c>
      <c r="S29" s="215">
        <f t="shared" si="21"/>
        <v>0</v>
      </c>
      <c r="T29" s="215">
        <f t="shared" si="21"/>
        <v>0</v>
      </c>
      <c r="U29" s="216">
        <f t="shared" si="21"/>
        <v>0</v>
      </c>
      <c r="V29" s="216">
        <f t="shared" si="21"/>
        <v>0</v>
      </c>
      <c r="W29" s="216">
        <f t="shared" si="21"/>
        <v>0</v>
      </c>
      <c r="X29" s="216">
        <f t="shared" si="21"/>
        <v>0</v>
      </c>
      <c r="Y29" s="216">
        <f t="shared" si="21"/>
        <v>0</v>
      </c>
      <c r="Z29" s="215">
        <f t="shared" si="21"/>
        <v>0</v>
      </c>
      <c r="AA29" s="180"/>
      <c r="AB29" s="215">
        <f>SUM(AB26:AB28)</f>
        <v>0</v>
      </c>
      <c r="AC29" s="215">
        <f t="shared" ref="AC29:AW29" si="22">SUM(AC26:AC28)</f>
        <v>0</v>
      </c>
      <c r="AD29" s="215">
        <f t="shared" si="22"/>
        <v>0</v>
      </c>
      <c r="AE29" s="215">
        <f t="shared" si="22"/>
        <v>0</v>
      </c>
      <c r="AF29" s="215">
        <f t="shared" si="22"/>
        <v>0</v>
      </c>
      <c r="AG29" s="215">
        <f t="shared" si="22"/>
        <v>0</v>
      </c>
      <c r="AH29" s="215">
        <f t="shared" si="22"/>
        <v>0</v>
      </c>
      <c r="AI29" s="215">
        <f t="shared" si="22"/>
        <v>0</v>
      </c>
      <c r="AJ29" s="215">
        <f t="shared" si="22"/>
        <v>0</v>
      </c>
      <c r="AK29" s="215">
        <f t="shared" si="22"/>
        <v>0</v>
      </c>
      <c r="AL29" s="215">
        <f t="shared" si="22"/>
        <v>0</v>
      </c>
      <c r="AM29" s="215">
        <f t="shared" si="22"/>
        <v>0</v>
      </c>
      <c r="AN29" s="215">
        <f t="shared" si="22"/>
        <v>0</v>
      </c>
      <c r="AO29" s="215">
        <f t="shared" si="22"/>
        <v>0</v>
      </c>
      <c r="AP29" s="215">
        <f t="shared" si="22"/>
        <v>0</v>
      </c>
      <c r="AQ29" s="215">
        <f t="shared" si="22"/>
        <v>0</v>
      </c>
      <c r="AR29" s="216">
        <f t="shared" si="22"/>
        <v>0</v>
      </c>
      <c r="AS29" s="216">
        <f t="shared" si="22"/>
        <v>0</v>
      </c>
      <c r="AT29" s="216">
        <f t="shared" si="22"/>
        <v>0</v>
      </c>
      <c r="AU29" s="216">
        <f t="shared" si="22"/>
        <v>0</v>
      </c>
      <c r="AV29" s="216">
        <f t="shared" si="22"/>
        <v>0</v>
      </c>
      <c r="AW29" s="215">
        <f t="shared" si="22"/>
        <v>0</v>
      </c>
      <c r="AX29" s="180"/>
      <c r="AY29" s="215">
        <f>SUM(AY26:AY28)</f>
        <v>0</v>
      </c>
      <c r="AZ29" s="215">
        <f t="shared" ref="AZ29:BT29" si="23">SUM(AZ26:AZ28)</f>
        <v>0</v>
      </c>
      <c r="BA29" s="215">
        <f t="shared" si="23"/>
        <v>0</v>
      </c>
      <c r="BB29" s="215">
        <f t="shared" si="23"/>
        <v>0</v>
      </c>
      <c r="BC29" s="215">
        <f t="shared" si="23"/>
        <v>0</v>
      </c>
      <c r="BD29" s="215">
        <f t="shared" si="23"/>
        <v>0</v>
      </c>
      <c r="BE29" s="215">
        <f t="shared" si="23"/>
        <v>0</v>
      </c>
      <c r="BF29" s="215">
        <f t="shared" si="23"/>
        <v>0</v>
      </c>
      <c r="BG29" s="215">
        <f t="shared" si="23"/>
        <v>0</v>
      </c>
      <c r="BH29" s="215">
        <f t="shared" si="23"/>
        <v>0</v>
      </c>
      <c r="BI29" s="215">
        <f t="shared" si="23"/>
        <v>0</v>
      </c>
      <c r="BJ29" s="215">
        <f t="shared" si="23"/>
        <v>0</v>
      </c>
      <c r="BK29" s="215">
        <f t="shared" si="23"/>
        <v>0</v>
      </c>
      <c r="BL29" s="215">
        <f t="shared" si="23"/>
        <v>0</v>
      </c>
      <c r="BM29" s="215">
        <f t="shared" si="23"/>
        <v>0</v>
      </c>
      <c r="BN29" s="215">
        <f t="shared" si="23"/>
        <v>0</v>
      </c>
      <c r="BO29" s="216">
        <f t="shared" si="23"/>
        <v>0</v>
      </c>
      <c r="BP29" s="216">
        <f t="shared" si="23"/>
        <v>0</v>
      </c>
      <c r="BQ29" s="216">
        <f t="shared" si="23"/>
        <v>0</v>
      </c>
      <c r="BR29" s="216">
        <f t="shared" si="23"/>
        <v>0</v>
      </c>
      <c r="BS29" s="216">
        <f t="shared" si="23"/>
        <v>0</v>
      </c>
      <c r="BT29" s="217">
        <f t="shared" si="23"/>
        <v>0</v>
      </c>
    </row>
    <row r="30" spans="2:72" ht="15" collapsed="1">
      <c r="B30" s="196" t="str">
        <f t="shared" si="0"/>
        <v/>
      </c>
      <c r="C30" s="184"/>
      <c r="D30" s="198"/>
      <c r="E30" s="198"/>
      <c r="F30" s="198"/>
      <c r="G30" s="198"/>
      <c r="H30" s="198"/>
      <c r="I30" s="198"/>
      <c r="J30" s="198"/>
      <c r="K30" s="198"/>
      <c r="L30" s="198"/>
      <c r="M30" s="198"/>
      <c r="N30" s="198"/>
      <c r="O30" s="198"/>
      <c r="P30" s="198"/>
      <c r="Q30" s="198"/>
      <c r="R30" s="198"/>
      <c r="S30" s="198"/>
      <c r="T30" s="198"/>
      <c r="U30" s="199"/>
      <c r="V30" s="199"/>
      <c r="W30" s="199"/>
      <c r="X30" s="199"/>
      <c r="Y30" s="199"/>
      <c r="Z30" s="198"/>
      <c r="AA30" s="180"/>
      <c r="AB30" s="198"/>
      <c r="AC30" s="198"/>
      <c r="AD30" s="198"/>
      <c r="AE30" s="198"/>
      <c r="AF30" s="198"/>
      <c r="AG30" s="198"/>
      <c r="AH30" s="198"/>
      <c r="AI30" s="198"/>
      <c r="AJ30" s="198"/>
      <c r="AK30" s="198"/>
      <c r="AL30" s="198"/>
      <c r="AM30" s="198"/>
      <c r="AN30" s="198"/>
      <c r="AO30" s="198"/>
      <c r="AP30" s="198"/>
      <c r="AQ30" s="198"/>
      <c r="AR30" s="199"/>
      <c r="AS30" s="199"/>
      <c r="AT30" s="199"/>
      <c r="AU30" s="199"/>
      <c r="AV30" s="199"/>
      <c r="AW30" s="198"/>
      <c r="AX30" s="180"/>
      <c r="AY30" s="198"/>
      <c r="AZ30" s="198"/>
      <c r="BA30" s="198"/>
      <c r="BB30" s="198"/>
      <c r="BC30" s="198"/>
      <c r="BD30" s="198"/>
      <c r="BE30" s="198"/>
      <c r="BF30" s="198"/>
      <c r="BG30" s="198"/>
      <c r="BH30" s="198"/>
      <c r="BI30" s="198"/>
      <c r="BJ30" s="198"/>
      <c r="BK30" s="198"/>
      <c r="BL30" s="198"/>
      <c r="BM30" s="198"/>
      <c r="BN30" s="198"/>
      <c r="BO30" s="199"/>
      <c r="BP30" s="199"/>
      <c r="BQ30" s="199"/>
      <c r="BR30" s="199"/>
      <c r="BS30" s="199"/>
      <c r="BT30" s="200"/>
    </row>
    <row r="31" spans="2:72" ht="15">
      <c r="B31" s="196">
        <f t="shared" si="0"/>
        <v>19</v>
      </c>
      <c r="C31" s="184"/>
      <c r="D31" s="221" t="s">
        <v>297</v>
      </c>
      <c r="E31" s="198"/>
      <c r="F31" s="198"/>
      <c r="G31" s="198"/>
      <c r="H31" s="198"/>
      <c r="I31" s="198"/>
      <c r="J31" s="198"/>
      <c r="K31" s="198"/>
      <c r="L31" s="198"/>
      <c r="M31" s="198"/>
      <c r="N31" s="198"/>
      <c r="O31" s="198"/>
      <c r="P31" s="198"/>
      <c r="Q31" s="198"/>
      <c r="R31" s="198"/>
      <c r="S31" s="198"/>
      <c r="T31" s="198"/>
      <c r="U31" s="199"/>
      <c r="V31" s="199"/>
      <c r="W31" s="199"/>
      <c r="X31" s="199"/>
      <c r="Y31" s="199"/>
      <c r="Z31" s="198"/>
      <c r="AA31" s="180"/>
      <c r="AB31" s="198"/>
      <c r="AC31" s="198"/>
      <c r="AD31" s="198"/>
      <c r="AE31" s="198"/>
      <c r="AF31" s="198"/>
      <c r="AG31" s="198"/>
      <c r="AH31" s="198"/>
      <c r="AI31" s="198"/>
      <c r="AJ31" s="198"/>
      <c r="AK31" s="198"/>
      <c r="AL31" s="198"/>
      <c r="AM31" s="198"/>
      <c r="AN31" s="198"/>
      <c r="AO31" s="198"/>
      <c r="AP31" s="198"/>
      <c r="AQ31" s="198"/>
      <c r="AR31" s="199"/>
      <c r="AS31" s="199"/>
      <c r="AT31" s="199"/>
      <c r="AU31" s="199"/>
      <c r="AV31" s="199"/>
      <c r="AW31" s="198"/>
      <c r="AX31" s="180"/>
      <c r="AY31" s="198"/>
      <c r="AZ31" s="198"/>
      <c r="BA31" s="198"/>
      <c r="BB31" s="198"/>
      <c r="BC31" s="198"/>
      <c r="BD31" s="198"/>
      <c r="BE31" s="198"/>
      <c r="BF31" s="198"/>
      <c r="BG31" s="198"/>
      <c r="BH31" s="198"/>
      <c r="BI31" s="198"/>
      <c r="BJ31" s="198"/>
      <c r="BK31" s="198"/>
      <c r="BL31" s="198"/>
      <c r="BM31" s="198"/>
      <c r="BN31" s="198"/>
      <c r="BO31" s="199"/>
      <c r="BP31" s="199"/>
      <c r="BQ31" s="199"/>
      <c r="BR31" s="199"/>
      <c r="BS31" s="199"/>
      <c r="BT31" s="200"/>
    </row>
    <row r="32" spans="2:72" ht="15">
      <c r="B32" s="196">
        <f t="shared" si="0"/>
        <v>20</v>
      </c>
      <c r="C32" s="184"/>
      <c r="D32" s="198" t="s">
        <v>298</v>
      </c>
      <c r="E32" s="204"/>
      <c r="F32" s="204"/>
      <c r="G32" s="204"/>
      <c r="H32" s="204"/>
      <c r="I32" s="204"/>
      <c r="J32" s="204"/>
      <c r="K32" s="204"/>
      <c r="L32" s="204"/>
      <c r="M32" s="204"/>
      <c r="N32" s="204"/>
      <c r="O32" s="204"/>
      <c r="P32" s="204"/>
      <c r="Q32" s="204"/>
      <c r="R32" s="204"/>
      <c r="S32" s="204"/>
      <c r="T32" s="204"/>
      <c r="U32" s="205"/>
      <c r="V32" s="205"/>
      <c r="W32" s="205"/>
      <c r="X32" s="205"/>
      <c r="Y32" s="205"/>
      <c r="Z32" s="204"/>
      <c r="AA32" s="180"/>
      <c r="AB32" s="204"/>
      <c r="AC32" s="204"/>
      <c r="AD32" s="204"/>
      <c r="AE32" s="204"/>
      <c r="AF32" s="204"/>
      <c r="AG32" s="204"/>
      <c r="AH32" s="204"/>
      <c r="AI32" s="204"/>
      <c r="AJ32" s="204"/>
      <c r="AK32" s="204"/>
      <c r="AL32" s="204"/>
      <c r="AM32" s="204"/>
      <c r="AN32" s="204"/>
      <c r="AO32" s="204"/>
      <c r="AP32" s="204"/>
      <c r="AQ32" s="204"/>
      <c r="AR32" s="205"/>
      <c r="AS32" s="205"/>
      <c r="AT32" s="205"/>
      <c r="AU32" s="205"/>
      <c r="AV32" s="205"/>
      <c r="AW32" s="204"/>
      <c r="AX32" s="180"/>
      <c r="AY32" s="204"/>
      <c r="AZ32" s="204"/>
      <c r="BA32" s="204"/>
      <c r="BB32" s="204"/>
      <c r="BC32" s="204"/>
      <c r="BD32" s="204"/>
      <c r="BE32" s="204"/>
      <c r="BF32" s="204"/>
      <c r="BG32" s="204"/>
      <c r="BH32" s="204"/>
      <c r="BI32" s="204"/>
      <c r="BJ32" s="204"/>
      <c r="BK32" s="204"/>
      <c r="BL32" s="204"/>
      <c r="BM32" s="204"/>
      <c r="BN32" s="204"/>
      <c r="BO32" s="205"/>
      <c r="BP32" s="205"/>
      <c r="BQ32" s="205"/>
      <c r="BR32" s="205"/>
      <c r="BS32" s="205"/>
      <c r="BT32" s="206"/>
    </row>
    <row r="33" spans="2:72" ht="15">
      <c r="B33" s="196">
        <f t="shared" si="0"/>
        <v>21</v>
      </c>
      <c r="C33" s="184"/>
      <c r="D33" s="222" t="s">
        <v>299</v>
      </c>
      <c r="E33" s="223">
        <v>0</v>
      </c>
      <c r="F33" s="223">
        <v>0</v>
      </c>
      <c r="G33" s="223">
        <v>0</v>
      </c>
      <c r="H33" s="223">
        <v>0</v>
      </c>
      <c r="I33" s="223">
        <v>0</v>
      </c>
      <c r="J33" s="223">
        <f>SUM(F33:I33)</f>
        <v>0</v>
      </c>
      <c r="K33" s="223">
        <v>0</v>
      </c>
      <c r="L33" s="223">
        <v>0</v>
      </c>
      <c r="M33" s="223">
        <v>0</v>
      </c>
      <c r="N33" s="223">
        <v>0</v>
      </c>
      <c r="O33" s="223">
        <f>SUM(K33:N33)</f>
        <v>0</v>
      </c>
      <c r="P33" s="223">
        <v>0</v>
      </c>
      <c r="Q33" s="223">
        <v>0</v>
      </c>
      <c r="R33" s="223">
        <v>0</v>
      </c>
      <c r="S33" s="223">
        <v>0</v>
      </c>
      <c r="T33" s="223">
        <f>SUM(P33:S33)</f>
        <v>0</v>
      </c>
      <c r="U33" s="213">
        <v>0</v>
      </c>
      <c r="V33" s="213">
        <v>0</v>
      </c>
      <c r="W33" s="213">
        <v>0</v>
      </c>
      <c r="X33" s="213">
        <v>0</v>
      </c>
      <c r="Y33" s="213">
        <v>0</v>
      </c>
      <c r="Z33" s="223">
        <f t="shared" ref="Z33:Z36" si="24">SUM(U33:Y33)</f>
        <v>0</v>
      </c>
      <c r="AA33" s="180"/>
      <c r="AB33" s="223">
        <v>0</v>
      </c>
      <c r="AC33" s="223">
        <v>0</v>
      </c>
      <c r="AD33" s="223">
        <v>0</v>
      </c>
      <c r="AE33" s="223">
        <v>0</v>
      </c>
      <c r="AF33" s="223">
        <v>0</v>
      </c>
      <c r="AG33" s="223">
        <f>SUM(AC33:AF33)</f>
        <v>0</v>
      </c>
      <c r="AH33" s="223">
        <v>0</v>
      </c>
      <c r="AI33" s="223">
        <v>0</v>
      </c>
      <c r="AJ33" s="223">
        <v>0</v>
      </c>
      <c r="AK33" s="223">
        <v>0</v>
      </c>
      <c r="AL33" s="223">
        <f>SUM(AH33:AK33)</f>
        <v>0</v>
      </c>
      <c r="AM33" s="223">
        <v>0</v>
      </c>
      <c r="AN33" s="223">
        <v>0</v>
      </c>
      <c r="AO33" s="223">
        <v>0</v>
      </c>
      <c r="AP33" s="223">
        <v>0</v>
      </c>
      <c r="AQ33" s="223">
        <f>SUM(AM33:AP33)</f>
        <v>0</v>
      </c>
      <c r="AR33" s="213">
        <v>0</v>
      </c>
      <c r="AS33" s="213">
        <v>0</v>
      </c>
      <c r="AT33" s="213">
        <v>0</v>
      </c>
      <c r="AU33" s="213">
        <v>0</v>
      </c>
      <c r="AV33" s="213">
        <v>0</v>
      </c>
      <c r="AW33" s="223">
        <f t="shared" ref="AW33:AW36" si="25">SUM(AR33:AV33)</f>
        <v>0</v>
      </c>
      <c r="AX33" s="180"/>
      <c r="AY33" s="223">
        <v>0</v>
      </c>
      <c r="AZ33" s="223">
        <v>0</v>
      </c>
      <c r="BA33" s="223">
        <v>0</v>
      </c>
      <c r="BB33" s="223">
        <v>0</v>
      </c>
      <c r="BC33" s="223">
        <v>0</v>
      </c>
      <c r="BD33" s="223">
        <f>SUM(AZ33:BC33)</f>
        <v>0</v>
      </c>
      <c r="BE33" s="223">
        <v>0</v>
      </c>
      <c r="BF33" s="223">
        <v>0</v>
      </c>
      <c r="BG33" s="223">
        <v>0</v>
      </c>
      <c r="BH33" s="223">
        <v>0</v>
      </c>
      <c r="BI33" s="223">
        <f>SUM(BE33:BH33)</f>
        <v>0</v>
      </c>
      <c r="BJ33" s="223">
        <v>0</v>
      </c>
      <c r="BK33" s="223">
        <v>0</v>
      </c>
      <c r="BL33" s="223">
        <v>0</v>
      </c>
      <c r="BM33" s="223">
        <v>0</v>
      </c>
      <c r="BN33" s="223">
        <f>SUM(BJ33:BM33)</f>
        <v>0</v>
      </c>
      <c r="BO33" s="213">
        <v>0</v>
      </c>
      <c r="BP33" s="213">
        <v>0</v>
      </c>
      <c r="BQ33" s="213">
        <v>0</v>
      </c>
      <c r="BR33" s="213">
        <v>0</v>
      </c>
      <c r="BS33" s="213">
        <v>0</v>
      </c>
      <c r="BT33" s="224">
        <f t="shared" ref="BT33:BT36" si="26">SUM(BO33:BS33)</f>
        <v>0</v>
      </c>
    </row>
    <row r="34" spans="2:72" ht="15">
      <c r="B34" s="196">
        <f t="shared" si="0"/>
        <v>22</v>
      </c>
      <c r="C34" s="184"/>
      <c r="D34" s="222" t="s">
        <v>300</v>
      </c>
      <c r="E34" s="223">
        <v>0</v>
      </c>
      <c r="F34" s="223">
        <v>0</v>
      </c>
      <c r="G34" s="223">
        <v>0</v>
      </c>
      <c r="H34" s="223">
        <v>0</v>
      </c>
      <c r="I34" s="223">
        <v>0</v>
      </c>
      <c r="J34" s="223">
        <f>SUM(F34:I34)</f>
        <v>0</v>
      </c>
      <c r="K34" s="223">
        <v>0</v>
      </c>
      <c r="L34" s="223">
        <v>0</v>
      </c>
      <c r="M34" s="223">
        <v>0</v>
      </c>
      <c r="N34" s="223">
        <v>0</v>
      </c>
      <c r="O34" s="223">
        <f>SUM(K34:N34)</f>
        <v>0</v>
      </c>
      <c r="P34" s="223">
        <v>0</v>
      </c>
      <c r="Q34" s="223">
        <v>0</v>
      </c>
      <c r="R34" s="223">
        <v>0</v>
      </c>
      <c r="S34" s="223">
        <v>0</v>
      </c>
      <c r="T34" s="223">
        <f>SUM(P34:S34)</f>
        <v>0</v>
      </c>
      <c r="U34" s="213">
        <v>0</v>
      </c>
      <c r="V34" s="213">
        <v>0</v>
      </c>
      <c r="W34" s="213">
        <v>0</v>
      </c>
      <c r="X34" s="213">
        <v>0</v>
      </c>
      <c r="Y34" s="213">
        <v>0</v>
      </c>
      <c r="Z34" s="223">
        <f t="shared" si="24"/>
        <v>0</v>
      </c>
      <c r="AA34" s="180"/>
      <c r="AB34" s="223">
        <v>0</v>
      </c>
      <c r="AC34" s="223">
        <v>0</v>
      </c>
      <c r="AD34" s="223">
        <v>0</v>
      </c>
      <c r="AE34" s="223">
        <v>0</v>
      </c>
      <c r="AF34" s="223">
        <v>0</v>
      </c>
      <c r="AG34" s="223">
        <f>SUM(AC34:AF34)</f>
        <v>0</v>
      </c>
      <c r="AH34" s="223">
        <v>0</v>
      </c>
      <c r="AI34" s="223">
        <v>0</v>
      </c>
      <c r="AJ34" s="223">
        <v>0</v>
      </c>
      <c r="AK34" s="223">
        <v>0</v>
      </c>
      <c r="AL34" s="223">
        <f>SUM(AH34:AK34)</f>
        <v>0</v>
      </c>
      <c r="AM34" s="223">
        <v>0</v>
      </c>
      <c r="AN34" s="223">
        <v>0</v>
      </c>
      <c r="AO34" s="223">
        <v>0</v>
      </c>
      <c r="AP34" s="223">
        <v>0</v>
      </c>
      <c r="AQ34" s="223">
        <f>SUM(AM34:AP34)</f>
        <v>0</v>
      </c>
      <c r="AR34" s="213">
        <v>0</v>
      </c>
      <c r="AS34" s="213">
        <v>0</v>
      </c>
      <c r="AT34" s="213">
        <v>0</v>
      </c>
      <c r="AU34" s="213">
        <v>0</v>
      </c>
      <c r="AV34" s="213">
        <v>0</v>
      </c>
      <c r="AW34" s="223">
        <f t="shared" si="25"/>
        <v>0</v>
      </c>
      <c r="AX34" s="180"/>
      <c r="AY34" s="223">
        <v>0</v>
      </c>
      <c r="AZ34" s="223">
        <v>0</v>
      </c>
      <c r="BA34" s="223">
        <v>0</v>
      </c>
      <c r="BB34" s="223">
        <v>0</v>
      </c>
      <c r="BC34" s="223">
        <v>0</v>
      </c>
      <c r="BD34" s="223">
        <f>SUM(AZ34:BC34)</f>
        <v>0</v>
      </c>
      <c r="BE34" s="223">
        <v>0</v>
      </c>
      <c r="BF34" s="223">
        <v>0</v>
      </c>
      <c r="BG34" s="223">
        <v>0</v>
      </c>
      <c r="BH34" s="223">
        <v>0</v>
      </c>
      <c r="BI34" s="223">
        <f>SUM(BE34:BH34)</f>
        <v>0</v>
      </c>
      <c r="BJ34" s="223">
        <v>0</v>
      </c>
      <c r="BK34" s="223">
        <v>0</v>
      </c>
      <c r="BL34" s="223">
        <v>0</v>
      </c>
      <c r="BM34" s="223">
        <v>0</v>
      </c>
      <c r="BN34" s="223">
        <f>SUM(BJ34:BM34)</f>
        <v>0</v>
      </c>
      <c r="BO34" s="213">
        <v>0</v>
      </c>
      <c r="BP34" s="213">
        <v>0</v>
      </c>
      <c r="BQ34" s="213">
        <v>0</v>
      </c>
      <c r="BR34" s="213">
        <v>0</v>
      </c>
      <c r="BS34" s="213">
        <v>0</v>
      </c>
      <c r="BT34" s="224">
        <f t="shared" si="26"/>
        <v>0</v>
      </c>
    </row>
    <row r="35" spans="2:72" ht="15">
      <c r="B35" s="196">
        <f t="shared" si="0"/>
        <v>23</v>
      </c>
      <c r="C35" s="184"/>
      <c r="D35" s="222" t="s">
        <v>301</v>
      </c>
      <c r="E35" s="223">
        <v>0</v>
      </c>
      <c r="F35" s="223">
        <v>0</v>
      </c>
      <c r="G35" s="223">
        <v>0</v>
      </c>
      <c r="H35" s="223">
        <v>0</v>
      </c>
      <c r="I35" s="223">
        <v>0</v>
      </c>
      <c r="J35" s="223">
        <f>SUM(F35:I35)</f>
        <v>0</v>
      </c>
      <c r="K35" s="223">
        <v>0</v>
      </c>
      <c r="L35" s="223">
        <v>0</v>
      </c>
      <c r="M35" s="223">
        <v>0</v>
      </c>
      <c r="N35" s="223">
        <v>0</v>
      </c>
      <c r="O35" s="223">
        <f>SUM(K35:N35)</f>
        <v>0</v>
      </c>
      <c r="P35" s="223">
        <v>0</v>
      </c>
      <c r="Q35" s="223">
        <v>0</v>
      </c>
      <c r="R35" s="223">
        <v>0</v>
      </c>
      <c r="S35" s="223">
        <v>0</v>
      </c>
      <c r="T35" s="223">
        <f>SUM(P35:S35)</f>
        <v>0</v>
      </c>
      <c r="U35" s="213">
        <v>0</v>
      </c>
      <c r="V35" s="213">
        <v>0</v>
      </c>
      <c r="W35" s="213">
        <v>0</v>
      </c>
      <c r="X35" s="213">
        <v>0</v>
      </c>
      <c r="Y35" s="213">
        <v>0</v>
      </c>
      <c r="Z35" s="223">
        <f t="shared" si="24"/>
        <v>0</v>
      </c>
      <c r="AA35" s="180"/>
      <c r="AB35" s="223">
        <v>0</v>
      </c>
      <c r="AC35" s="223">
        <v>0</v>
      </c>
      <c r="AD35" s="223">
        <v>0</v>
      </c>
      <c r="AE35" s="223">
        <v>0</v>
      </c>
      <c r="AF35" s="223">
        <v>0</v>
      </c>
      <c r="AG35" s="223">
        <f>SUM(AC35:AF35)</f>
        <v>0</v>
      </c>
      <c r="AH35" s="223">
        <v>0</v>
      </c>
      <c r="AI35" s="223">
        <v>0</v>
      </c>
      <c r="AJ35" s="223">
        <v>0</v>
      </c>
      <c r="AK35" s="223">
        <v>0</v>
      </c>
      <c r="AL35" s="223">
        <f>SUM(AH35:AK35)</f>
        <v>0</v>
      </c>
      <c r="AM35" s="223">
        <v>0</v>
      </c>
      <c r="AN35" s="223">
        <v>0</v>
      </c>
      <c r="AO35" s="223">
        <v>0</v>
      </c>
      <c r="AP35" s="223">
        <v>0</v>
      </c>
      <c r="AQ35" s="223">
        <f>SUM(AM35:AP35)</f>
        <v>0</v>
      </c>
      <c r="AR35" s="213">
        <v>0</v>
      </c>
      <c r="AS35" s="213">
        <v>0</v>
      </c>
      <c r="AT35" s="213">
        <v>0</v>
      </c>
      <c r="AU35" s="213">
        <v>0</v>
      </c>
      <c r="AV35" s="213">
        <v>0</v>
      </c>
      <c r="AW35" s="223">
        <f t="shared" si="25"/>
        <v>0</v>
      </c>
      <c r="AX35" s="180"/>
      <c r="AY35" s="223">
        <v>0</v>
      </c>
      <c r="AZ35" s="223">
        <v>0</v>
      </c>
      <c r="BA35" s="223">
        <v>0</v>
      </c>
      <c r="BB35" s="223">
        <v>0</v>
      </c>
      <c r="BC35" s="223">
        <v>0</v>
      </c>
      <c r="BD35" s="223">
        <f>SUM(AZ35:BC35)</f>
        <v>0</v>
      </c>
      <c r="BE35" s="223">
        <v>0</v>
      </c>
      <c r="BF35" s="223">
        <v>0</v>
      </c>
      <c r="BG35" s="223">
        <v>0</v>
      </c>
      <c r="BH35" s="223">
        <v>0</v>
      </c>
      <c r="BI35" s="223">
        <f>SUM(BE35:BH35)</f>
        <v>0</v>
      </c>
      <c r="BJ35" s="223">
        <v>0</v>
      </c>
      <c r="BK35" s="223">
        <v>0</v>
      </c>
      <c r="BL35" s="223">
        <v>0</v>
      </c>
      <c r="BM35" s="223">
        <v>0</v>
      </c>
      <c r="BN35" s="223">
        <f>SUM(BJ35:BM35)</f>
        <v>0</v>
      </c>
      <c r="BO35" s="213">
        <v>0</v>
      </c>
      <c r="BP35" s="213">
        <v>0</v>
      </c>
      <c r="BQ35" s="213">
        <v>0</v>
      </c>
      <c r="BR35" s="213">
        <v>0</v>
      </c>
      <c r="BS35" s="213">
        <v>0</v>
      </c>
      <c r="BT35" s="224">
        <f t="shared" si="26"/>
        <v>0</v>
      </c>
    </row>
    <row r="36" spans="2:72" ht="15">
      <c r="B36" s="196">
        <f t="shared" si="0"/>
        <v>24</v>
      </c>
      <c r="C36" s="184"/>
      <c r="D36" s="222" t="s">
        <v>302</v>
      </c>
      <c r="E36" s="223">
        <v>0</v>
      </c>
      <c r="F36" s="223">
        <v>0</v>
      </c>
      <c r="G36" s="223">
        <v>0</v>
      </c>
      <c r="H36" s="223">
        <v>0</v>
      </c>
      <c r="I36" s="223">
        <v>0</v>
      </c>
      <c r="J36" s="223">
        <f>SUM(F36:I36)</f>
        <v>0</v>
      </c>
      <c r="K36" s="223">
        <v>0</v>
      </c>
      <c r="L36" s="223">
        <v>0</v>
      </c>
      <c r="M36" s="223">
        <v>0</v>
      </c>
      <c r="N36" s="223">
        <v>0</v>
      </c>
      <c r="O36" s="223">
        <f>SUM(K36:N36)</f>
        <v>0</v>
      </c>
      <c r="P36" s="223">
        <v>0</v>
      </c>
      <c r="Q36" s="223">
        <v>0</v>
      </c>
      <c r="R36" s="223">
        <v>0</v>
      </c>
      <c r="S36" s="223">
        <v>0</v>
      </c>
      <c r="T36" s="223">
        <f>SUM(P36:S36)</f>
        <v>0</v>
      </c>
      <c r="U36" s="213">
        <v>0</v>
      </c>
      <c r="V36" s="213">
        <v>0</v>
      </c>
      <c r="W36" s="213">
        <v>0</v>
      </c>
      <c r="X36" s="213">
        <v>0</v>
      </c>
      <c r="Y36" s="213">
        <v>0</v>
      </c>
      <c r="Z36" s="223">
        <f t="shared" si="24"/>
        <v>0</v>
      </c>
      <c r="AA36" s="180"/>
      <c r="AB36" s="223">
        <v>0</v>
      </c>
      <c r="AC36" s="223">
        <v>0</v>
      </c>
      <c r="AD36" s="223">
        <v>0</v>
      </c>
      <c r="AE36" s="223">
        <v>0</v>
      </c>
      <c r="AF36" s="223">
        <v>0</v>
      </c>
      <c r="AG36" s="223">
        <f>SUM(AC36:AF36)</f>
        <v>0</v>
      </c>
      <c r="AH36" s="223">
        <v>0</v>
      </c>
      <c r="AI36" s="223">
        <v>0</v>
      </c>
      <c r="AJ36" s="223">
        <v>0</v>
      </c>
      <c r="AK36" s="223">
        <v>0</v>
      </c>
      <c r="AL36" s="223">
        <f>SUM(AH36:AK36)</f>
        <v>0</v>
      </c>
      <c r="AM36" s="223">
        <v>0</v>
      </c>
      <c r="AN36" s="223">
        <v>0</v>
      </c>
      <c r="AO36" s="223">
        <v>0</v>
      </c>
      <c r="AP36" s="223">
        <v>0</v>
      </c>
      <c r="AQ36" s="223">
        <f>SUM(AM36:AP36)</f>
        <v>0</v>
      </c>
      <c r="AR36" s="213">
        <v>0</v>
      </c>
      <c r="AS36" s="213">
        <v>0</v>
      </c>
      <c r="AT36" s="213">
        <v>0</v>
      </c>
      <c r="AU36" s="213">
        <v>0</v>
      </c>
      <c r="AV36" s="213">
        <v>0</v>
      </c>
      <c r="AW36" s="223">
        <f t="shared" si="25"/>
        <v>0</v>
      </c>
      <c r="AX36" s="180"/>
      <c r="AY36" s="223">
        <v>0</v>
      </c>
      <c r="AZ36" s="223">
        <v>0</v>
      </c>
      <c r="BA36" s="223">
        <v>0</v>
      </c>
      <c r="BB36" s="223">
        <v>0</v>
      </c>
      <c r="BC36" s="223">
        <v>0</v>
      </c>
      <c r="BD36" s="223">
        <f>SUM(AZ36:BC36)</f>
        <v>0</v>
      </c>
      <c r="BE36" s="223">
        <v>0</v>
      </c>
      <c r="BF36" s="223">
        <v>0</v>
      </c>
      <c r="BG36" s="223">
        <v>0</v>
      </c>
      <c r="BH36" s="223">
        <v>0</v>
      </c>
      <c r="BI36" s="223">
        <f>SUM(BE36:BH36)</f>
        <v>0</v>
      </c>
      <c r="BJ36" s="223">
        <v>0</v>
      </c>
      <c r="BK36" s="223">
        <v>0</v>
      </c>
      <c r="BL36" s="223">
        <v>0</v>
      </c>
      <c r="BM36" s="223">
        <v>0</v>
      </c>
      <c r="BN36" s="223">
        <f>SUM(BJ36:BM36)</f>
        <v>0</v>
      </c>
      <c r="BO36" s="213">
        <v>0</v>
      </c>
      <c r="BP36" s="213">
        <v>0</v>
      </c>
      <c r="BQ36" s="213">
        <v>0</v>
      </c>
      <c r="BR36" s="213">
        <v>0</v>
      </c>
      <c r="BS36" s="213">
        <v>0</v>
      </c>
      <c r="BT36" s="224">
        <f t="shared" si="26"/>
        <v>0</v>
      </c>
    </row>
    <row r="37" spans="2:72" ht="15">
      <c r="B37" s="196">
        <f t="shared" si="0"/>
        <v>25</v>
      </c>
      <c r="C37" s="184"/>
      <c r="D37" s="225" t="s">
        <v>303</v>
      </c>
      <c r="E37" s="226">
        <f t="shared" ref="E37:Z37" si="27">SUM(E33:E36)</f>
        <v>0</v>
      </c>
      <c r="F37" s="226">
        <f t="shared" si="27"/>
        <v>0</v>
      </c>
      <c r="G37" s="226">
        <f t="shared" si="27"/>
        <v>0</v>
      </c>
      <c r="H37" s="226">
        <f t="shared" si="27"/>
        <v>0</v>
      </c>
      <c r="I37" s="226">
        <f t="shared" si="27"/>
        <v>0</v>
      </c>
      <c r="J37" s="226">
        <f t="shared" si="27"/>
        <v>0</v>
      </c>
      <c r="K37" s="226">
        <f t="shared" si="27"/>
        <v>0</v>
      </c>
      <c r="L37" s="226">
        <f t="shared" si="27"/>
        <v>0</v>
      </c>
      <c r="M37" s="226">
        <f t="shared" si="27"/>
        <v>0</v>
      </c>
      <c r="N37" s="226">
        <f t="shared" si="27"/>
        <v>0</v>
      </c>
      <c r="O37" s="226">
        <f t="shared" si="27"/>
        <v>0</v>
      </c>
      <c r="P37" s="226">
        <f t="shared" si="27"/>
        <v>0</v>
      </c>
      <c r="Q37" s="226">
        <f t="shared" si="27"/>
        <v>0</v>
      </c>
      <c r="R37" s="226">
        <f t="shared" si="27"/>
        <v>0</v>
      </c>
      <c r="S37" s="226">
        <f t="shared" si="27"/>
        <v>0</v>
      </c>
      <c r="T37" s="226">
        <f t="shared" si="27"/>
        <v>0</v>
      </c>
      <c r="U37" s="227">
        <f t="shared" si="27"/>
        <v>0</v>
      </c>
      <c r="V37" s="227">
        <f t="shared" si="27"/>
        <v>0</v>
      </c>
      <c r="W37" s="227">
        <f t="shared" si="27"/>
        <v>0</v>
      </c>
      <c r="X37" s="227">
        <f t="shared" si="27"/>
        <v>0</v>
      </c>
      <c r="Y37" s="227">
        <f t="shared" ref="Y37" si="28">SUM(Y33:Y36)</f>
        <v>0</v>
      </c>
      <c r="Z37" s="226">
        <f t="shared" si="27"/>
        <v>0</v>
      </c>
      <c r="AA37" s="228"/>
      <c r="AB37" s="226">
        <f t="shared" ref="AB37:AW37" si="29">SUM(AB33:AB36)</f>
        <v>0</v>
      </c>
      <c r="AC37" s="226">
        <f t="shared" si="29"/>
        <v>0</v>
      </c>
      <c r="AD37" s="226">
        <f t="shared" si="29"/>
        <v>0</v>
      </c>
      <c r="AE37" s="226">
        <f t="shared" si="29"/>
        <v>0</v>
      </c>
      <c r="AF37" s="226">
        <f t="shared" si="29"/>
        <v>0</v>
      </c>
      <c r="AG37" s="226">
        <f t="shared" si="29"/>
        <v>0</v>
      </c>
      <c r="AH37" s="226">
        <f t="shared" si="29"/>
        <v>0</v>
      </c>
      <c r="AI37" s="226">
        <f t="shared" si="29"/>
        <v>0</v>
      </c>
      <c r="AJ37" s="226">
        <f t="shared" si="29"/>
        <v>0</v>
      </c>
      <c r="AK37" s="226">
        <f t="shared" si="29"/>
        <v>0</v>
      </c>
      <c r="AL37" s="226">
        <f t="shared" si="29"/>
        <v>0</v>
      </c>
      <c r="AM37" s="226">
        <f t="shared" si="29"/>
        <v>0</v>
      </c>
      <c r="AN37" s="226">
        <f t="shared" si="29"/>
        <v>0</v>
      </c>
      <c r="AO37" s="226">
        <f t="shared" si="29"/>
        <v>0</v>
      </c>
      <c r="AP37" s="226">
        <f t="shared" si="29"/>
        <v>0</v>
      </c>
      <c r="AQ37" s="226">
        <f t="shared" si="29"/>
        <v>0</v>
      </c>
      <c r="AR37" s="227">
        <f t="shared" si="29"/>
        <v>0</v>
      </c>
      <c r="AS37" s="227">
        <f t="shared" si="29"/>
        <v>0</v>
      </c>
      <c r="AT37" s="227">
        <f t="shared" si="29"/>
        <v>0</v>
      </c>
      <c r="AU37" s="227">
        <f t="shared" si="29"/>
        <v>0</v>
      </c>
      <c r="AV37" s="227">
        <f t="shared" si="29"/>
        <v>0</v>
      </c>
      <c r="AW37" s="226">
        <f t="shared" si="29"/>
        <v>0</v>
      </c>
      <c r="AX37" s="228"/>
      <c r="AY37" s="226">
        <f t="shared" ref="AY37:BT37" si="30">SUM(AY33:AY36)</f>
        <v>0</v>
      </c>
      <c r="AZ37" s="226">
        <f t="shared" si="30"/>
        <v>0</v>
      </c>
      <c r="BA37" s="226">
        <f t="shared" si="30"/>
        <v>0</v>
      </c>
      <c r="BB37" s="226">
        <f t="shared" si="30"/>
        <v>0</v>
      </c>
      <c r="BC37" s="226">
        <f t="shared" si="30"/>
        <v>0</v>
      </c>
      <c r="BD37" s="226">
        <f t="shared" si="30"/>
        <v>0</v>
      </c>
      <c r="BE37" s="226">
        <f t="shared" si="30"/>
        <v>0</v>
      </c>
      <c r="BF37" s="226">
        <f t="shared" si="30"/>
        <v>0</v>
      </c>
      <c r="BG37" s="226">
        <f t="shared" si="30"/>
        <v>0</v>
      </c>
      <c r="BH37" s="226">
        <f t="shared" si="30"/>
        <v>0</v>
      </c>
      <c r="BI37" s="226">
        <f t="shared" si="30"/>
        <v>0</v>
      </c>
      <c r="BJ37" s="226">
        <f t="shared" si="30"/>
        <v>0</v>
      </c>
      <c r="BK37" s="226">
        <f t="shared" si="30"/>
        <v>0</v>
      </c>
      <c r="BL37" s="226">
        <f t="shared" si="30"/>
        <v>0</v>
      </c>
      <c r="BM37" s="226">
        <f t="shared" si="30"/>
        <v>0</v>
      </c>
      <c r="BN37" s="226">
        <f t="shared" si="30"/>
        <v>0</v>
      </c>
      <c r="BO37" s="227">
        <f t="shared" si="30"/>
        <v>0</v>
      </c>
      <c r="BP37" s="227">
        <f t="shared" si="30"/>
        <v>0</v>
      </c>
      <c r="BQ37" s="227">
        <f t="shared" si="30"/>
        <v>0</v>
      </c>
      <c r="BR37" s="227">
        <f t="shared" si="30"/>
        <v>0</v>
      </c>
      <c r="BS37" s="227">
        <f t="shared" si="30"/>
        <v>0</v>
      </c>
      <c r="BT37" s="229">
        <f t="shared" si="30"/>
        <v>0</v>
      </c>
    </row>
    <row r="38" spans="2:72" ht="15">
      <c r="B38" s="196">
        <f t="shared" si="0"/>
        <v>26</v>
      </c>
      <c r="C38" s="184"/>
      <c r="D38" s="198" t="s">
        <v>279</v>
      </c>
      <c r="E38" s="198" t="s">
        <v>279</v>
      </c>
      <c r="F38" s="198"/>
      <c r="G38" s="198"/>
      <c r="H38" s="198"/>
      <c r="I38" s="198"/>
      <c r="J38" s="198" t="s">
        <v>279</v>
      </c>
      <c r="K38" s="198"/>
      <c r="L38" s="198"/>
      <c r="M38" s="198"/>
      <c r="N38" s="198"/>
      <c r="O38" s="198" t="s">
        <v>279</v>
      </c>
      <c r="P38" s="198"/>
      <c r="Q38" s="198"/>
      <c r="R38" s="198"/>
      <c r="S38" s="198"/>
      <c r="T38" s="198" t="s">
        <v>279</v>
      </c>
      <c r="U38" s="199"/>
      <c r="V38" s="199"/>
      <c r="W38" s="199"/>
      <c r="X38" s="199"/>
      <c r="Y38" s="199"/>
      <c r="Z38" s="198" t="s">
        <v>279</v>
      </c>
      <c r="AA38" s="180"/>
      <c r="AB38" s="198" t="s">
        <v>279</v>
      </c>
      <c r="AC38" s="198"/>
      <c r="AD38" s="198"/>
      <c r="AE38" s="198"/>
      <c r="AF38" s="198"/>
      <c r="AG38" s="198" t="s">
        <v>279</v>
      </c>
      <c r="AH38" s="198"/>
      <c r="AI38" s="198"/>
      <c r="AJ38" s="198"/>
      <c r="AK38" s="198"/>
      <c r="AL38" s="198" t="s">
        <v>279</v>
      </c>
      <c r="AM38" s="198"/>
      <c r="AN38" s="198"/>
      <c r="AO38" s="198"/>
      <c r="AP38" s="198"/>
      <c r="AQ38" s="198" t="s">
        <v>279</v>
      </c>
      <c r="AR38" s="199"/>
      <c r="AS38" s="199"/>
      <c r="AT38" s="199"/>
      <c r="AU38" s="199"/>
      <c r="AV38" s="199"/>
      <c r="AW38" s="198" t="s">
        <v>279</v>
      </c>
      <c r="AX38" s="180"/>
      <c r="AY38" s="198" t="s">
        <v>279</v>
      </c>
      <c r="AZ38" s="198"/>
      <c r="BA38" s="198"/>
      <c r="BB38" s="198"/>
      <c r="BC38" s="198"/>
      <c r="BD38" s="198" t="s">
        <v>279</v>
      </c>
      <c r="BE38" s="198"/>
      <c r="BF38" s="198"/>
      <c r="BG38" s="198"/>
      <c r="BH38" s="198"/>
      <c r="BI38" s="198" t="s">
        <v>279</v>
      </c>
      <c r="BJ38" s="198"/>
      <c r="BK38" s="198"/>
      <c r="BL38" s="198"/>
      <c r="BM38" s="198"/>
      <c r="BN38" s="198" t="s">
        <v>279</v>
      </c>
      <c r="BO38" s="199"/>
      <c r="BP38" s="199"/>
      <c r="BQ38" s="199"/>
      <c r="BR38" s="199"/>
      <c r="BS38" s="199"/>
      <c r="BT38" s="200" t="s">
        <v>279</v>
      </c>
    </row>
    <row r="39" spans="2:72" ht="15">
      <c r="B39" s="196">
        <f t="shared" si="0"/>
        <v>27</v>
      </c>
      <c r="C39" s="184"/>
      <c r="D39" s="198" t="s">
        <v>304</v>
      </c>
      <c r="E39" s="204"/>
      <c r="F39" s="204"/>
      <c r="G39" s="204"/>
      <c r="H39" s="204"/>
      <c r="I39" s="204"/>
      <c r="J39" s="204"/>
      <c r="K39" s="204"/>
      <c r="L39" s="204"/>
      <c r="M39" s="204"/>
      <c r="N39" s="204"/>
      <c r="O39" s="204"/>
      <c r="P39" s="204"/>
      <c r="Q39" s="204"/>
      <c r="R39" s="204"/>
      <c r="S39" s="204"/>
      <c r="T39" s="204"/>
      <c r="U39" s="205"/>
      <c r="V39" s="205"/>
      <c r="W39" s="205"/>
      <c r="X39" s="205"/>
      <c r="Y39" s="205"/>
      <c r="Z39" s="204"/>
      <c r="AA39" s="180"/>
      <c r="AB39" s="204"/>
      <c r="AC39" s="204"/>
      <c r="AD39" s="204"/>
      <c r="AE39" s="204"/>
      <c r="AF39" s="204"/>
      <c r="AG39" s="204"/>
      <c r="AH39" s="204"/>
      <c r="AI39" s="204"/>
      <c r="AJ39" s="204"/>
      <c r="AK39" s="204"/>
      <c r="AL39" s="204"/>
      <c r="AM39" s="204"/>
      <c r="AN39" s="204"/>
      <c r="AO39" s="204"/>
      <c r="AP39" s="204"/>
      <c r="AQ39" s="204"/>
      <c r="AR39" s="205"/>
      <c r="AS39" s="205"/>
      <c r="AT39" s="205"/>
      <c r="AU39" s="205"/>
      <c r="AV39" s="205"/>
      <c r="AW39" s="204"/>
      <c r="AX39" s="180"/>
      <c r="AY39" s="204"/>
      <c r="AZ39" s="204"/>
      <c r="BA39" s="204"/>
      <c r="BB39" s="204"/>
      <c r="BC39" s="204"/>
      <c r="BD39" s="204"/>
      <c r="BE39" s="204"/>
      <c r="BF39" s="204"/>
      <c r="BG39" s="204"/>
      <c r="BH39" s="204"/>
      <c r="BI39" s="204"/>
      <c r="BJ39" s="204"/>
      <c r="BK39" s="204"/>
      <c r="BL39" s="204"/>
      <c r="BM39" s="204"/>
      <c r="BN39" s="204"/>
      <c r="BO39" s="205"/>
      <c r="BP39" s="205"/>
      <c r="BQ39" s="205"/>
      <c r="BR39" s="205"/>
      <c r="BS39" s="205"/>
      <c r="BT39" s="206"/>
    </row>
    <row r="40" spans="2:72" ht="15">
      <c r="B40" s="196">
        <f t="shared" si="0"/>
        <v>28</v>
      </c>
      <c r="C40" s="184"/>
      <c r="D40" s="207" t="s">
        <v>305</v>
      </c>
      <c r="E40" s="223">
        <v>0</v>
      </c>
      <c r="F40" s="223">
        <v>0</v>
      </c>
      <c r="G40" s="223">
        <v>0</v>
      </c>
      <c r="H40" s="223">
        <v>0</v>
      </c>
      <c r="I40" s="223">
        <v>0</v>
      </c>
      <c r="J40" s="223">
        <f t="shared" ref="J40:J58" si="31">SUM(F40:I40)</f>
        <v>0</v>
      </c>
      <c r="K40" s="223">
        <v>0</v>
      </c>
      <c r="L40" s="223">
        <v>0</v>
      </c>
      <c r="M40" s="223">
        <v>0</v>
      </c>
      <c r="N40" s="223">
        <v>0</v>
      </c>
      <c r="O40" s="223">
        <f t="shared" ref="O40:O58" si="32">SUM(K40:N40)</f>
        <v>0</v>
      </c>
      <c r="P40" s="223">
        <v>0</v>
      </c>
      <c r="Q40" s="223">
        <v>0</v>
      </c>
      <c r="R40" s="223">
        <v>0</v>
      </c>
      <c r="S40" s="223">
        <v>0</v>
      </c>
      <c r="T40" s="223">
        <f t="shared" ref="T40:T58" si="33">SUM(P40:S40)</f>
        <v>0</v>
      </c>
      <c r="U40" s="213">
        <v>0</v>
      </c>
      <c r="V40" s="213">
        <v>0</v>
      </c>
      <c r="W40" s="213">
        <v>0</v>
      </c>
      <c r="X40" s="213">
        <v>0</v>
      </c>
      <c r="Y40" s="213">
        <v>0</v>
      </c>
      <c r="Z40" s="223">
        <f t="shared" ref="Z40:Z58" si="34">SUM(U40:Y40)</f>
        <v>0</v>
      </c>
      <c r="AA40" s="180"/>
      <c r="AB40" s="223">
        <v>0</v>
      </c>
      <c r="AC40" s="223">
        <v>0</v>
      </c>
      <c r="AD40" s="223">
        <v>0</v>
      </c>
      <c r="AE40" s="223">
        <v>0</v>
      </c>
      <c r="AF40" s="223">
        <v>0</v>
      </c>
      <c r="AG40" s="223">
        <f t="shared" ref="AG40:AG58" si="35">SUM(AC40:AF40)</f>
        <v>0</v>
      </c>
      <c r="AH40" s="223">
        <v>0</v>
      </c>
      <c r="AI40" s="223">
        <v>0</v>
      </c>
      <c r="AJ40" s="223">
        <v>0</v>
      </c>
      <c r="AK40" s="223">
        <v>0</v>
      </c>
      <c r="AL40" s="223">
        <f t="shared" ref="AL40:AL58" si="36">SUM(AH40:AK40)</f>
        <v>0</v>
      </c>
      <c r="AM40" s="223">
        <v>0</v>
      </c>
      <c r="AN40" s="223">
        <v>0</v>
      </c>
      <c r="AO40" s="223">
        <v>0</v>
      </c>
      <c r="AP40" s="223">
        <v>0</v>
      </c>
      <c r="AQ40" s="223">
        <f t="shared" ref="AQ40:AQ58" si="37">SUM(AM40:AP40)</f>
        <v>0</v>
      </c>
      <c r="AR40" s="213">
        <v>0</v>
      </c>
      <c r="AS40" s="213">
        <v>0</v>
      </c>
      <c r="AT40" s="213">
        <v>0</v>
      </c>
      <c r="AU40" s="213">
        <v>0</v>
      </c>
      <c r="AV40" s="213">
        <v>0</v>
      </c>
      <c r="AW40" s="223">
        <f t="shared" ref="AW40:AW58" si="38">SUM(AR40:AV40)</f>
        <v>0</v>
      </c>
      <c r="AX40" s="180"/>
      <c r="AY40" s="223">
        <v>0</v>
      </c>
      <c r="AZ40" s="223">
        <v>0</v>
      </c>
      <c r="BA40" s="223">
        <v>0</v>
      </c>
      <c r="BB40" s="223">
        <v>0</v>
      </c>
      <c r="BC40" s="223">
        <v>0</v>
      </c>
      <c r="BD40" s="223">
        <f t="shared" ref="BD40:BD58" si="39">SUM(AZ40:BC40)</f>
        <v>0</v>
      </c>
      <c r="BE40" s="223">
        <v>0</v>
      </c>
      <c r="BF40" s="223">
        <v>0</v>
      </c>
      <c r="BG40" s="223">
        <v>0</v>
      </c>
      <c r="BH40" s="223">
        <v>0</v>
      </c>
      <c r="BI40" s="223">
        <f t="shared" ref="BI40:BI58" si="40">SUM(BE40:BH40)</f>
        <v>0</v>
      </c>
      <c r="BJ40" s="223">
        <v>0</v>
      </c>
      <c r="BK40" s="223">
        <v>0</v>
      </c>
      <c r="BL40" s="223">
        <v>0</v>
      </c>
      <c r="BM40" s="223">
        <v>0</v>
      </c>
      <c r="BN40" s="223">
        <f t="shared" ref="BN40:BN58" si="41">SUM(BJ40:BM40)</f>
        <v>0</v>
      </c>
      <c r="BO40" s="213">
        <v>0</v>
      </c>
      <c r="BP40" s="213">
        <v>0</v>
      </c>
      <c r="BQ40" s="213">
        <v>0</v>
      </c>
      <c r="BR40" s="213">
        <v>0</v>
      </c>
      <c r="BS40" s="213">
        <v>0</v>
      </c>
      <c r="BT40" s="224">
        <f t="shared" ref="BT40:BT58" si="42">SUM(BO40:BS40)</f>
        <v>0</v>
      </c>
    </row>
    <row r="41" spans="2:72" ht="15">
      <c r="B41" s="196">
        <f t="shared" si="0"/>
        <v>29</v>
      </c>
      <c r="C41" s="184"/>
      <c r="D41" s="207" t="s">
        <v>306</v>
      </c>
      <c r="E41" s="223">
        <v>0</v>
      </c>
      <c r="F41" s="223">
        <v>0</v>
      </c>
      <c r="G41" s="223">
        <v>0</v>
      </c>
      <c r="H41" s="223">
        <v>0</v>
      </c>
      <c r="I41" s="223">
        <v>0</v>
      </c>
      <c r="J41" s="223">
        <f t="shared" si="31"/>
        <v>0</v>
      </c>
      <c r="K41" s="223">
        <v>0</v>
      </c>
      <c r="L41" s="223">
        <v>0</v>
      </c>
      <c r="M41" s="223">
        <v>0</v>
      </c>
      <c r="N41" s="223">
        <v>0</v>
      </c>
      <c r="O41" s="223">
        <f t="shared" si="32"/>
        <v>0</v>
      </c>
      <c r="P41" s="223">
        <v>0</v>
      </c>
      <c r="Q41" s="223">
        <v>0</v>
      </c>
      <c r="R41" s="223">
        <v>0</v>
      </c>
      <c r="S41" s="223">
        <v>0</v>
      </c>
      <c r="T41" s="223">
        <f t="shared" si="33"/>
        <v>0</v>
      </c>
      <c r="U41" s="213">
        <v>0</v>
      </c>
      <c r="V41" s="213">
        <v>0</v>
      </c>
      <c r="W41" s="213">
        <v>0</v>
      </c>
      <c r="X41" s="213">
        <v>0</v>
      </c>
      <c r="Y41" s="213">
        <v>0</v>
      </c>
      <c r="Z41" s="223">
        <f t="shared" si="34"/>
        <v>0</v>
      </c>
      <c r="AA41" s="180"/>
      <c r="AB41" s="223">
        <v>0</v>
      </c>
      <c r="AC41" s="223">
        <v>0</v>
      </c>
      <c r="AD41" s="223">
        <v>0</v>
      </c>
      <c r="AE41" s="223">
        <v>0</v>
      </c>
      <c r="AF41" s="223">
        <v>0</v>
      </c>
      <c r="AG41" s="223">
        <f t="shared" si="35"/>
        <v>0</v>
      </c>
      <c r="AH41" s="223">
        <v>0</v>
      </c>
      <c r="AI41" s="223">
        <v>0</v>
      </c>
      <c r="AJ41" s="223">
        <v>0</v>
      </c>
      <c r="AK41" s="223">
        <v>0</v>
      </c>
      <c r="AL41" s="223">
        <f t="shared" si="36"/>
        <v>0</v>
      </c>
      <c r="AM41" s="223">
        <v>0</v>
      </c>
      <c r="AN41" s="223">
        <v>0</v>
      </c>
      <c r="AO41" s="223">
        <v>0</v>
      </c>
      <c r="AP41" s="223">
        <v>0</v>
      </c>
      <c r="AQ41" s="223">
        <f t="shared" si="37"/>
        <v>0</v>
      </c>
      <c r="AR41" s="213">
        <v>0</v>
      </c>
      <c r="AS41" s="213">
        <v>0</v>
      </c>
      <c r="AT41" s="213">
        <v>0</v>
      </c>
      <c r="AU41" s="213">
        <v>0</v>
      </c>
      <c r="AV41" s="213">
        <v>0</v>
      </c>
      <c r="AW41" s="223">
        <f t="shared" si="38"/>
        <v>0</v>
      </c>
      <c r="AX41" s="180"/>
      <c r="AY41" s="223">
        <v>0</v>
      </c>
      <c r="AZ41" s="223">
        <v>0</v>
      </c>
      <c r="BA41" s="223">
        <v>0</v>
      </c>
      <c r="BB41" s="223">
        <v>0</v>
      </c>
      <c r="BC41" s="223">
        <v>0</v>
      </c>
      <c r="BD41" s="223">
        <f t="shared" si="39"/>
        <v>0</v>
      </c>
      <c r="BE41" s="223">
        <v>0</v>
      </c>
      <c r="BF41" s="223">
        <v>0</v>
      </c>
      <c r="BG41" s="223">
        <v>0</v>
      </c>
      <c r="BH41" s="223">
        <v>0</v>
      </c>
      <c r="BI41" s="223">
        <f t="shared" si="40"/>
        <v>0</v>
      </c>
      <c r="BJ41" s="223">
        <v>0</v>
      </c>
      <c r="BK41" s="223">
        <v>0</v>
      </c>
      <c r="BL41" s="223">
        <v>0</v>
      </c>
      <c r="BM41" s="223">
        <v>0</v>
      </c>
      <c r="BN41" s="223">
        <f t="shared" si="41"/>
        <v>0</v>
      </c>
      <c r="BO41" s="213">
        <v>0</v>
      </c>
      <c r="BP41" s="213">
        <v>0</v>
      </c>
      <c r="BQ41" s="213">
        <v>0</v>
      </c>
      <c r="BR41" s="213">
        <v>0</v>
      </c>
      <c r="BS41" s="213">
        <v>0</v>
      </c>
      <c r="BT41" s="224">
        <f t="shared" si="42"/>
        <v>0</v>
      </c>
    </row>
    <row r="42" spans="2:72" ht="15">
      <c r="B42" s="196">
        <f t="shared" si="0"/>
        <v>30</v>
      </c>
      <c r="C42" s="184"/>
      <c r="D42" s="207" t="s">
        <v>307</v>
      </c>
      <c r="E42" s="223">
        <v>0</v>
      </c>
      <c r="F42" s="223">
        <v>0</v>
      </c>
      <c r="G42" s="223">
        <v>0</v>
      </c>
      <c r="H42" s="223">
        <v>0</v>
      </c>
      <c r="I42" s="223">
        <v>0</v>
      </c>
      <c r="J42" s="223">
        <f t="shared" si="31"/>
        <v>0</v>
      </c>
      <c r="K42" s="223">
        <v>0</v>
      </c>
      <c r="L42" s="223">
        <v>0</v>
      </c>
      <c r="M42" s="223">
        <v>0</v>
      </c>
      <c r="N42" s="223">
        <v>0</v>
      </c>
      <c r="O42" s="223">
        <f t="shared" si="32"/>
        <v>0</v>
      </c>
      <c r="P42" s="223">
        <v>0</v>
      </c>
      <c r="Q42" s="223">
        <v>0</v>
      </c>
      <c r="R42" s="223">
        <v>0</v>
      </c>
      <c r="S42" s="223">
        <v>0</v>
      </c>
      <c r="T42" s="223">
        <f t="shared" si="33"/>
        <v>0</v>
      </c>
      <c r="U42" s="213">
        <v>0</v>
      </c>
      <c r="V42" s="213">
        <v>0</v>
      </c>
      <c r="W42" s="213">
        <v>0</v>
      </c>
      <c r="X42" s="213">
        <v>0</v>
      </c>
      <c r="Y42" s="213">
        <v>0</v>
      </c>
      <c r="Z42" s="223">
        <f t="shared" si="34"/>
        <v>0</v>
      </c>
      <c r="AA42" s="180"/>
      <c r="AB42" s="223">
        <v>0</v>
      </c>
      <c r="AC42" s="223">
        <v>0</v>
      </c>
      <c r="AD42" s="223">
        <v>0</v>
      </c>
      <c r="AE42" s="223">
        <v>0</v>
      </c>
      <c r="AF42" s="223">
        <v>0</v>
      </c>
      <c r="AG42" s="223">
        <f t="shared" si="35"/>
        <v>0</v>
      </c>
      <c r="AH42" s="223">
        <v>0</v>
      </c>
      <c r="AI42" s="223">
        <v>0</v>
      </c>
      <c r="AJ42" s="223">
        <v>0</v>
      </c>
      <c r="AK42" s="223">
        <v>0</v>
      </c>
      <c r="AL42" s="223">
        <f t="shared" si="36"/>
        <v>0</v>
      </c>
      <c r="AM42" s="223">
        <v>0</v>
      </c>
      <c r="AN42" s="223">
        <v>0</v>
      </c>
      <c r="AO42" s="223">
        <v>0</v>
      </c>
      <c r="AP42" s="223">
        <v>0</v>
      </c>
      <c r="AQ42" s="223">
        <f t="shared" si="37"/>
        <v>0</v>
      </c>
      <c r="AR42" s="213">
        <v>0</v>
      </c>
      <c r="AS42" s="213">
        <v>0</v>
      </c>
      <c r="AT42" s="213">
        <v>0</v>
      </c>
      <c r="AU42" s="213">
        <v>0</v>
      </c>
      <c r="AV42" s="213">
        <v>0</v>
      </c>
      <c r="AW42" s="223">
        <f t="shared" si="38"/>
        <v>0</v>
      </c>
      <c r="AX42" s="180"/>
      <c r="AY42" s="223">
        <v>0</v>
      </c>
      <c r="AZ42" s="223">
        <v>0</v>
      </c>
      <c r="BA42" s="223">
        <v>0</v>
      </c>
      <c r="BB42" s="223">
        <v>0</v>
      </c>
      <c r="BC42" s="223">
        <v>0</v>
      </c>
      <c r="BD42" s="223">
        <f t="shared" si="39"/>
        <v>0</v>
      </c>
      <c r="BE42" s="223">
        <v>0</v>
      </c>
      <c r="BF42" s="223">
        <v>0</v>
      </c>
      <c r="BG42" s="223">
        <v>0</v>
      </c>
      <c r="BH42" s="223">
        <v>0</v>
      </c>
      <c r="BI42" s="223">
        <f t="shared" si="40"/>
        <v>0</v>
      </c>
      <c r="BJ42" s="223">
        <v>0</v>
      </c>
      <c r="BK42" s="223">
        <v>0</v>
      </c>
      <c r="BL42" s="223">
        <v>0</v>
      </c>
      <c r="BM42" s="223">
        <v>0</v>
      </c>
      <c r="BN42" s="223">
        <f t="shared" si="41"/>
        <v>0</v>
      </c>
      <c r="BO42" s="213">
        <v>0</v>
      </c>
      <c r="BP42" s="213">
        <v>0</v>
      </c>
      <c r="BQ42" s="213">
        <v>0</v>
      </c>
      <c r="BR42" s="213">
        <v>0</v>
      </c>
      <c r="BS42" s="213">
        <v>0</v>
      </c>
      <c r="BT42" s="224">
        <f t="shared" si="42"/>
        <v>0</v>
      </c>
    </row>
    <row r="43" spans="2:72" ht="15">
      <c r="B43" s="196">
        <f t="shared" si="0"/>
        <v>31</v>
      </c>
      <c r="C43" s="184"/>
      <c r="D43" s="207" t="s">
        <v>308</v>
      </c>
      <c r="E43" s="223">
        <v>0</v>
      </c>
      <c r="F43" s="223">
        <v>0</v>
      </c>
      <c r="G43" s="223">
        <v>0</v>
      </c>
      <c r="H43" s="223">
        <v>0</v>
      </c>
      <c r="I43" s="223">
        <v>0</v>
      </c>
      <c r="J43" s="223">
        <f t="shared" si="31"/>
        <v>0</v>
      </c>
      <c r="K43" s="223">
        <v>0</v>
      </c>
      <c r="L43" s="223">
        <v>0</v>
      </c>
      <c r="M43" s="223">
        <v>0</v>
      </c>
      <c r="N43" s="223">
        <v>0</v>
      </c>
      <c r="O43" s="223">
        <f t="shared" si="32"/>
        <v>0</v>
      </c>
      <c r="P43" s="223">
        <v>0</v>
      </c>
      <c r="Q43" s="223">
        <v>0</v>
      </c>
      <c r="R43" s="223">
        <v>0</v>
      </c>
      <c r="S43" s="223">
        <v>0</v>
      </c>
      <c r="T43" s="223">
        <f t="shared" si="33"/>
        <v>0</v>
      </c>
      <c r="U43" s="213">
        <v>0</v>
      </c>
      <c r="V43" s="213">
        <v>0</v>
      </c>
      <c r="W43" s="213">
        <v>0</v>
      </c>
      <c r="X43" s="213">
        <v>0</v>
      </c>
      <c r="Y43" s="213">
        <v>0</v>
      </c>
      <c r="Z43" s="223">
        <f t="shared" si="34"/>
        <v>0</v>
      </c>
      <c r="AA43" s="180"/>
      <c r="AB43" s="223">
        <v>0</v>
      </c>
      <c r="AC43" s="223">
        <v>0</v>
      </c>
      <c r="AD43" s="223">
        <v>0</v>
      </c>
      <c r="AE43" s="223">
        <v>0</v>
      </c>
      <c r="AF43" s="223">
        <v>0</v>
      </c>
      <c r="AG43" s="223">
        <f t="shared" si="35"/>
        <v>0</v>
      </c>
      <c r="AH43" s="223">
        <v>0</v>
      </c>
      <c r="AI43" s="223">
        <v>0</v>
      </c>
      <c r="AJ43" s="223">
        <v>0</v>
      </c>
      <c r="AK43" s="223">
        <v>0</v>
      </c>
      <c r="AL43" s="223">
        <f t="shared" si="36"/>
        <v>0</v>
      </c>
      <c r="AM43" s="223">
        <v>0</v>
      </c>
      <c r="AN43" s="223">
        <v>0</v>
      </c>
      <c r="AO43" s="223">
        <v>0</v>
      </c>
      <c r="AP43" s="223">
        <v>0</v>
      </c>
      <c r="AQ43" s="223">
        <f t="shared" si="37"/>
        <v>0</v>
      </c>
      <c r="AR43" s="213">
        <v>0</v>
      </c>
      <c r="AS43" s="213">
        <v>0</v>
      </c>
      <c r="AT43" s="213">
        <v>0</v>
      </c>
      <c r="AU43" s="213">
        <v>0</v>
      </c>
      <c r="AV43" s="213">
        <v>0</v>
      </c>
      <c r="AW43" s="223">
        <f t="shared" si="38"/>
        <v>0</v>
      </c>
      <c r="AX43" s="180"/>
      <c r="AY43" s="223">
        <v>0</v>
      </c>
      <c r="AZ43" s="223">
        <v>0</v>
      </c>
      <c r="BA43" s="223">
        <v>0</v>
      </c>
      <c r="BB43" s="223">
        <v>0</v>
      </c>
      <c r="BC43" s="223">
        <v>0</v>
      </c>
      <c r="BD43" s="223">
        <f t="shared" si="39"/>
        <v>0</v>
      </c>
      <c r="BE43" s="223">
        <v>0</v>
      </c>
      <c r="BF43" s="223">
        <v>0</v>
      </c>
      <c r="BG43" s="223">
        <v>0</v>
      </c>
      <c r="BH43" s="223">
        <v>0</v>
      </c>
      <c r="BI43" s="223">
        <f t="shared" si="40"/>
        <v>0</v>
      </c>
      <c r="BJ43" s="223">
        <v>0</v>
      </c>
      <c r="BK43" s="223">
        <v>0</v>
      </c>
      <c r="BL43" s="223">
        <v>0</v>
      </c>
      <c r="BM43" s="223">
        <v>0</v>
      </c>
      <c r="BN43" s="223">
        <f t="shared" si="41"/>
        <v>0</v>
      </c>
      <c r="BO43" s="213">
        <v>0</v>
      </c>
      <c r="BP43" s="213">
        <v>0</v>
      </c>
      <c r="BQ43" s="213">
        <v>0</v>
      </c>
      <c r="BR43" s="213">
        <v>0</v>
      </c>
      <c r="BS43" s="213">
        <v>0</v>
      </c>
      <c r="BT43" s="224">
        <f t="shared" si="42"/>
        <v>0</v>
      </c>
    </row>
    <row r="44" spans="2:72" ht="15">
      <c r="B44" s="196">
        <f t="shared" si="0"/>
        <v>32</v>
      </c>
      <c r="C44" s="184"/>
      <c r="D44" s="207" t="s">
        <v>309</v>
      </c>
      <c r="E44" s="223">
        <v>0</v>
      </c>
      <c r="F44" s="223">
        <v>0</v>
      </c>
      <c r="G44" s="223">
        <v>0</v>
      </c>
      <c r="H44" s="223">
        <v>0</v>
      </c>
      <c r="I44" s="223">
        <v>0</v>
      </c>
      <c r="J44" s="223">
        <f t="shared" si="31"/>
        <v>0</v>
      </c>
      <c r="K44" s="223">
        <v>0</v>
      </c>
      <c r="L44" s="223">
        <v>0</v>
      </c>
      <c r="M44" s="223">
        <v>0</v>
      </c>
      <c r="N44" s="223">
        <v>0</v>
      </c>
      <c r="O44" s="223">
        <f t="shared" si="32"/>
        <v>0</v>
      </c>
      <c r="P44" s="223">
        <v>0</v>
      </c>
      <c r="Q44" s="223">
        <v>0</v>
      </c>
      <c r="R44" s="223">
        <v>0</v>
      </c>
      <c r="S44" s="223">
        <v>0</v>
      </c>
      <c r="T44" s="223">
        <f t="shared" si="33"/>
        <v>0</v>
      </c>
      <c r="U44" s="213">
        <v>0</v>
      </c>
      <c r="V44" s="213">
        <v>0</v>
      </c>
      <c r="W44" s="213">
        <v>0</v>
      </c>
      <c r="X44" s="213">
        <v>0</v>
      </c>
      <c r="Y44" s="213">
        <v>0</v>
      </c>
      <c r="Z44" s="223">
        <f t="shared" si="34"/>
        <v>0</v>
      </c>
      <c r="AA44" s="180"/>
      <c r="AB44" s="223">
        <v>0</v>
      </c>
      <c r="AC44" s="223">
        <v>0</v>
      </c>
      <c r="AD44" s="223">
        <v>0</v>
      </c>
      <c r="AE44" s="223">
        <v>0</v>
      </c>
      <c r="AF44" s="223">
        <v>0</v>
      </c>
      <c r="AG44" s="223">
        <f t="shared" si="35"/>
        <v>0</v>
      </c>
      <c r="AH44" s="223">
        <v>0</v>
      </c>
      <c r="AI44" s="223">
        <v>0</v>
      </c>
      <c r="AJ44" s="223">
        <v>0</v>
      </c>
      <c r="AK44" s="223">
        <v>0</v>
      </c>
      <c r="AL44" s="223">
        <f t="shared" si="36"/>
        <v>0</v>
      </c>
      <c r="AM44" s="223">
        <v>0</v>
      </c>
      <c r="AN44" s="223">
        <v>0</v>
      </c>
      <c r="AO44" s="223">
        <v>0</v>
      </c>
      <c r="AP44" s="223">
        <v>0</v>
      </c>
      <c r="AQ44" s="223">
        <f t="shared" si="37"/>
        <v>0</v>
      </c>
      <c r="AR44" s="213">
        <v>0</v>
      </c>
      <c r="AS44" s="213">
        <v>0</v>
      </c>
      <c r="AT44" s="213">
        <v>0</v>
      </c>
      <c r="AU44" s="213">
        <v>0</v>
      </c>
      <c r="AV44" s="213">
        <v>0</v>
      </c>
      <c r="AW44" s="223">
        <f t="shared" si="38"/>
        <v>0</v>
      </c>
      <c r="AX44" s="180"/>
      <c r="AY44" s="223">
        <v>0</v>
      </c>
      <c r="AZ44" s="223">
        <v>0</v>
      </c>
      <c r="BA44" s="223">
        <v>0</v>
      </c>
      <c r="BB44" s="223">
        <v>0</v>
      </c>
      <c r="BC44" s="223">
        <v>0</v>
      </c>
      <c r="BD44" s="223">
        <f t="shared" si="39"/>
        <v>0</v>
      </c>
      <c r="BE44" s="223">
        <v>0</v>
      </c>
      <c r="BF44" s="223">
        <v>0</v>
      </c>
      <c r="BG44" s="223">
        <v>0</v>
      </c>
      <c r="BH44" s="223">
        <v>0</v>
      </c>
      <c r="BI44" s="223">
        <f t="shared" si="40"/>
        <v>0</v>
      </c>
      <c r="BJ44" s="223">
        <v>0</v>
      </c>
      <c r="BK44" s="223">
        <v>0</v>
      </c>
      <c r="BL44" s="223">
        <v>0</v>
      </c>
      <c r="BM44" s="223">
        <v>0</v>
      </c>
      <c r="BN44" s="223">
        <f t="shared" si="41"/>
        <v>0</v>
      </c>
      <c r="BO44" s="213">
        <v>0</v>
      </c>
      <c r="BP44" s="213">
        <v>0</v>
      </c>
      <c r="BQ44" s="213">
        <v>0</v>
      </c>
      <c r="BR44" s="213">
        <v>0</v>
      </c>
      <c r="BS44" s="213">
        <v>0</v>
      </c>
      <c r="BT44" s="224">
        <f t="shared" si="42"/>
        <v>0</v>
      </c>
    </row>
    <row r="45" spans="2:72" s="230" customFormat="1" ht="15">
      <c r="B45" s="196">
        <f t="shared" si="0"/>
        <v>33</v>
      </c>
      <c r="C45" s="184"/>
      <c r="D45" s="207" t="s">
        <v>310</v>
      </c>
      <c r="E45" s="223">
        <v>0</v>
      </c>
      <c r="F45" s="223">
        <v>0</v>
      </c>
      <c r="G45" s="223">
        <v>0</v>
      </c>
      <c r="H45" s="223">
        <v>0</v>
      </c>
      <c r="I45" s="223">
        <v>0</v>
      </c>
      <c r="J45" s="223">
        <f t="shared" si="31"/>
        <v>0</v>
      </c>
      <c r="K45" s="223">
        <v>0</v>
      </c>
      <c r="L45" s="223">
        <v>0</v>
      </c>
      <c r="M45" s="223">
        <v>0</v>
      </c>
      <c r="N45" s="223">
        <v>0</v>
      </c>
      <c r="O45" s="223">
        <f t="shared" si="32"/>
        <v>0</v>
      </c>
      <c r="P45" s="223">
        <v>0</v>
      </c>
      <c r="Q45" s="223">
        <v>0</v>
      </c>
      <c r="R45" s="223">
        <v>0</v>
      </c>
      <c r="S45" s="223">
        <v>0</v>
      </c>
      <c r="T45" s="223">
        <f t="shared" si="33"/>
        <v>0</v>
      </c>
      <c r="U45" s="213">
        <v>0</v>
      </c>
      <c r="V45" s="213">
        <v>0</v>
      </c>
      <c r="W45" s="213">
        <v>0</v>
      </c>
      <c r="X45" s="213">
        <v>0</v>
      </c>
      <c r="Y45" s="213">
        <v>0</v>
      </c>
      <c r="Z45" s="223">
        <f t="shared" si="34"/>
        <v>0</v>
      </c>
      <c r="AA45" s="180"/>
      <c r="AB45" s="223">
        <v>0</v>
      </c>
      <c r="AC45" s="223">
        <v>0</v>
      </c>
      <c r="AD45" s="223">
        <v>0</v>
      </c>
      <c r="AE45" s="223">
        <v>0</v>
      </c>
      <c r="AF45" s="223">
        <v>0</v>
      </c>
      <c r="AG45" s="223">
        <f t="shared" si="35"/>
        <v>0</v>
      </c>
      <c r="AH45" s="223">
        <v>0</v>
      </c>
      <c r="AI45" s="223">
        <v>0</v>
      </c>
      <c r="AJ45" s="223">
        <v>0</v>
      </c>
      <c r="AK45" s="223">
        <v>0</v>
      </c>
      <c r="AL45" s="223">
        <f t="shared" si="36"/>
        <v>0</v>
      </c>
      <c r="AM45" s="223">
        <v>0</v>
      </c>
      <c r="AN45" s="223">
        <v>0</v>
      </c>
      <c r="AO45" s="223">
        <v>0</v>
      </c>
      <c r="AP45" s="223">
        <v>0</v>
      </c>
      <c r="AQ45" s="223">
        <f t="shared" si="37"/>
        <v>0</v>
      </c>
      <c r="AR45" s="213">
        <v>0</v>
      </c>
      <c r="AS45" s="213">
        <v>0</v>
      </c>
      <c r="AT45" s="213">
        <v>0</v>
      </c>
      <c r="AU45" s="213">
        <v>0</v>
      </c>
      <c r="AV45" s="213">
        <v>0</v>
      </c>
      <c r="AW45" s="223">
        <f t="shared" si="38"/>
        <v>0</v>
      </c>
      <c r="AX45" s="180"/>
      <c r="AY45" s="223">
        <v>0</v>
      </c>
      <c r="AZ45" s="223">
        <v>0</v>
      </c>
      <c r="BA45" s="223">
        <v>0</v>
      </c>
      <c r="BB45" s="223">
        <v>0</v>
      </c>
      <c r="BC45" s="223">
        <v>0</v>
      </c>
      <c r="BD45" s="223">
        <f t="shared" si="39"/>
        <v>0</v>
      </c>
      <c r="BE45" s="223">
        <v>0</v>
      </c>
      <c r="BF45" s="223">
        <v>0</v>
      </c>
      <c r="BG45" s="223">
        <v>0</v>
      </c>
      <c r="BH45" s="223">
        <v>0</v>
      </c>
      <c r="BI45" s="223">
        <f t="shared" si="40"/>
        <v>0</v>
      </c>
      <c r="BJ45" s="223">
        <v>0</v>
      </c>
      <c r="BK45" s="223">
        <v>0</v>
      </c>
      <c r="BL45" s="223">
        <v>0</v>
      </c>
      <c r="BM45" s="223">
        <v>0</v>
      </c>
      <c r="BN45" s="223">
        <f t="shared" si="41"/>
        <v>0</v>
      </c>
      <c r="BO45" s="213">
        <v>0</v>
      </c>
      <c r="BP45" s="213">
        <v>0</v>
      </c>
      <c r="BQ45" s="213">
        <v>0</v>
      </c>
      <c r="BR45" s="213">
        <v>0</v>
      </c>
      <c r="BS45" s="213">
        <v>0</v>
      </c>
      <c r="BT45" s="224">
        <f t="shared" si="42"/>
        <v>0</v>
      </c>
    </row>
    <row r="46" spans="2:72" s="230" customFormat="1" ht="15">
      <c r="B46" s="196">
        <f t="shared" si="0"/>
        <v>34</v>
      </c>
      <c r="C46" s="184"/>
      <c r="D46" s="207" t="s">
        <v>311</v>
      </c>
      <c r="E46" s="223">
        <v>0</v>
      </c>
      <c r="F46" s="223">
        <v>0</v>
      </c>
      <c r="G46" s="223">
        <v>0</v>
      </c>
      <c r="H46" s="223">
        <v>0</v>
      </c>
      <c r="I46" s="223">
        <v>0</v>
      </c>
      <c r="J46" s="223">
        <f t="shared" si="31"/>
        <v>0</v>
      </c>
      <c r="K46" s="223">
        <v>0</v>
      </c>
      <c r="L46" s="223">
        <v>0</v>
      </c>
      <c r="M46" s="223">
        <v>0</v>
      </c>
      <c r="N46" s="223">
        <v>0</v>
      </c>
      <c r="O46" s="223">
        <f t="shared" si="32"/>
        <v>0</v>
      </c>
      <c r="P46" s="223">
        <v>0</v>
      </c>
      <c r="Q46" s="223">
        <v>0</v>
      </c>
      <c r="R46" s="223">
        <v>0</v>
      </c>
      <c r="S46" s="223">
        <v>0</v>
      </c>
      <c r="T46" s="223">
        <f t="shared" si="33"/>
        <v>0</v>
      </c>
      <c r="U46" s="213">
        <v>0</v>
      </c>
      <c r="V46" s="213">
        <v>0</v>
      </c>
      <c r="W46" s="213">
        <v>0</v>
      </c>
      <c r="X46" s="213">
        <v>0</v>
      </c>
      <c r="Y46" s="213">
        <v>0</v>
      </c>
      <c r="Z46" s="223">
        <f t="shared" si="34"/>
        <v>0</v>
      </c>
      <c r="AA46" s="180"/>
      <c r="AB46" s="223">
        <v>0</v>
      </c>
      <c r="AC46" s="223">
        <v>0</v>
      </c>
      <c r="AD46" s="223">
        <v>0</v>
      </c>
      <c r="AE46" s="223">
        <v>0</v>
      </c>
      <c r="AF46" s="223">
        <v>0</v>
      </c>
      <c r="AG46" s="223">
        <f t="shared" si="35"/>
        <v>0</v>
      </c>
      <c r="AH46" s="223">
        <v>0</v>
      </c>
      <c r="AI46" s="223">
        <v>0</v>
      </c>
      <c r="AJ46" s="223">
        <v>0</v>
      </c>
      <c r="AK46" s="223">
        <v>0</v>
      </c>
      <c r="AL46" s="223">
        <f t="shared" si="36"/>
        <v>0</v>
      </c>
      <c r="AM46" s="223">
        <v>0</v>
      </c>
      <c r="AN46" s="223">
        <v>0</v>
      </c>
      <c r="AO46" s="223">
        <v>0</v>
      </c>
      <c r="AP46" s="223">
        <v>0</v>
      </c>
      <c r="AQ46" s="223">
        <f t="shared" si="37"/>
        <v>0</v>
      </c>
      <c r="AR46" s="213">
        <v>0</v>
      </c>
      <c r="AS46" s="213">
        <v>0</v>
      </c>
      <c r="AT46" s="213">
        <v>0</v>
      </c>
      <c r="AU46" s="213">
        <v>0</v>
      </c>
      <c r="AV46" s="213">
        <v>0</v>
      </c>
      <c r="AW46" s="223">
        <f t="shared" si="38"/>
        <v>0</v>
      </c>
      <c r="AX46" s="180"/>
      <c r="AY46" s="223">
        <v>0</v>
      </c>
      <c r="AZ46" s="223">
        <v>0</v>
      </c>
      <c r="BA46" s="223">
        <v>0</v>
      </c>
      <c r="BB46" s="223">
        <v>0</v>
      </c>
      <c r="BC46" s="223">
        <v>0</v>
      </c>
      <c r="BD46" s="223">
        <f t="shared" si="39"/>
        <v>0</v>
      </c>
      <c r="BE46" s="223">
        <v>0</v>
      </c>
      <c r="BF46" s="223">
        <v>0</v>
      </c>
      <c r="BG46" s="223">
        <v>0</v>
      </c>
      <c r="BH46" s="223">
        <v>0</v>
      </c>
      <c r="BI46" s="223">
        <f t="shared" si="40"/>
        <v>0</v>
      </c>
      <c r="BJ46" s="223">
        <v>0</v>
      </c>
      <c r="BK46" s="223">
        <v>0</v>
      </c>
      <c r="BL46" s="223">
        <v>0</v>
      </c>
      <c r="BM46" s="223">
        <v>0</v>
      </c>
      <c r="BN46" s="223">
        <f t="shared" si="41"/>
        <v>0</v>
      </c>
      <c r="BO46" s="213">
        <v>0</v>
      </c>
      <c r="BP46" s="213">
        <v>0</v>
      </c>
      <c r="BQ46" s="213">
        <v>0</v>
      </c>
      <c r="BR46" s="213">
        <v>0</v>
      </c>
      <c r="BS46" s="213">
        <v>0</v>
      </c>
      <c r="BT46" s="224">
        <f t="shared" si="42"/>
        <v>0</v>
      </c>
    </row>
    <row r="47" spans="2:72" ht="15">
      <c r="B47" s="196">
        <f t="shared" si="0"/>
        <v>35</v>
      </c>
      <c r="C47" s="184"/>
      <c r="D47" s="207" t="s">
        <v>312</v>
      </c>
      <c r="E47" s="223">
        <v>0</v>
      </c>
      <c r="F47" s="223">
        <v>0</v>
      </c>
      <c r="G47" s="223">
        <v>0</v>
      </c>
      <c r="H47" s="223">
        <v>0</v>
      </c>
      <c r="I47" s="223">
        <v>0</v>
      </c>
      <c r="J47" s="223">
        <f t="shared" si="31"/>
        <v>0</v>
      </c>
      <c r="K47" s="223">
        <v>0</v>
      </c>
      <c r="L47" s="223">
        <v>0</v>
      </c>
      <c r="M47" s="223">
        <v>0</v>
      </c>
      <c r="N47" s="223">
        <v>0</v>
      </c>
      <c r="O47" s="223">
        <f t="shared" si="32"/>
        <v>0</v>
      </c>
      <c r="P47" s="223">
        <v>0</v>
      </c>
      <c r="Q47" s="223">
        <v>0</v>
      </c>
      <c r="R47" s="223">
        <v>0</v>
      </c>
      <c r="S47" s="223">
        <v>0</v>
      </c>
      <c r="T47" s="223">
        <f t="shared" si="33"/>
        <v>0</v>
      </c>
      <c r="U47" s="213">
        <v>0</v>
      </c>
      <c r="V47" s="213">
        <v>0</v>
      </c>
      <c r="W47" s="213">
        <v>0</v>
      </c>
      <c r="X47" s="213">
        <v>0</v>
      </c>
      <c r="Y47" s="213">
        <v>0</v>
      </c>
      <c r="Z47" s="223">
        <f t="shared" si="34"/>
        <v>0</v>
      </c>
      <c r="AA47" s="180"/>
      <c r="AB47" s="223">
        <v>0</v>
      </c>
      <c r="AC47" s="223">
        <v>0</v>
      </c>
      <c r="AD47" s="223">
        <v>0</v>
      </c>
      <c r="AE47" s="223">
        <v>0</v>
      </c>
      <c r="AF47" s="223">
        <v>0</v>
      </c>
      <c r="AG47" s="223">
        <f t="shared" si="35"/>
        <v>0</v>
      </c>
      <c r="AH47" s="223">
        <v>0</v>
      </c>
      <c r="AI47" s="223">
        <v>0</v>
      </c>
      <c r="AJ47" s="223">
        <v>0</v>
      </c>
      <c r="AK47" s="223">
        <v>0</v>
      </c>
      <c r="AL47" s="223">
        <f t="shared" si="36"/>
        <v>0</v>
      </c>
      <c r="AM47" s="223">
        <v>0</v>
      </c>
      <c r="AN47" s="223">
        <v>0</v>
      </c>
      <c r="AO47" s="223">
        <v>0</v>
      </c>
      <c r="AP47" s="223">
        <v>0</v>
      </c>
      <c r="AQ47" s="223">
        <f t="shared" si="37"/>
        <v>0</v>
      </c>
      <c r="AR47" s="213">
        <v>0</v>
      </c>
      <c r="AS47" s="213">
        <v>0</v>
      </c>
      <c r="AT47" s="213">
        <v>0</v>
      </c>
      <c r="AU47" s="213">
        <v>0</v>
      </c>
      <c r="AV47" s="213">
        <v>0</v>
      </c>
      <c r="AW47" s="223">
        <f t="shared" si="38"/>
        <v>0</v>
      </c>
      <c r="AX47" s="180"/>
      <c r="AY47" s="223">
        <v>0</v>
      </c>
      <c r="AZ47" s="223">
        <v>0</v>
      </c>
      <c r="BA47" s="223">
        <v>0</v>
      </c>
      <c r="BB47" s="223">
        <v>0</v>
      </c>
      <c r="BC47" s="223">
        <v>0</v>
      </c>
      <c r="BD47" s="223">
        <f t="shared" si="39"/>
        <v>0</v>
      </c>
      <c r="BE47" s="223">
        <v>0</v>
      </c>
      <c r="BF47" s="223">
        <v>0</v>
      </c>
      <c r="BG47" s="223">
        <v>0</v>
      </c>
      <c r="BH47" s="223">
        <v>0</v>
      </c>
      <c r="BI47" s="223">
        <f t="shared" si="40"/>
        <v>0</v>
      </c>
      <c r="BJ47" s="223">
        <v>0</v>
      </c>
      <c r="BK47" s="223">
        <v>0</v>
      </c>
      <c r="BL47" s="223">
        <v>0</v>
      </c>
      <c r="BM47" s="223">
        <v>0</v>
      </c>
      <c r="BN47" s="223">
        <f t="shared" si="41"/>
        <v>0</v>
      </c>
      <c r="BO47" s="213">
        <v>0</v>
      </c>
      <c r="BP47" s="213">
        <v>0</v>
      </c>
      <c r="BQ47" s="213">
        <v>0</v>
      </c>
      <c r="BR47" s="213">
        <v>0</v>
      </c>
      <c r="BS47" s="213">
        <v>0</v>
      </c>
      <c r="BT47" s="224">
        <f t="shared" si="42"/>
        <v>0</v>
      </c>
    </row>
    <row r="48" spans="2:72" ht="15">
      <c r="B48" s="196">
        <f t="shared" si="0"/>
        <v>36</v>
      </c>
      <c r="C48" s="184"/>
      <c r="D48" s="207" t="s">
        <v>313</v>
      </c>
      <c r="E48" s="223">
        <v>0</v>
      </c>
      <c r="F48" s="223">
        <v>0</v>
      </c>
      <c r="G48" s="223">
        <v>0</v>
      </c>
      <c r="H48" s="223">
        <v>0</v>
      </c>
      <c r="I48" s="223">
        <v>0</v>
      </c>
      <c r="J48" s="223">
        <f t="shared" si="31"/>
        <v>0</v>
      </c>
      <c r="K48" s="223">
        <v>0</v>
      </c>
      <c r="L48" s="223">
        <v>0</v>
      </c>
      <c r="M48" s="223">
        <v>0</v>
      </c>
      <c r="N48" s="223">
        <v>0</v>
      </c>
      <c r="O48" s="223">
        <f t="shared" si="32"/>
        <v>0</v>
      </c>
      <c r="P48" s="223">
        <v>0</v>
      </c>
      <c r="Q48" s="223">
        <v>0</v>
      </c>
      <c r="R48" s="223">
        <v>0</v>
      </c>
      <c r="S48" s="223">
        <v>0</v>
      </c>
      <c r="T48" s="223">
        <f t="shared" si="33"/>
        <v>0</v>
      </c>
      <c r="U48" s="213">
        <v>0</v>
      </c>
      <c r="V48" s="213">
        <v>0</v>
      </c>
      <c r="W48" s="213">
        <v>0</v>
      </c>
      <c r="X48" s="213">
        <v>0</v>
      </c>
      <c r="Y48" s="213">
        <v>0</v>
      </c>
      <c r="Z48" s="223">
        <f t="shared" si="34"/>
        <v>0</v>
      </c>
      <c r="AA48" s="180"/>
      <c r="AB48" s="223">
        <v>0</v>
      </c>
      <c r="AC48" s="223">
        <v>0</v>
      </c>
      <c r="AD48" s="223">
        <v>0</v>
      </c>
      <c r="AE48" s="223">
        <v>0</v>
      </c>
      <c r="AF48" s="223">
        <v>0</v>
      </c>
      <c r="AG48" s="223">
        <f t="shared" si="35"/>
        <v>0</v>
      </c>
      <c r="AH48" s="223">
        <v>0</v>
      </c>
      <c r="AI48" s="223">
        <v>0</v>
      </c>
      <c r="AJ48" s="223">
        <v>0</v>
      </c>
      <c r="AK48" s="223">
        <v>0</v>
      </c>
      <c r="AL48" s="223">
        <f t="shared" si="36"/>
        <v>0</v>
      </c>
      <c r="AM48" s="223">
        <v>0</v>
      </c>
      <c r="AN48" s="223">
        <v>0</v>
      </c>
      <c r="AO48" s="223">
        <v>0</v>
      </c>
      <c r="AP48" s="223">
        <v>0</v>
      </c>
      <c r="AQ48" s="223">
        <f t="shared" si="37"/>
        <v>0</v>
      </c>
      <c r="AR48" s="213">
        <v>0</v>
      </c>
      <c r="AS48" s="213">
        <v>0</v>
      </c>
      <c r="AT48" s="213">
        <v>0</v>
      </c>
      <c r="AU48" s="213">
        <v>0</v>
      </c>
      <c r="AV48" s="213">
        <v>0</v>
      </c>
      <c r="AW48" s="223">
        <f t="shared" si="38"/>
        <v>0</v>
      </c>
      <c r="AX48" s="180"/>
      <c r="AY48" s="223">
        <v>0</v>
      </c>
      <c r="AZ48" s="223">
        <v>0</v>
      </c>
      <c r="BA48" s="223">
        <v>0</v>
      </c>
      <c r="BB48" s="223">
        <v>0</v>
      </c>
      <c r="BC48" s="223">
        <v>0</v>
      </c>
      <c r="BD48" s="223">
        <f t="shared" si="39"/>
        <v>0</v>
      </c>
      <c r="BE48" s="223">
        <v>0</v>
      </c>
      <c r="BF48" s="223">
        <v>0</v>
      </c>
      <c r="BG48" s="223">
        <v>0</v>
      </c>
      <c r="BH48" s="223">
        <v>0</v>
      </c>
      <c r="BI48" s="223">
        <f t="shared" si="40"/>
        <v>0</v>
      </c>
      <c r="BJ48" s="223">
        <v>0</v>
      </c>
      <c r="BK48" s="223">
        <v>0</v>
      </c>
      <c r="BL48" s="223">
        <v>0</v>
      </c>
      <c r="BM48" s="223">
        <v>0</v>
      </c>
      <c r="BN48" s="223">
        <f t="shared" si="41"/>
        <v>0</v>
      </c>
      <c r="BO48" s="213">
        <v>0</v>
      </c>
      <c r="BP48" s="213">
        <v>0</v>
      </c>
      <c r="BQ48" s="213">
        <v>0</v>
      </c>
      <c r="BR48" s="213">
        <v>0</v>
      </c>
      <c r="BS48" s="213">
        <v>0</v>
      </c>
      <c r="BT48" s="224">
        <f t="shared" si="42"/>
        <v>0</v>
      </c>
    </row>
    <row r="49" spans="2:72" ht="15">
      <c r="B49" s="196">
        <f t="shared" si="0"/>
        <v>37</v>
      </c>
      <c r="C49" s="184"/>
      <c r="D49" s="207" t="s">
        <v>314</v>
      </c>
      <c r="E49" s="223">
        <v>0</v>
      </c>
      <c r="F49" s="223">
        <v>0</v>
      </c>
      <c r="G49" s="223">
        <v>0</v>
      </c>
      <c r="H49" s="223">
        <v>0</v>
      </c>
      <c r="I49" s="223">
        <v>0</v>
      </c>
      <c r="J49" s="223">
        <f t="shared" si="31"/>
        <v>0</v>
      </c>
      <c r="K49" s="223">
        <v>0</v>
      </c>
      <c r="L49" s="223">
        <v>0</v>
      </c>
      <c r="M49" s="223">
        <v>0</v>
      </c>
      <c r="N49" s="223">
        <v>0</v>
      </c>
      <c r="O49" s="223">
        <f t="shared" si="32"/>
        <v>0</v>
      </c>
      <c r="P49" s="223">
        <v>0</v>
      </c>
      <c r="Q49" s="223">
        <v>0</v>
      </c>
      <c r="R49" s="223">
        <v>0</v>
      </c>
      <c r="S49" s="223">
        <v>0</v>
      </c>
      <c r="T49" s="223">
        <f t="shared" si="33"/>
        <v>0</v>
      </c>
      <c r="U49" s="213">
        <v>0</v>
      </c>
      <c r="V49" s="213">
        <v>0</v>
      </c>
      <c r="W49" s="213">
        <v>0</v>
      </c>
      <c r="X49" s="213">
        <v>0</v>
      </c>
      <c r="Y49" s="213">
        <v>0</v>
      </c>
      <c r="Z49" s="223">
        <f t="shared" si="34"/>
        <v>0</v>
      </c>
      <c r="AA49" s="180"/>
      <c r="AB49" s="223">
        <v>0</v>
      </c>
      <c r="AC49" s="223">
        <v>0</v>
      </c>
      <c r="AD49" s="223">
        <v>0</v>
      </c>
      <c r="AE49" s="223">
        <v>0</v>
      </c>
      <c r="AF49" s="223">
        <v>0</v>
      </c>
      <c r="AG49" s="223">
        <f t="shared" si="35"/>
        <v>0</v>
      </c>
      <c r="AH49" s="223">
        <v>0</v>
      </c>
      <c r="AI49" s="223">
        <v>0</v>
      </c>
      <c r="AJ49" s="223">
        <v>0</v>
      </c>
      <c r="AK49" s="223">
        <v>0</v>
      </c>
      <c r="AL49" s="223">
        <f t="shared" si="36"/>
        <v>0</v>
      </c>
      <c r="AM49" s="223">
        <v>0</v>
      </c>
      <c r="AN49" s="223">
        <v>0</v>
      </c>
      <c r="AO49" s="223">
        <v>0</v>
      </c>
      <c r="AP49" s="223">
        <v>0</v>
      </c>
      <c r="AQ49" s="223">
        <f t="shared" si="37"/>
        <v>0</v>
      </c>
      <c r="AR49" s="213">
        <v>0</v>
      </c>
      <c r="AS49" s="213">
        <v>0</v>
      </c>
      <c r="AT49" s="213">
        <v>0</v>
      </c>
      <c r="AU49" s="213">
        <v>0</v>
      </c>
      <c r="AV49" s="213">
        <v>0</v>
      </c>
      <c r="AW49" s="223">
        <f t="shared" si="38"/>
        <v>0</v>
      </c>
      <c r="AX49" s="180"/>
      <c r="AY49" s="223">
        <v>0</v>
      </c>
      <c r="AZ49" s="223">
        <v>0</v>
      </c>
      <c r="BA49" s="223">
        <v>0</v>
      </c>
      <c r="BB49" s="223">
        <v>0</v>
      </c>
      <c r="BC49" s="223">
        <v>0</v>
      </c>
      <c r="BD49" s="223">
        <f t="shared" si="39"/>
        <v>0</v>
      </c>
      <c r="BE49" s="223">
        <v>0</v>
      </c>
      <c r="BF49" s="223">
        <v>0</v>
      </c>
      <c r="BG49" s="223">
        <v>0</v>
      </c>
      <c r="BH49" s="223">
        <v>0</v>
      </c>
      <c r="BI49" s="223">
        <f t="shared" si="40"/>
        <v>0</v>
      </c>
      <c r="BJ49" s="223">
        <v>0</v>
      </c>
      <c r="BK49" s="223">
        <v>0</v>
      </c>
      <c r="BL49" s="223">
        <v>0</v>
      </c>
      <c r="BM49" s="223">
        <v>0</v>
      </c>
      <c r="BN49" s="223">
        <f t="shared" si="41"/>
        <v>0</v>
      </c>
      <c r="BO49" s="213">
        <v>0</v>
      </c>
      <c r="BP49" s="213">
        <v>0</v>
      </c>
      <c r="BQ49" s="213">
        <v>0</v>
      </c>
      <c r="BR49" s="213">
        <v>0</v>
      </c>
      <c r="BS49" s="213">
        <v>0</v>
      </c>
      <c r="BT49" s="224">
        <f t="shared" si="42"/>
        <v>0</v>
      </c>
    </row>
    <row r="50" spans="2:72" ht="14.25" customHeight="1">
      <c r="B50" s="196">
        <f t="shared" si="0"/>
        <v>38</v>
      </c>
      <c r="C50" s="184"/>
      <c r="D50" s="207" t="s">
        <v>315</v>
      </c>
      <c r="E50" s="223">
        <v>0</v>
      </c>
      <c r="F50" s="223">
        <v>0</v>
      </c>
      <c r="G50" s="223">
        <v>0</v>
      </c>
      <c r="H50" s="223">
        <v>0</v>
      </c>
      <c r="I50" s="223">
        <v>0</v>
      </c>
      <c r="J50" s="223">
        <f t="shared" si="31"/>
        <v>0</v>
      </c>
      <c r="K50" s="223">
        <v>0</v>
      </c>
      <c r="L50" s="223">
        <v>0</v>
      </c>
      <c r="M50" s="223">
        <v>0</v>
      </c>
      <c r="N50" s="223">
        <v>0</v>
      </c>
      <c r="O50" s="223">
        <f t="shared" si="32"/>
        <v>0</v>
      </c>
      <c r="P50" s="223">
        <v>0</v>
      </c>
      <c r="Q50" s="223">
        <v>0</v>
      </c>
      <c r="R50" s="223">
        <v>0</v>
      </c>
      <c r="S50" s="223">
        <v>0</v>
      </c>
      <c r="T50" s="223">
        <f t="shared" si="33"/>
        <v>0</v>
      </c>
      <c r="U50" s="213">
        <v>0</v>
      </c>
      <c r="V50" s="213">
        <v>0</v>
      </c>
      <c r="W50" s="213">
        <v>0</v>
      </c>
      <c r="X50" s="213">
        <v>0</v>
      </c>
      <c r="Y50" s="213">
        <v>0</v>
      </c>
      <c r="Z50" s="223">
        <f t="shared" si="34"/>
        <v>0</v>
      </c>
      <c r="AA50" s="180"/>
      <c r="AB50" s="223">
        <v>0</v>
      </c>
      <c r="AC50" s="223">
        <v>0</v>
      </c>
      <c r="AD50" s="223">
        <v>0</v>
      </c>
      <c r="AE50" s="223">
        <v>0</v>
      </c>
      <c r="AF50" s="223">
        <v>0</v>
      </c>
      <c r="AG50" s="223">
        <f t="shared" si="35"/>
        <v>0</v>
      </c>
      <c r="AH50" s="223">
        <v>0</v>
      </c>
      <c r="AI50" s="223">
        <v>0</v>
      </c>
      <c r="AJ50" s="223">
        <v>0</v>
      </c>
      <c r="AK50" s="223">
        <v>0</v>
      </c>
      <c r="AL50" s="223">
        <f t="shared" si="36"/>
        <v>0</v>
      </c>
      <c r="AM50" s="223">
        <v>0</v>
      </c>
      <c r="AN50" s="223">
        <v>0</v>
      </c>
      <c r="AO50" s="223">
        <v>0</v>
      </c>
      <c r="AP50" s="223">
        <v>0</v>
      </c>
      <c r="AQ50" s="223">
        <f t="shared" si="37"/>
        <v>0</v>
      </c>
      <c r="AR50" s="213">
        <v>0</v>
      </c>
      <c r="AS50" s="213">
        <v>0</v>
      </c>
      <c r="AT50" s="213">
        <v>0</v>
      </c>
      <c r="AU50" s="213">
        <v>0</v>
      </c>
      <c r="AV50" s="213">
        <v>0</v>
      </c>
      <c r="AW50" s="223">
        <f t="shared" si="38"/>
        <v>0</v>
      </c>
      <c r="AX50" s="180"/>
      <c r="AY50" s="223">
        <v>0</v>
      </c>
      <c r="AZ50" s="223">
        <v>0</v>
      </c>
      <c r="BA50" s="223">
        <v>0</v>
      </c>
      <c r="BB50" s="223">
        <v>0</v>
      </c>
      <c r="BC50" s="223">
        <v>0</v>
      </c>
      <c r="BD50" s="223">
        <f t="shared" si="39"/>
        <v>0</v>
      </c>
      <c r="BE50" s="223">
        <v>0</v>
      </c>
      <c r="BF50" s="223">
        <v>0</v>
      </c>
      <c r="BG50" s="223">
        <v>0</v>
      </c>
      <c r="BH50" s="223">
        <v>0</v>
      </c>
      <c r="BI50" s="223">
        <f t="shared" si="40"/>
        <v>0</v>
      </c>
      <c r="BJ50" s="223">
        <v>0</v>
      </c>
      <c r="BK50" s="223">
        <v>0</v>
      </c>
      <c r="BL50" s="223">
        <v>0</v>
      </c>
      <c r="BM50" s="223">
        <v>0</v>
      </c>
      <c r="BN50" s="223">
        <f t="shared" si="41"/>
        <v>0</v>
      </c>
      <c r="BO50" s="213">
        <v>0</v>
      </c>
      <c r="BP50" s="213">
        <v>0</v>
      </c>
      <c r="BQ50" s="213">
        <v>0</v>
      </c>
      <c r="BR50" s="213">
        <v>0</v>
      </c>
      <c r="BS50" s="213">
        <v>0</v>
      </c>
      <c r="BT50" s="224">
        <f t="shared" si="42"/>
        <v>0</v>
      </c>
    </row>
    <row r="51" spans="2:72" ht="15">
      <c r="B51" s="196">
        <f t="shared" si="0"/>
        <v>39</v>
      </c>
      <c r="C51" s="184"/>
      <c r="D51" s="207" t="s">
        <v>316</v>
      </c>
      <c r="E51" s="223">
        <v>0</v>
      </c>
      <c r="F51" s="223">
        <v>0</v>
      </c>
      <c r="G51" s="223">
        <v>0</v>
      </c>
      <c r="H51" s="223">
        <v>0</v>
      </c>
      <c r="I51" s="223">
        <v>0</v>
      </c>
      <c r="J51" s="223">
        <f t="shared" si="31"/>
        <v>0</v>
      </c>
      <c r="K51" s="223">
        <v>0</v>
      </c>
      <c r="L51" s="223">
        <v>0</v>
      </c>
      <c r="M51" s="223">
        <v>0</v>
      </c>
      <c r="N51" s="223">
        <v>0</v>
      </c>
      <c r="O51" s="223">
        <f t="shared" si="32"/>
        <v>0</v>
      </c>
      <c r="P51" s="223">
        <v>0</v>
      </c>
      <c r="Q51" s="223">
        <v>0</v>
      </c>
      <c r="R51" s="223">
        <v>0</v>
      </c>
      <c r="S51" s="223">
        <v>0</v>
      </c>
      <c r="T51" s="223">
        <f t="shared" si="33"/>
        <v>0</v>
      </c>
      <c r="U51" s="213">
        <v>0</v>
      </c>
      <c r="V51" s="213">
        <v>0</v>
      </c>
      <c r="W51" s="213">
        <v>0</v>
      </c>
      <c r="X51" s="213">
        <v>0</v>
      </c>
      <c r="Y51" s="213">
        <v>0</v>
      </c>
      <c r="Z51" s="223">
        <f t="shared" si="34"/>
        <v>0</v>
      </c>
      <c r="AA51" s="180"/>
      <c r="AB51" s="223">
        <v>0</v>
      </c>
      <c r="AC51" s="223">
        <v>0</v>
      </c>
      <c r="AD51" s="223">
        <v>0</v>
      </c>
      <c r="AE51" s="223">
        <v>0</v>
      </c>
      <c r="AF51" s="223">
        <v>0</v>
      </c>
      <c r="AG51" s="223">
        <f t="shared" si="35"/>
        <v>0</v>
      </c>
      <c r="AH51" s="223">
        <v>0</v>
      </c>
      <c r="AI51" s="223">
        <v>0</v>
      </c>
      <c r="AJ51" s="223">
        <v>0</v>
      </c>
      <c r="AK51" s="223">
        <v>0</v>
      </c>
      <c r="AL51" s="223">
        <f t="shared" si="36"/>
        <v>0</v>
      </c>
      <c r="AM51" s="223">
        <v>0</v>
      </c>
      <c r="AN51" s="223">
        <v>0</v>
      </c>
      <c r="AO51" s="223">
        <v>0</v>
      </c>
      <c r="AP51" s="223">
        <v>0</v>
      </c>
      <c r="AQ51" s="223">
        <f t="shared" si="37"/>
        <v>0</v>
      </c>
      <c r="AR51" s="213">
        <v>0</v>
      </c>
      <c r="AS51" s="213">
        <v>0</v>
      </c>
      <c r="AT51" s="213">
        <v>0</v>
      </c>
      <c r="AU51" s="213">
        <v>0</v>
      </c>
      <c r="AV51" s="213">
        <v>0</v>
      </c>
      <c r="AW51" s="223">
        <f t="shared" si="38"/>
        <v>0</v>
      </c>
      <c r="AX51" s="180"/>
      <c r="AY51" s="223">
        <v>0</v>
      </c>
      <c r="AZ51" s="223">
        <v>0</v>
      </c>
      <c r="BA51" s="223">
        <v>0</v>
      </c>
      <c r="BB51" s="223">
        <v>0</v>
      </c>
      <c r="BC51" s="223">
        <v>0</v>
      </c>
      <c r="BD51" s="223">
        <f t="shared" si="39"/>
        <v>0</v>
      </c>
      <c r="BE51" s="223">
        <v>0</v>
      </c>
      <c r="BF51" s="223">
        <v>0</v>
      </c>
      <c r="BG51" s="223">
        <v>0</v>
      </c>
      <c r="BH51" s="223">
        <v>0</v>
      </c>
      <c r="BI51" s="223">
        <f t="shared" si="40"/>
        <v>0</v>
      </c>
      <c r="BJ51" s="223">
        <v>0</v>
      </c>
      <c r="BK51" s="223">
        <v>0</v>
      </c>
      <c r="BL51" s="223">
        <v>0</v>
      </c>
      <c r="BM51" s="223">
        <v>0</v>
      </c>
      <c r="BN51" s="223">
        <f t="shared" si="41"/>
        <v>0</v>
      </c>
      <c r="BO51" s="213">
        <v>0</v>
      </c>
      <c r="BP51" s="213">
        <v>0</v>
      </c>
      <c r="BQ51" s="213">
        <v>0</v>
      </c>
      <c r="BR51" s="213">
        <v>0</v>
      </c>
      <c r="BS51" s="213">
        <v>0</v>
      </c>
      <c r="BT51" s="224">
        <f t="shared" si="42"/>
        <v>0</v>
      </c>
    </row>
    <row r="52" spans="2:72" ht="14.25" customHeight="1">
      <c r="B52" s="196">
        <f t="shared" si="0"/>
        <v>40</v>
      </c>
      <c r="C52" s="184"/>
      <c r="D52" s="207" t="s">
        <v>317</v>
      </c>
      <c r="E52" s="223">
        <v>0</v>
      </c>
      <c r="F52" s="223">
        <v>0</v>
      </c>
      <c r="G52" s="223">
        <v>0</v>
      </c>
      <c r="H52" s="223">
        <v>0</v>
      </c>
      <c r="I52" s="223">
        <v>0</v>
      </c>
      <c r="J52" s="223">
        <f t="shared" si="31"/>
        <v>0</v>
      </c>
      <c r="K52" s="223">
        <v>0</v>
      </c>
      <c r="L52" s="223">
        <v>0</v>
      </c>
      <c r="M52" s="223">
        <v>0</v>
      </c>
      <c r="N52" s="223">
        <v>0</v>
      </c>
      <c r="O52" s="223">
        <f t="shared" si="32"/>
        <v>0</v>
      </c>
      <c r="P52" s="223">
        <v>0</v>
      </c>
      <c r="Q52" s="223">
        <v>0</v>
      </c>
      <c r="R52" s="223">
        <v>0</v>
      </c>
      <c r="S52" s="223">
        <v>0</v>
      </c>
      <c r="T52" s="223">
        <f t="shared" si="33"/>
        <v>0</v>
      </c>
      <c r="U52" s="213">
        <v>0</v>
      </c>
      <c r="V52" s="213">
        <v>0</v>
      </c>
      <c r="W52" s="213">
        <v>0</v>
      </c>
      <c r="X52" s="213">
        <v>0</v>
      </c>
      <c r="Y52" s="213">
        <v>0</v>
      </c>
      <c r="Z52" s="223">
        <f t="shared" si="34"/>
        <v>0</v>
      </c>
      <c r="AA52" s="180"/>
      <c r="AB52" s="223">
        <v>0</v>
      </c>
      <c r="AC52" s="223">
        <v>0</v>
      </c>
      <c r="AD52" s="223">
        <v>0</v>
      </c>
      <c r="AE52" s="223">
        <v>0</v>
      </c>
      <c r="AF52" s="223">
        <v>0</v>
      </c>
      <c r="AG52" s="223">
        <f t="shared" si="35"/>
        <v>0</v>
      </c>
      <c r="AH52" s="223">
        <v>0</v>
      </c>
      <c r="AI52" s="223">
        <v>0</v>
      </c>
      <c r="AJ52" s="223">
        <v>0</v>
      </c>
      <c r="AK52" s="223">
        <v>0</v>
      </c>
      <c r="AL52" s="223">
        <f t="shared" si="36"/>
        <v>0</v>
      </c>
      <c r="AM52" s="223">
        <v>0</v>
      </c>
      <c r="AN52" s="223">
        <v>0</v>
      </c>
      <c r="AO52" s="223">
        <v>0</v>
      </c>
      <c r="AP52" s="223">
        <v>0</v>
      </c>
      <c r="AQ52" s="223">
        <f t="shared" si="37"/>
        <v>0</v>
      </c>
      <c r="AR52" s="213">
        <v>0</v>
      </c>
      <c r="AS52" s="213">
        <v>0</v>
      </c>
      <c r="AT52" s="213">
        <v>0</v>
      </c>
      <c r="AU52" s="213">
        <v>0</v>
      </c>
      <c r="AV52" s="213">
        <v>0</v>
      </c>
      <c r="AW52" s="223">
        <f t="shared" si="38"/>
        <v>0</v>
      </c>
      <c r="AX52" s="180"/>
      <c r="AY52" s="223">
        <v>0</v>
      </c>
      <c r="AZ52" s="223">
        <v>0</v>
      </c>
      <c r="BA52" s="223">
        <v>0</v>
      </c>
      <c r="BB52" s="223">
        <v>0</v>
      </c>
      <c r="BC52" s="223">
        <v>0</v>
      </c>
      <c r="BD52" s="223">
        <f t="shared" si="39"/>
        <v>0</v>
      </c>
      <c r="BE52" s="223">
        <v>0</v>
      </c>
      <c r="BF52" s="223">
        <v>0</v>
      </c>
      <c r="BG52" s="223">
        <v>0</v>
      </c>
      <c r="BH52" s="223">
        <v>0</v>
      </c>
      <c r="BI52" s="223">
        <f t="shared" si="40"/>
        <v>0</v>
      </c>
      <c r="BJ52" s="223">
        <v>0</v>
      </c>
      <c r="BK52" s="223">
        <v>0</v>
      </c>
      <c r="BL52" s="223">
        <v>0</v>
      </c>
      <c r="BM52" s="223">
        <v>0</v>
      </c>
      <c r="BN52" s="223">
        <f t="shared" si="41"/>
        <v>0</v>
      </c>
      <c r="BO52" s="213">
        <v>0</v>
      </c>
      <c r="BP52" s="213">
        <v>0</v>
      </c>
      <c r="BQ52" s="213">
        <v>0</v>
      </c>
      <c r="BR52" s="213">
        <v>0</v>
      </c>
      <c r="BS52" s="213">
        <v>0</v>
      </c>
      <c r="BT52" s="224">
        <f t="shared" si="42"/>
        <v>0</v>
      </c>
    </row>
    <row r="53" spans="2:72" ht="15">
      <c r="B53" s="196">
        <f t="shared" si="0"/>
        <v>41</v>
      </c>
      <c r="C53" s="184"/>
      <c r="D53" s="207" t="s">
        <v>318</v>
      </c>
      <c r="E53" s="223">
        <v>0</v>
      </c>
      <c r="F53" s="223">
        <v>0</v>
      </c>
      <c r="G53" s="223">
        <v>0</v>
      </c>
      <c r="H53" s="223">
        <v>0</v>
      </c>
      <c r="I53" s="223">
        <v>0</v>
      </c>
      <c r="J53" s="223">
        <f t="shared" si="31"/>
        <v>0</v>
      </c>
      <c r="K53" s="223">
        <v>0</v>
      </c>
      <c r="L53" s="223">
        <v>0</v>
      </c>
      <c r="M53" s="223">
        <v>0</v>
      </c>
      <c r="N53" s="223">
        <v>0</v>
      </c>
      <c r="O53" s="223">
        <f t="shared" si="32"/>
        <v>0</v>
      </c>
      <c r="P53" s="223">
        <v>0</v>
      </c>
      <c r="Q53" s="223">
        <v>0</v>
      </c>
      <c r="R53" s="223">
        <v>0</v>
      </c>
      <c r="S53" s="223">
        <v>0</v>
      </c>
      <c r="T53" s="223">
        <f t="shared" si="33"/>
        <v>0</v>
      </c>
      <c r="U53" s="213">
        <v>0</v>
      </c>
      <c r="V53" s="213">
        <v>0</v>
      </c>
      <c r="W53" s="213">
        <v>0</v>
      </c>
      <c r="X53" s="213">
        <v>0</v>
      </c>
      <c r="Y53" s="213">
        <v>0</v>
      </c>
      <c r="Z53" s="223">
        <f t="shared" si="34"/>
        <v>0</v>
      </c>
      <c r="AA53" s="180"/>
      <c r="AB53" s="223">
        <v>0</v>
      </c>
      <c r="AC53" s="223">
        <v>0</v>
      </c>
      <c r="AD53" s="223">
        <v>0</v>
      </c>
      <c r="AE53" s="223">
        <v>0</v>
      </c>
      <c r="AF53" s="223">
        <v>0</v>
      </c>
      <c r="AG53" s="223">
        <f t="shared" si="35"/>
        <v>0</v>
      </c>
      <c r="AH53" s="223">
        <v>0</v>
      </c>
      <c r="AI53" s="223">
        <v>0</v>
      </c>
      <c r="AJ53" s="223">
        <v>0</v>
      </c>
      <c r="AK53" s="223">
        <v>0</v>
      </c>
      <c r="AL53" s="223">
        <f t="shared" si="36"/>
        <v>0</v>
      </c>
      <c r="AM53" s="223">
        <v>0</v>
      </c>
      <c r="AN53" s="223">
        <v>0</v>
      </c>
      <c r="AO53" s="223">
        <v>0</v>
      </c>
      <c r="AP53" s="223">
        <v>0</v>
      </c>
      <c r="AQ53" s="223">
        <f t="shared" si="37"/>
        <v>0</v>
      </c>
      <c r="AR53" s="213">
        <v>0</v>
      </c>
      <c r="AS53" s="213">
        <v>0</v>
      </c>
      <c r="AT53" s="213">
        <v>0</v>
      </c>
      <c r="AU53" s="213">
        <v>0</v>
      </c>
      <c r="AV53" s="213">
        <v>0</v>
      </c>
      <c r="AW53" s="223">
        <f t="shared" si="38"/>
        <v>0</v>
      </c>
      <c r="AX53" s="180"/>
      <c r="AY53" s="223">
        <v>0</v>
      </c>
      <c r="AZ53" s="223">
        <v>0</v>
      </c>
      <c r="BA53" s="223">
        <v>0</v>
      </c>
      <c r="BB53" s="223">
        <v>0</v>
      </c>
      <c r="BC53" s="223">
        <v>0</v>
      </c>
      <c r="BD53" s="223">
        <f t="shared" si="39"/>
        <v>0</v>
      </c>
      <c r="BE53" s="223">
        <v>0</v>
      </c>
      <c r="BF53" s="223">
        <v>0</v>
      </c>
      <c r="BG53" s="223">
        <v>0</v>
      </c>
      <c r="BH53" s="223">
        <v>0</v>
      </c>
      <c r="BI53" s="223">
        <f t="shared" si="40"/>
        <v>0</v>
      </c>
      <c r="BJ53" s="223">
        <v>0</v>
      </c>
      <c r="BK53" s="223">
        <v>0</v>
      </c>
      <c r="BL53" s="223">
        <v>0</v>
      </c>
      <c r="BM53" s="223">
        <v>0</v>
      </c>
      <c r="BN53" s="223">
        <f t="shared" si="41"/>
        <v>0</v>
      </c>
      <c r="BO53" s="213">
        <v>0</v>
      </c>
      <c r="BP53" s="213">
        <v>0</v>
      </c>
      <c r="BQ53" s="213">
        <v>0</v>
      </c>
      <c r="BR53" s="213">
        <v>0</v>
      </c>
      <c r="BS53" s="213">
        <v>0</v>
      </c>
      <c r="BT53" s="224">
        <f t="shared" si="42"/>
        <v>0</v>
      </c>
    </row>
    <row r="54" spans="2:72" ht="15">
      <c r="B54" s="196">
        <f t="shared" si="0"/>
        <v>42</v>
      </c>
      <c r="C54" s="184"/>
      <c r="D54" s="207" t="s">
        <v>319</v>
      </c>
      <c r="E54" s="223">
        <v>0</v>
      </c>
      <c r="F54" s="223">
        <v>0</v>
      </c>
      <c r="G54" s="223">
        <v>0</v>
      </c>
      <c r="H54" s="223">
        <v>0</v>
      </c>
      <c r="I54" s="223">
        <v>0</v>
      </c>
      <c r="J54" s="223">
        <f t="shared" si="31"/>
        <v>0</v>
      </c>
      <c r="K54" s="223">
        <v>0</v>
      </c>
      <c r="L54" s="223">
        <v>0</v>
      </c>
      <c r="M54" s="223">
        <v>0</v>
      </c>
      <c r="N54" s="223">
        <v>0</v>
      </c>
      <c r="O54" s="223">
        <f t="shared" si="32"/>
        <v>0</v>
      </c>
      <c r="P54" s="223">
        <v>0</v>
      </c>
      <c r="Q54" s="223">
        <v>0</v>
      </c>
      <c r="R54" s="223">
        <v>0</v>
      </c>
      <c r="S54" s="223">
        <v>0</v>
      </c>
      <c r="T54" s="223">
        <f t="shared" si="33"/>
        <v>0</v>
      </c>
      <c r="U54" s="213">
        <v>0</v>
      </c>
      <c r="V54" s="213">
        <v>0</v>
      </c>
      <c r="W54" s="213">
        <v>0</v>
      </c>
      <c r="X54" s="213">
        <v>0</v>
      </c>
      <c r="Y54" s="213">
        <v>0</v>
      </c>
      <c r="Z54" s="223">
        <f t="shared" si="34"/>
        <v>0</v>
      </c>
      <c r="AA54" s="180"/>
      <c r="AB54" s="223">
        <v>0</v>
      </c>
      <c r="AC54" s="223">
        <v>0</v>
      </c>
      <c r="AD54" s="223">
        <v>0</v>
      </c>
      <c r="AE54" s="223">
        <v>0</v>
      </c>
      <c r="AF54" s="223">
        <v>0</v>
      </c>
      <c r="AG54" s="223">
        <f t="shared" si="35"/>
        <v>0</v>
      </c>
      <c r="AH54" s="223">
        <v>0</v>
      </c>
      <c r="AI54" s="223">
        <v>0</v>
      </c>
      <c r="AJ54" s="223">
        <v>0</v>
      </c>
      <c r="AK54" s="223">
        <v>0</v>
      </c>
      <c r="AL54" s="223">
        <f t="shared" si="36"/>
        <v>0</v>
      </c>
      <c r="AM54" s="223">
        <v>0</v>
      </c>
      <c r="AN54" s="223">
        <v>0</v>
      </c>
      <c r="AO54" s="223">
        <v>0</v>
      </c>
      <c r="AP54" s="223">
        <v>0</v>
      </c>
      <c r="AQ54" s="223">
        <f t="shared" si="37"/>
        <v>0</v>
      </c>
      <c r="AR54" s="213">
        <v>0</v>
      </c>
      <c r="AS54" s="213">
        <v>0</v>
      </c>
      <c r="AT54" s="213">
        <v>0</v>
      </c>
      <c r="AU54" s="213">
        <v>0</v>
      </c>
      <c r="AV54" s="213">
        <v>0</v>
      </c>
      <c r="AW54" s="223">
        <f t="shared" si="38"/>
        <v>0</v>
      </c>
      <c r="AX54" s="180"/>
      <c r="AY54" s="223">
        <v>0</v>
      </c>
      <c r="AZ54" s="223">
        <v>0</v>
      </c>
      <c r="BA54" s="223">
        <v>0</v>
      </c>
      <c r="BB54" s="223">
        <v>0</v>
      </c>
      <c r="BC54" s="223">
        <v>0</v>
      </c>
      <c r="BD54" s="223">
        <f t="shared" si="39"/>
        <v>0</v>
      </c>
      <c r="BE54" s="223">
        <v>0</v>
      </c>
      <c r="BF54" s="223">
        <v>0</v>
      </c>
      <c r="BG54" s="223">
        <v>0</v>
      </c>
      <c r="BH54" s="223">
        <v>0</v>
      </c>
      <c r="BI54" s="223">
        <f t="shared" si="40"/>
        <v>0</v>
      </c>
      <c r="BJ54" s="223">
        <v>0</v>
      </c>
      <c r="BK54" s="223">
        <v>0</v>
      </c>
      <c r="BL54" s="223">
        <v>0</v>
      </c>
      <c r="BM54" s="223">
        <v>0</v>
      </c>
      <c r="BN54" s="223">
        <f t="shared" si="41"/>
        <v>0</v>
      </c>
      <c r="BO54" s="213">
        <v>0</v>
      </c>
      <c r="BP54" s="213">
        <v>0</v>
      </c>
      <c r="BQ54" s="213">
        <v>0</v>
      </c>
      <c r="BR54" s="213">
        <v>0</v>
      </c>
      <c r="BS54" s="213">
        <v>0</v>
      </c>
      <c r="BT54" s="224">
        <f t="shared" si="42"/>
        <v>0</v>
      </c>
    </row>
    <row r="55" spans="2:72" ht="14.25" customHeight="1">
      <c r="B55" s="196">
        <f t="shared" si="0"/>
        <v>43</v>
      </c>
      <c r="C55" s="184"/>
      <c r="D55" s="207" t="s">
        <v>320</v>
      </c>
      <c r="E55" s="223">
        <v>0</v>
      </c>
      <c r="F55" s="223">
        <v>0</v>
      </c>
      <c r="G55" s="223">
        <v>0</v>
      </c>
      <c r="H55" s="223">
        <v>0</v>
      </c>
      <c r="I55" s="223">
        <v>0</v>
      </c>
      <c r="J55" s="223">
        <f t="shared" si="31"/>
        <v>0</v>
      </c>
      <c r="K55" s="223">
        <v>0</v>
      </c>
      <c r="L55" s="223">
        <v>0</v>
      </c>
      <c r="M55" s="223">
        <v>0</v>
      </c>
      <c r="N55" s="223">
        <v>0</v>
      </c>
      <c r="O55" s="223">
        <f t="shared" si="32"/>
        <v>0</v>
      </c>
      <c r="P55" s="223">
        <v>0</v>
      </c>
      <c r="Q55" s="223">
        <v>0</v>
      </c>
      <c r="R55" s="223">
        <v>0</v>
      </c>
      <c r="S55" s="223">
        <v>0</v>
      </c>
      <c r="T55" s="223">
        <f t="shared" si="33"/>
        <v>0</v>
      </c>
      <c r="U55" s="213">
        <v>0</v>
      </c>
      <c r="V55" s="213">
        <v>0</v>
      </c>
      <c r="W55" s="213">
        <v>0</v>
      </c>
      <c r="X55" s="213">
        <v>0</v>
      </c>
      <c r="Y55" s="213">
        <v>0</v>
      </c>
      <c r="Z55" s="223">
        <f t="shared" si="34"/>
        <v>0</v>
      </c>
      <c r="AA55" s="180"/>
      <c r="AB55" s="223">
        <v>0</v>
      </c>
      <c r="AC55" s="223">
        <v>0</v>
      </c>
      <c r="AD55" s="223">
        <v>0</v>
      </c>
      <c r="AE55" s="223">
        <v>0</v>
      </c>
      <c r="AF55" s="223">
        <v>0</v>
      </c>
      <c r="AG55" s="223">
        <f t="shared" si="35"/>
        <v>0</v>
      </c>
      <c r="AH55" s="223">
        <v>0</v>
      </c>
      <c r="AI55" s="223">
        <v>0</v>
      </c>
      <c r="AJ55" s="223">
        <v>0</v>
      </c>
      <c r="AK55" s="223">
        <v>0</v>
      </c>
      <c r="AL55" s="223">
        <f t="shared" si="36"/>
        <v>0</v>
      </c>
      <c r="AM55" s="223">
        <v>0</v>
      </c>
      <c r="AN55" s="223">
        <v>0</v>
      </c>
      <c r="AO55" s="223">
        <v>0</v>
      </c>
      <c r="AP55" s="223">
        <v>0</v>
      </c>
      <c r="AQ55" s="223">
        <f t="shared" si="37"/>
        <v>0</v>
      </c>
      <c r="AR55" s="213">
        <v>0</v>
      </c>
      <c r="AS55" s="213">
        <v>0</v>
      </c>
      <c r="AT55" s="213">
        <v>0</v>
      </c>
      <c r="AU55" s="213">
        <v>0</v>
      </c>
      <c r="AV55" s="213">
        <v>0</v>
      </c>
      <c r="AW55" s="223">
        <f t="shared" si="38"/>
        <v>0</v>
      </c>
      <c r="AX55" s="180"/>
      <c r="AY55" s="223">
        <v>0</v>
      </c>
      <c r="AZ55" s="223">
        <v>0</v>
      </c>
      <c r="BA55" s="223">
        <v>0</v>
      </c>
      <c r="BB55" s="223">
        <v>0</v>
      </c>
      <c r="BC55" s="223">
        <v>0</v>
      </c>
      <c r="BD55" s="223">
        <f t="shared" si="39"/>
        <v>0</v>
      </c>
      <c r="BE55" s="223">
        <v>0</v>
      </c>
      <c r="BF55" s="223">
        <v>0</v>
      </c>
      <c r="BG55" s="223">
        <v>0</v>
      </c>
      <c r="BH55" s="223">
        <v>0</v>
      </c>
      <c r="BI55" s="223">
        <f t="shared" si="40"/>
        <v>0</v>
      </c>
      <c r="BJ55" s="223">
        <v>0</v>
      </c>
      <c r="BK55" s="223">
        <v>0</v>
      </c>
      <c r="BL55" s="223">
        <v>0</v>
      </c>
      <c r="BM55" s="223">
        <v>0</v>
      </c>
      <c r="BN55" s="223">
        <f t="shared" si="41"/>
        <v>0</v>
      </c>
      <c r="BO55" s="213">
        <v>0</v>
      </c>
      <c r="BP55" s="213">
        <v>0</v>
      </c>
      <c r="BQ55" s="213">
        <v>0</v>
      </c>
      <c r="BR55" s="213">
        <v>0</v>
      </c>
      <c r="BS55" s="213">
        <v>0</v>
      </c>
      <c r="BT55" s="224">
        <f t="shared" si="42"/>
        <v>0</v>
      </c>
    </row>
    <row r="56" spans="2:72" ht="14.25" customHeight="1">
      <c r="B56" s="196">
        <f t="shared" si="0"/>
        <v>44</v>
      </c>
      <c r="C56" s="184"/>
      <c r="D56" s="207" t="s">
        <v>321</v>
      </c>
      <c r="E56" s="223">
        <v>0</v>
      </c>
      <c r="F56" s="223">
        <v>0</v>
      </c>
      <c r="G56" s="223">
        <v>0</v>
      </c>
      <c r="H56" s="223">
        <v>0</v>
      </c>
      <c r="I56" s="223">
        <v>0</v>
      </c>
      <c r="J56" s="223">
        <f t="shared" si="31"/>
        <v>0</v>
      </c>
      <c r="K56" s="223">
        <v>0</v>
      </c>
      <c r="L56" s="223">
        <v>0</v>
      </c>
      <c r="M56" s="223">
        <v>0</v>
      </c>
      <c r="N56" s="223">
        <v>0</v>
      </c>
      <c r="O56" s="223">
        <f t="shared" si="32"/>
        <v>0</v>
      </c>
      <c r="P56" s="223">
        <v>0</v>
      </c>
      <c r="Q56" s="223">
        <v>0</v>
      </c>
      <c r="R56" s="223">
        <v>0</v>
      </c>
      <c r="S56" s="223">
        <v>0</v>
      </c>
      <c r="T56" s="223">
        <f t="shared" si="33"/>
        <v>0</v>
      </c>
      <c r="U56" s="213">
        <v>0</v>
      </c>
      <c r="V56" s="213">
        <v>0</v>
      </c>
      <c r="W56" s="213">
        <v>0</v>
      </c>
      <c r="X56" s="213">
        <v>0</v>
      </c>
      <c r="Y56" s="213">
        <v>0</v>
      </c>
      <c r="Z56" s="223">
        <f t="shared" si="34"/>
        <v>0</v>
      </c>
      <c r="AA56" s="180"/>
      <c r="AB56" s="223">
        <v>0</v>
      </c>
      <c r="AC56" s="223">
        <v>0</v>
      </c>
      <c r="AD56" s="223">
        <v>0</v>
      </c>
      <c r="AE56" s="223">
        <v>0</v>
      </c>
      <c r="AF56" s="223">
        <v>0</v>
      </c>
      <c r="AG56" s="223">
        <f t="shared" si="35"/>
        <v>0</v>
      </c>
      <c r="AH56" s="223">
        <v>0</v>
      </c>
      <c r="AI56" s="223">
        <v>0</v>
      </c>
      <c r="AJ56" s="223">
        <v>0</v>
      </c>
      <c r="AK56" s="223">
        <v>0</v>
      </c>
      <c r="AL56" s="223">
        <f t="shared" si="36"/>
        <v>0</v>
      </c>
      <c r="AM56" s="223">
        <v>0</v>
      </c>
      <c r="AN56" s="223">
        <v>0</v>
      </c>
      <c r="AO56" s="223">
        <v>0</v>
      </c>
      <c r="AP56" s="223">
        <v>0</v>
      </c>
      <c r="AQ56" s="223">
        <f t="shared" si="37"/>
        <v>0</v>
      </c>
      <c r="AR56" s="213">
        <v>0</v>
      </c>
      <c r="AS56" s="213">
        <v>0</v>
      </c>
      <c r="AT56" s="213">
        <v>0</v>
      </c>
      <c r="AU56" s="213">
        <v>0</v>
      </c>
      <c r="AV56" s="213">
        <v>0</v>
      </c>
      <c r="AW56" s="223">
        <f t="shared" si="38"/>
        <v>0</v>
      </c>
      <c r="AX56" s="180"/>
      <c r="AY56" s="223">
        <v>0</v>
      </c>
      <c r="AZ56" s="223">
        <v>0</v>
      </c>
      <c r="BA56" s="223">
        <v>0</v>
      </c>
      <c r="BB56" s="223">
        <v>0</v>
      </c>
      <c r="BC56" s="223">
        <v>0</v>
      </c>
      <c r="BD56" s="223">
        <f t="shared" si="39"/>
        <v>0</v>
      </c>
      <c r="BE56" s="223">
        <v>0</v>
      </c>
      <c r="BF56" s="223">
        <v>0</v>
      </c>
      <c r="BG56" s="223">
        <v>0</v>
      </c>
      <c r="BH56" s="223">
        <v>0</v>
      </c>
      <c r="BI56" s="223">
        <f t="shared" si="40"/>
        <v>0</v>
      </c>
      <c r="BJ56" s="223">
        <v>0</v>
      </c>
      <c r="BK56" s="223">
        <v>0</v>
      </c>
      <c r="BL56" s="223">
        <v>0</v>
      </c>
      <c r="BM56" s="223">
        <v>0</v>
      </c>
      <c r="BN56" s="223">
        <f t="shared" si="41"/>
        <v>0</v>
      </c>
      <c r="BO56" s="213">
        <v>0</v>
      </c>
      <c r="BP56" s="213">
        <v>0</v>
      </c>
      <c r="BQ56" s="213">
        <v>0</v>
      </c>
      <c r="BR56" s="213">
        <v>0</v>
      </c>
      <c r="BS56" s="213">
        <v>0</v>
      </c>
      <c r="BT56" s="224">
        <f t="shared" si="42"/>
        <v>0</v>
      </c>
    </row>
    <row r="57" spans="2:72" ht="14.25" customHeight="1">
      <c r="B57" s="196">
        <f t="shared" si="0"/>
        <v>45</v>
      </c>
      <c r="C57" s="184"/>
      <c r="D57" s="207" t="s">
        <v>322</v>
      </c>
      <c r="E57" s="223">
        <v>0</v>
      </c>
      <c r="F57" s="223">
        <v>0</v>
      </c>
      <c r="G57" s="223">
        <v>0</v>
      </c>
      <c r="H57" s="223">
        <v>0</v>
      </c>
      <c r="I57" s="223">
        <v>0</v>
      </c>
      <c r="J57" s="223">
        <f t="shared" si="31"/>
        <v>0</v>
      </c>
      <c r="K57" s="223">
        <v>0</v>
      </c>
      <c r="L57" s="223">
        <v>0</v>
      </c>
      <c r="M57" s="223">
        <v>0</v>
      </c>
      <c r="N57" s="223">
        <v>0</v>
      </c>
      <c r="O57" s="223">
        <f t="shared" si="32"/>
        <v>0</v>
      </c>
      <c r="P57" s="223">
        <v>0</v>
      </c>
      <c r="Q57" s="223">
        <v>0</v>
      </c>
      <c r="R57" s="223">
        <v>0</v>
      </c>
      <c r="S57" s="223">
        <v>0</v>
      </c>
      <c r="T57" s="223">
        <f t="shared" si="33"/>
        <v>0</v>
      </c>
      <c r="U57" s="213">
        <v>0</v>
      </c>
      <c r="V57" s="213">
        <v>0</v>
      </c>
      <c r="W57" s="213">
        <v>0</v>
      </c>
      <c r="X57" s="213">
        <v>0</v>
      </c>
      <c r="Y57" s="213">
        <v>0</v>
      </c>
      <c r="Z57" s="223">
        <f t="shared" si="34"/>
        <v>0</v>
      </c>
      <c r="AA57" s="180"/>
      <c r="AB57" s="223">
        <v>0</v>
      </c>
      <c r="AC57" s="223">
        <v>0</v>
      </c>
      <c r="AD57" s="223">
        <v>0</v>
      </c>
      <c r="AE57" s="223">
        <v>0</v>
      </c>
      <c r="AF57" s="223">
        <v>0</v>
      </c>
      <c r="AG57" s="223">
        <f t="shared" si="35"/>
        <v>0</v>
      </c>
      <c r="AH57" s="223">
        <v>0</v>
      </c>
      <c r="AI57" s="223">
        <v>0</v>
      </c>
      <c r="AJ57" s="223">
        <v>0</v>
      </c>
      <c r="AK57" s="223">
        <v>0</v>
      </c>
      <c r="AL57" s="223">
        <f t="shared" si="36"/>
        <v>0</v>
      </c>
      <c r="AM57" s="223">
        <v>0</v>
      </c>
      <c r="AN57" s="223">
        <v>0</v>
      </c>
      <c r="AO57" s="223">
        <v>0</v>
      </c>
      <c r="AP57" s="223">
        <v>0</v>
      </c>
      <c r="AQ57" s="223">
        <f t="shared" si="37"/>
        <v>0</v>
      </c>
      <c r="AR57" s="213">
        <v>0</v>
      </c>
      <c r="AS57" s="213">
        <v>0</v>
      </c>
      <c r="AT57" s="213">
        <v>0</v>
      </c>
      <c r="AU57" s="213">
        <v>0</v>
      </c>
      <c r="AV57" s="213">
        <v>0</v>
      </c>
      <c r="AW57" s="223">
        <f t="shared" si="38"/>
        <v>0</v>
      </c>
      <c r="AX57" s="180"/>
      <c r="AY57" s="223">
        <v>0</v>
      </c>
      <c r="AZ57" s="223">
        <v>0</v>
      </c>
      <c r="BA57" s="223">
        <v>0</v>
      </c>
      <c r="BB57" s="223">
        <v>0</v>
      </c>
      <c r="BC57" s="223">
        <v>0</v>
      </c>
      <c r="BD57" s="223">
        <f t="shared" si="39"/>
        <v>0</v>
      </c>
      <c r="BE57" s="223">
        <v>0</v>
      </c>
      <c r="BF57" s="223">
        <v>0</v>
      </c>
      <c r="BG57" s="223">
        <v>0</v>
      </c>
      <c r="BH57" s="223">
        <v>0</v>
      </c>
      <c r="BI57" s="223">
        <f t="shared" si="40"/>
        <v>0</v>
      </c>
      <c r="BJ57" s="223">
        <v>0</v>
      </c>
      <c r="BK57" s="223">
        <v>0</v>
      </c>
      <c r="BL57" s="223">
        <v>0</v>
      </c>
      <c r="BM57" s="223">
        <v>0</v>
      </c>
      <c r="BN57" s="223">
        <f t="shared" si="41"/>
        <v>0</v>
      </c>
      <c r="BO57" s="213">
        <v>0</v>
      </c>
      <c r="BP57" s="213">
        <v>0</v>
      </c>
      <c r="BQ57" s="213">
        <v>0</v>
      </c>
      <c r="BR57" s="213">
        <v>0</v>
      </c>
      <c r="BS57" s="213">
        <v>0</v>
      </c>
      <c r="BT57" s="224">
        <f t="shared" si="42"/>
        <v>0</v>
      </c>
    </row>
    <row r="58" spans="2:72" ht="14.25" customHeight="1">
      <c r="B58" s="196">
        <f t="shared" si="0"/>
        <v>46</v>
      </c>
      <c r="C58" s="184"/>
      <c r="D58" s="207" t="s">
        <v>323</v>
      </c>
      <c r="E58" s="223">
        <v>0</v>
      </c>
      <c r="F58" s="223">
        <v>0</v>
      </c>
      <c r="G58" s="223">
        <v>0</v>
      </c>
      <c r="H58" s="223">
        <v>0</v>
      </c>
      <c r="I58" s="223">
        <v>0</v>
      </c>
      <c r="J58" s="223">
        <f t="shared" si="31"/>
        <v>0</v>
      </c>
      <c r="K58" s="223">
        <v>0</v>
      </c>
      <c r="L58" s="223">
        <v>0</v>
      </c>
      <c r="M58" s="223">
        <v>0</v>
      </c>
      <c r="N58" s="223">
        <v>0</v>
      </c>
      <c r="O58" s="223">
        <f t="shared" si="32"/>
        <v>0</v>
      </c>
      <c r="P58" s="223">
        <v>0</v>
      </c>
      <c r="Q58" s="223">
        <v>0</v>
      </c>
      <c r="R58" s="223">
        <v>0</v>
      </c>
      <c r="S58" s="223">
        <v>0</v>
      </c>
      <c r="T58" s="223">
        <f t="shared" si="33"/>
        <v>0</v>
      </c>
      <c r="U58" s="213">
        <v>0</v>
      </c>
      <c r="V58" s="213">
        <v>0</v>
      </c>
      <c r="W58" s="213">
        <v>0</v>
      </c>
      <c r="X58" s="213">
        <v>0</v>
      </c>
      <c r="Y58" s="213">
        <v>0</v>
      </c>
      <c r="Z58" s="223">
        <f t="shared" si="34"/>
        <v>0</v>
      </c>
      <c r="AA58" s="180"/>
      <c r="AB58" s="223">
        <v>0</v>
      </c>
      <c r="AC58" s="223">
        <v>0</v>
      </c>
      <c r="AD58" s="223">
        <v>0</v>
      </c>
      <c r="AE58" s="223">
        <v>0</v>
      </c>
      <c r="AF58" s="223">
        <v>0</v>
      </c>
      <c r="AG58" s="223">
        <f t="shared" si="35"/>
        <v>0</v>
      </c>
      <c r="AH58" s="223">
        <v>0</v>
      </c>
      <c r="AI58" s="223">
        <v>0</v>
      </c>
      <c r="AJ58" s="223">
        <v>0</v>
      </c>
      <c r="AK58" s="223">
        <v>0</v>
      </c>
      <c r="AL58" s="223">
        <f t="shared" si="36"/>
        <v>0</v>
      </c>
      <c r="AM58" s="223">
        <v>0</v>
      </c>
      <c r="AN58" s="223">
        <v>0</v>
      </c>
      <c r="AO58" s="223">
        <v>0</v>
      </c>
      <c r="AP58" s="223">
        <v>0</v>
      </c>
      <c r="AQ58" s="223">
        <f t="shared" si="37"/>
        <v>0</v>
      </c>
      <c r="AR58" s="213">
        <v>0</v>
      </c>
      <c r="AS58" s="213">
        <v>0</v>
      </c>
      <c r="AT58" s="213">
        <v>0</v>
      </c>
      <c r="AU58" s="213">
        <v>0</v>
      </c>
      <c r="AV58" s="213">
        <v>0</v>
      </c>
      <c r="AW58" s="223">
        <f t="shared" si="38"/>
        <v>0</v>
      </c>
      <c r="AX58" s="180"/>
      <c r="AY58" s="223">
        <v>0</v>
      </c>
      <c r="AZ58" s="223">
        <v>0</v>
      </c>
      <c r="BA58" s="223">
        <v>0</v>
      </c>
      <c r="BB58" s="223">
        <v>0</v>
      </c>
      <c r="BC58" s="223">
        <v>0</v>
      </c>
      <c r="BD58" s="223">
        <f t="shared" si="39"/>
        <v>0</v>
      </c>
      <c r="BE58" s="223">
        <v>0</v>
      </c>
      <c r="BF58" s="223">
        <v>0</v>
      </c>
      <c r="BG58" s="223">
        <v>0</v>
      </c>
      <c r="BH58" s="223">
        <v>0</v>
      </c>
      <c r="BI58" s="223">
        <f t="shared" si="40"/>
        <v>0</v>
      </c>
      <c r="BJ58" s="223">
        <v>0</v>
      </c>
      <c r="BK58" s="223">
        <v>0</v>
      </c>
      <c r="BL58" s="223">
        <v>0</v>
      </c>
      <c r="BM58" s="223">
        <v>0</v>
      </c>
      <c r="BN58" s="223">
        <f t="shared" si="41"/>
        <v>0</v>
      </c>
      <c r="BO58" s="213">
        <v>0</v>
      </c>
      <c r="BP58" s="213">
        <v>0</v>
      </c>
      <c r="BQ58" s="213">
        <v>0</v>
      </c>
      <c r="BR58" s="213">
        <v>0</v>
      </c>
      <c r="BS58" s="213">
        <v>0</v>
      </c>
      <c r="BT58" s="224">
        <f t="shared" si="42"/>
        <v>0</v>
      </c>
    </row>
    <row r="59" spans="2:72" ht="14.25" customHeight="1">
      <c r="B59" s="196">
        <f t="shared" si="0"/>
        <v>47</v>
      </c>
      <c r="C59" s="184"/>
      <c r="D59" s="225" t="s">
        <v>324</v>
      </c>
      <c r="E59" s="226">
        <f>SUM(E40:E58)</f>
        <v>0</v>
      </c>
      <c r="F59" s="226">
        <f t="shared" ref="F59:Z59" si="43">SUM(F40:F58)</f>
        <v>0</v>
      </c>
      <c r="G59" s="226">
        <f t="shared" si="43"/>
        <v>0</v>
      </c>
      <c r="H59" s="226">
        <f t="shared" si="43"/>
        <v>0</v>
      </c>
      <c r="I59" s="226">
        <f t="shared" si="43"/>
        <v>0</v>
      </c>
      <c r="J59" s="226">
        <f t="shared" si="43"/>
        <v>0</v>
      </c>
      <c r="K59" s="226">
        <f t="shared" si="43"/>
        <v>0</v>
      </c>
      <c r="L59" s="226">
        <f t="shared" si="43"/>
        <v>0</v>
      </c>
      <c r="M59" s="226">
        <f t="shared" si="43"/>
        <v>0</v>
      </c>
      <c r="N59" s="226">
        <f t="shared" si="43"/>
        <v>0</v>
      </c>
      <c r="O59" s="226">
        <f t="shared" si="43"/>
        <v>0</v>
      </c>
      <c r="P59" s="226">
        <f t="shared" si="43"/>
        <v>0</v>
      </c>
      <c r="Q59" s="226">
        <f t="shared" si="43"/>
        <v>0</v>
      </c>
      <c r="R59" s="226">
        <f t="shared" si="43"/>
        <v>0</v>
      </c>
      <c r="S59" s="226">
        <f t="shared" si="43"/>
        <v>0</v>
      </c>
      <c r="T59" s="226">
        <f t="shared" si="43"/>
        <v>0</v>
      </c>
      <c r="U59" s="227">
        <f t="shared" si="43"/>
        <v>0</v>
      </c>
      <c r="V59" s="227">
        <f t="shared" si="43"/>
        <v>0</v>
      </c>
      <c r="W59" s="227">
        <f t="shared" si="43"/>
        <v>0</v>
      </c>
      <c r="X59" s="227">
        <f t="shared" si="43"/>
        <v>0</v>
      </c>
      <c r="Y59" s="227">
        <f t="shared" si="43"/>
        <v>0</v>
      </c>
      <c r="Z59" s="226">
        <f t="shared" si="43"/>
        <v>0</v>
      </c>
      <c r="AA59" s="228"/>
      <c r="AB59" s="226">
        <f>SUM(AB40:AB58)</f>
        <v>0</v>
      </c>
      <c r="AC59" s="226">
        <f t="shared" ref="AC59:AW59" si="44">SUM(AC40:AC58)</f>
        <v>0</v>
      </c>
      <c r="AD59" s="226">
        <f t="shared" si="44"/>
        <v>0</v>
      </c>
      <c r="AE59" s="226">
        <f t="shared" si="44"/>
        <v>0</v>
      </c>
      <c r="AF59" s="226">
        <f t="shared" si="44"/>
        <v>0</v>
      </c>
      <c r="AG59" s="226">
        <f t="shared" si="44"/>
        <v>0</v>
      </c>
      <c r="AH59" s="226">
        <f t="shared" si="44"/>
        <v>0</v>
      </c>
      <c r="AI59" s="226">
        <f t="shared" si="44"/>
        <v>0</v>
      </c>
      <c r="AJ59" s="226">
        <f t="shared" si="44"/>
        <v>0</v>
      </c>
      <c r="AK59" s="226">
        <f t="shared" si="44"/>
        <v>0</v>
      </c>
      <c r="AL59" s="226">
        <f t="shared" si="44"/>
        <v>0</v>
      </c>
      <c r="AM59" s="226">
        <f t="shared" si="44"/>
        <v>0</v>
      </c>
      <c r="AN59" s="226">
        <f t="shared" si="44"/>
        <v>0</v>
      </c>
      <c r="AO59" s="226">
        <f t="shared" si="44"/>
        <v>0</v>
      </c>
      <c r="AP59" s="226">
        <f t="shared" si="44"/>
        <v>0</v>
      </c>
      <c r="AQ59" s="226">
        <f t="shared" si="44"/>
        <v>0</v>
      </c>
      <c r="AR59" s="227">
        <f t="shared" si="44"/>
        <v>0</v>
      </c>
      <c r="AS59" s="227">
        <f t="shared" si="44"/>
        <v>0</v>
      </c>
      <c r="AT59" s="227">
        <f t="shared" si="44"/>
        <v>0</v>
      </c>
      <c r="AU59" s="227">
        <f t="shared" si="44"/>
        <v>0</v>
      </c>
      <c r="AV59" s="227">
        <f t="shared" si="44"/>
        <v>0</v>
      </c>
      <c r="AW59" s="226">
        <f t="shared" si="44"/>
        <v>0</v>
      </c>
      <c r="AX59" s="228"/>
      <c r="AY59" s="226">
        <f>SUM(AY40:AY58)</f>
        <v>0</v>
      </c>
      <c r="AZ59" s="226">
        <f t="shared" ref="AZ59:BT59" si="45">SUM(AZ40:AZ58)</f>
        <v>0</v>
      </c>
      <c r="BA59" s="226">
        <f t="shared" si="45"/>
        <v>0</v>
      </c>
      <c r="BB59" s="226">
        <f t="shared" si="45"/>
        <v>0</v>
      </c>
      <c r="BC59" s="226">
        <f t="shared" si="45"/>
        <v>0</v>
      </c>
      <c r="BD59" s="226">
        <f t="shared" si="45"/>
        <v>0</v>
      </c>
      <c r="BE59" s="226">
        <f t="shared" si="45"/>
        <v>0</v>
      </c>
      <c r="BF59" s="226">
        <f t="shared" si="45"/>
        <v>0</v>
      </c>
      <c r="BG59" s="226">
        <f t="shared" si="45"/>
        <v>0</v>
      </c>
      <c r="BH59" s="226">
        <f t="shared" si="45"/>
        <v>0</v>
      </c>
      <c r="BI59" s="226">
        <f t="shared" si="45"/>
        <v>0</v>
      </c>
      <c r="BJ59" s="226">
        <f t="shared" si="45"/>
        <v>0</v>
      </c>
      <c r="BK59" s="226">
        <f t="shared" si="45"/>
        <v>0</v>
      </c>
      <c r="BL59" s="226">
        <f t="shared" si="45"/>
        <v>0</v>
      </c>
      <c r="BM59" s="226">
        <f t="shared" si="45"/>
        <v>0</v>
      </c>
      <c r="BN59" s="226">
        <f t="shared" si="45"/>
        <v>0</v>
      </c>
      <c r="BO59" s="227">
        <f t="shared" si="45"/>
        <v>0</v>
      </c>
      <c r="BP59" s="227">
        <f t="shared" si="45"/>
        <v>0</v>
      </c>
      <c r="BQ59" s="227">
        <f t="shared" si="45"/>
        <v>0</v>
      </c>
      <c r="BR59" s="227">
        <f t="shared" si="45"/>
        <v>0</v>
      </c>
      <c r="BS59" s="227">
        <f t="shared" si="45"/>
        <v>0</v>
      </c>
      <c r="BT59" s="229">
        <f t="shared" si="45"/>
        <v>0</v>
      </c>
    </row>
    <row r="60" spans="2:72" ht="15">
      <c r="B60" s="196">
        <f t="shared" si="0"/>
        <v>48</v>
      </c>
      <c r="C60" s="184"/>
      <c r="D60" s="225" t="s">
        <v>325</v>
      </c>
      <c r="E60" s="226">
        <f>E29+E37+E59</f>
        <v>0</v>
      </c>
      <c r="F60" s="226"/>
      <c r="G60" s="226"/>
      <c r="H60" s="226"/>
      <c r="I60" s="226"/>
      <c r="J60" s="226">
        <f t="shared" ref="J60" si="46">J29+J37+J59</f>
        <v>0</v>
      </c>
      <c r="K60" s="226"/>
      <c r="L60" s="226"/>
      <c r="M60" s="226"/>
      <c r="N60" s="226"/>
      <c r="O60" s="226">
        <f t="shared" ref="O60" si="47">O29+O37+O59</f>
        <v>0</v>
      </c>
      <c r="P60" s="226"/>
      <c r="Q60" s="226"/>
      <c r="R60" s="226"/>
      <c r="S60" s="226"/>
      <c r="T60" s="226">
        <f t="shared" ref="T60:Z60" si="48">T29+T37+T59</f>
        <v>0</v>
      </c>
      <c r="U60" s="227">
        <f t="shared" si="48"/>
        <v>0</v>
      </c>
      <c r="V60" s="227">
        <f t="shared" si="48"/>
        <v>0</v>
      </c>
      <c r="W60" s="227">
        <f t="shared" si="48"/>
        <v>0</v>
      </c>
      <c r="X60" s="227">
        <f t="shared" si="48"/>
        <v>0</v>
      </c>
      <c r="Y60" s="227">
        <f t="shared" si="48"/>
        <v>0</v>
      </c>
      <c r="Z60" s="226">
        <f t="shared" si="48"/>
        <v>0</v>
      </c>
      <c r="AA60" s="228"/>
      <c r="AB60" s="226">
        <f>AB29+AB37+AB59</f>
        <v>0</v>
      </c>
      <c r="AC60" s="226"/>
      <c r="AD60" s="226"/>
      <c r="AE60" s="226"/>
      <c r="AF60" s="226"/>
      <c r="AG60" s="226">
        <f t="shared" ref="AG60" si="49">AG29+AG37+AG59</f>
        <v>0</v>
      </c>
      <c r="AH60" s="226"/>
      <c r="AI60" s="226"/>
      <c r="AJ60" s="226"/>
      <c r="AK60" s="226"/>
      <c r="AL60" s="226">
        <f t="shared" ref="AL60" si="50">AL29+AL37+AL59</f>
        <v>0</v>
      </c>
      <c r="AM60" s="226"/>
      <c r="AN60" s="226"/>
      <c r="AO60" s="226"/>
      <c r="AP60" s="226"/>
      <c r="AQ60" s="226">
        <f t="shared" ref="AQ60:AW60" si="51">AQ29+AQ37+AQ59</f>
        <v>0</v>
      </c>
      <c r="AR60" s="227">
        <f t="shared" si="51"/>
        <v>0</v>
      </c>
      <c r="AS60" s="227">
        <f t="shared" si="51"/>
        <v>0</v>
      </c>
      <c r="AT60" s="227">
        <f t="shared" si="51"/>
        <v>0</v>
      </c>
      <c r="AU60" s="227">
        <f t="shared" si="51"/>
        <v>0</v>
      </c>
      <c r="AV60" s="227">
        <f t="shared" si="51"/>
        <v>0</v>
      </c>
      <c r="AW60" s="226">
        <f t="shared" si="51"/>
        <v>0</v>
      </c>
      <c r="AX60" s="228"/>
      <c r="AY60" s="226">
        <f>AY29+AY37+AY59</f>
        <v>0</v>
      </c>
      <c r="AZ60" s="226"/>
      <c r="BA60" s="226"/>
      <c r="BB60" s="226"/>
      <c r="BC60" s="226"/>
      <c r="BD60" s="226">
        <f t="shared" ref="BD60" si="52">BD29+BD37+BD59</f>
        <v>0</v>
      </c>
      <c r="BE60" s="226"/>
      <c r="BF60" s="226"/>
      <c r="BG60" s="226"/>
      <c r="BH60" s="226"/>
      <c r="BI60" s="226">
        <f t="shared" ref="BI60" si="53">BI29+BI37+BI59</f>
        <v>0</v>
      </c>
      <c r="BJ60" s="226"/>
      <c r="BK60" s="226"/>
      <c r="BL60" s="226"/>
      <c r="BM60" s="226"/>
      <c r="BN60" s="226">
        <f t="shared" ref="BN60:BT60" si="54">BN29+BN37+BN59</f>
        <v>0</v>
      </c>
      <c r="BO60" s="227">
        <f t="shared" si="54"/>
        <v>0</v>
      </c>
      <c r="BP60" s="227">
        <f t="shared" si="54"/>
        <v>0</v>
      </c>
      <c r="BQ60" s="227">
        <f t="shared" si="54"/>
        <v>0</v>
      </c>
      <c r="BR60" s="227">
        <f t="shared" si="54"/>
        <v>0</v>
      </c>
      <c r="BS60" s="227">
        <f t="shared" si="54"/>
        <v>0</v>
      </c>
      <c r="BT60" s="229">
        <f t="shared" si="54"/>
        <v>0</v>
      </c>
    </row>
    <row r="61" spans="2:72" ht="14.25" customHeight="1">
      <c r="B61" s="196">
        <f t="shared" si="0"/>
        <v>49</v>
      </c>
      <c r="C61" s="184"/>
      <c r="D61" s="207" t="s">
        <v>326</v>
      </c>
      <c r="E61" s="231">
        <f>58275898*(B6)</f>
        <v>0</v>
      </c>
      <c r="F61" s="231">
        <v>0</v>
      </c>
      <c r="G61" s="231">
        <v>0</v>
      </c>
      <c r="H61" s="231">
        <v>0</v>
      </c>
      <c r="I61" s="231">
        <v>0</v>
      </c>
      <c r="J61" s="223">
        <f>SUM(F61:I61)</f>
        <v>0</v>
      </c>
      <c r="K61" s="231">
        <v>0</v>
      </c>
      <c r="L61" s="231">
        <v>0</v>
      </c>
      <c r="M61" s="231">
        <v>0</v>
      </c>
      <c r="N61" s="231">
        <v>0</v>
      </c>
      <c r="O61" s="223">
        <f>SUM(K61:N61)</f>
        <v>0</v>
      </c>
      <c r="P61" s="231">
        <v>0</v>
      </c>
      <c r="Q61" s="231">
        <v>0</v>
      </c>
      <c r="R61" s="231">
        <v>0</v>
      </c>
      <c r="S61" s="231">
        <v>0</v>
      </c>
      <c r="T61" s="223">
        <f>SUM(P61:S61)</f>
        <v>0</v>
      </c>
      <c r="U61" s="232">
        <v>0</v>
      </c>
      <c r="V61" s="232">
        <v>0</v>
      </c>
      <c r="W61" s="232">
        <v>0</v>
      </c>
      <c r="X61" s="232">
        <v>0</v>
      </c>
      <c r="Y61" s="232">
        <v>0</v>
      </c>
      <c r="Z61" s="223">
        <f>SUM(U61:Y61)</f>
        <v>0</v>
      </c>
      <c r="AA61" s="180"/>
      <c r="AB61" s="231">
        <f>58275898*(Y6)</f>
        <v>0</v>
      </c>
      <c r="AC61" s="231">
        <v>0</v>
      </c>
      <c r="AD61" s="231">
        <v>0</v>
      </c>
      <c r="AE61" s="231">
        <v>0</v>
      </c>
      <c r="AF61" s="231">
        <v>0</v>
      </c>
      <c r="AG61" s="223">
        <f>SUM(AC61:AF61)</f>
        <v>0</v>
      </c>
      <c r="AH61" s="231">
        <v>0</v>
      </c>
      <c r="AI61" s="231">
        <v>0</v>
      </c>
      <c r="AJ61" s="231">
        <v>0</v>
      </c>
      <c r="AK61" s="231">
        <v>0</v>
      </c>
      <c r="AL61" s="223">
        <f>SUM(AH61:AK61)</f>
        <v>0</v>
      </c>
      <c r="AM61" s="231">
        <v>0</v>
      </c>
      <c r="AN61" s="231">
        <v>0</v>
      </c>
      <c r="AO61" s="231">
        <v>0</v>
      </c>
      <c r="AP61" s="231">
        <v>0</v>
      </c>
      <c r="AQ61" s="223">
        <f>SUM(AM61:AP61)</f>
        <v>0</v>
      </c>
      <c r="AR61" s="232">
        <v>0</v>
      </c>
      <c r="AS61" s="232">
        <v>0</v>
      </c>
      <c r="AT61" s="232">
        <v>0</v>
      </c>
      <c r="AU61" s="232">
        <v>0</v>
      </c>
      <c r="AV61" s="232">
        <v>0</v>
      </c>
      <c r="AW61" s="223">
        <f>SUM(AR61:AV61)</f>
        <v>0</v>
      </c>
      <c r="AX61" s="180"/>
      <c r="AY61" s="231">
        <f>58275898*(AV6)</f>
        <v>0</v>
      </c>
      <c r="AZ61" s="231">
        <v>0</v>
      </c>
      <c r="BA61" s="231">
        <v>0</v>
      </c>
      <c r="BB61" s="231">
        <v>0</v>
      </c>
      <c r="BC61" s="231">
        <v>0</v>
      </c>
      <c r="BD61" s="223">
        <f>SUM(AZ61:BC61)</f>
        <v>0</v>
      </c>
      <c r="BE61" s="231">
        <v>0</v>
      </c>
      <c r="BF61" s="231">
        <v>0</v>
      </c>
      <c r="BG61" s="231">
        <v>0</v>
      </c>
      <c r="BH61" s="231">
        <v>0</v>
      </c>
      <c r="BI61" s="223">
        <f>SUM(BE61:BH61)</f>
        <v>0</v>
      </c>
      <c r="BJ61" s="231">
        <v>0</v>
      </c>
      <c r="BK61" s="231">
        <v>0</v>
      </c>
      <c r="BL61" s="231">
        <v>0</v>
      </c>
      <c r="BM61" s="231">
        <v>0</v>
      </c>
      <c r="BN61" s="223">
        <f>SUM(BJ61:BM61)</f>
        <v>0</v>
      </c>
      <c r="BO61" s="232">
        <v>0</v>
      </c>
      <c r="BP61" s="232">
        <v>0</v>
      </c>
      <c r="BQ61" s="232">
        <v>0</v>
      </c>
      <c r="BR61" s="232">
        <v>0</v>
      </c>
      <c r="BS61" s="232">
        <v>0</v>
      </c>
      <c r="BT61" s="224">
        <f>SUM(BO61:BS61)</f>
        <v>0</v>
      </c>
    </row>
    <row r="62" spans="2:72" ht="15">
      <c r="B62" s="196">
        <f>IF(D62&lt;&gt;"",MAX(B60:B61)+1,"")</f>
        <v>50</v>
      </c>
      <c r="C62" s="184"/>
      <c r="D62" s="225" t="s">
        <v>327</v>
      </c>
      <c r="E62" s="226">
        <f>E60+SUM(E61:E61)</f>
        <v>0</v>
      </c>
      <c r="F62" s="226">
        <f t="shared" ref="F62:X62" si="55">F60+SUM(F61:F61)</f>
        <v>0</v>
      </c>
      <c r="G62" s="226">
        <f t="shared" si="55"/>
        <v>0</v>
      </c>
      <c r="H62" s="226">
        <f t="shared" si="55"/>
        <v>0</v>
      </c>
      <c r="I62" s="226">
        <f t="shared" si="55"/>
        <v>0</v>
      </c>
      <c r="J62" s="226">
        <f t="shared" si="55"/>
        <v>0</v>
      </c>
      <c r="K62" s="226">
        <f t="shared" si="55"/>
        <v>0</v>
      </c>
      <c r="L62" s="226">
        <f t="shared" si="55"/>
        <v>0</v>
      </c>
      <c r="M62" s="226">
        <f t="shared" si="55"/>
        <v>0</v>
      </c>
      <c r="N62" s="226">
        <f t="shared" si="55"/>
        <v>0</v>
      </c>
      <c r="O62" s="226">
        <f t="shared" si="55"/>
        <v>0</v>
      </c>
      <c r="P62" s="226">
        <f t="shared" si="55"/>
        <v>0</v>
      </c>
      <c r="Q62" s="226">
        <f t="shared" si="55"/>
        <v>0</v>
      </c>
      <c r="R62" s="226">
        <f t="shared" si="55"/>
        <v>0</v>
      </c>
      <c r="S62" s="226">
        <f t="shared" si="55"/>
        <v>0</v>
      </c>
      <c r="T62" s="226">
        <f t="shared" si="55"/>
        <v>0</v>
      </c>
      <c r="U62" s="227">
        <f t="shared" si="55"/>
        <v>0</v>
      </c>
      <c r="V62" s="227">
        <f t="shared" si="55"/>
        <v>0</v>
      </c>
      <c r="W62" s="227">
        <f t="shared" si="55"/>
        <v>0</v>
      </c>
      <c r="X62" s="227">
        <f t="shared" si="55"/>
        <v>0</v>
      </c>
      <c r="Y62" s="227">
        <f t="shared" ref="Y62" si="56">Y60+SUM(Y61:Y61)</f>
        <v>0</v>
      </c>
      <c r="Z62" s="226">
        <f>Z60+SUM(Z61:Z61)</f>
        <v>0</v>
      </c>
      <c r="AA62" s="228"/>
      <c r="AB62" s="226">
        <f>AB60+SUM(AB61:AB61)</f>
        <v>0</v>
      </c>
      <c r="AC62" s="226">
        <f t="shared" ref="AC62:AW62" si="57">AC60+SUM(AC61:AC61)</f>
        <v>0</v>
      </c>
      <c r="AD62" s="226">
        <f t="shared" si="57"/>
        <v>0</v>
      </c>
      <c r="AE62" s="226">
        <f t="shared" si="57"/>
        <v>0</v>
      </c>
      <c r="AF62" s="226">
        <f t="shared" si="57"/>
        <v>0</v>
      </c>
      <c r="AG62" s="226">
        <f t="shared" si="57"/>
        <v>0</v>
      </c>
      <c r="AH62" s="226">
        <f t="shared" si="57"/>
        <v>0</v>
      </c>
      <c r="AI62" s="226">
        <f t="shared" si="57"/>
        <v>0</v>
      </c>
      <c r="AJ62" s="226">
        <f t="shared" si="57"/>
        <v>0</v>
      </c>
      <c r="AK62" s="226">
        <f t="shared" si="57"/>
        <v>0</v>
      </c>
      <c r="AL62" s="226">
        <f t="shared" si="57"/>
        <v>0</v>
      </c>
      <c r="AM62" s="226">
        <f t="shared" si="57"/>
        <v>0</v>
      </c>
      <c r="AN62" s="226">
        <f t="shared" si="57"/>
        <v>0</v>
      </c>
      <c r="AO62" s="226">
        <f t="shared" si="57"/>
        <v>0</v>
      </c>
      <c r="AP62" s="226">
        <f t="shared" si="57"/>
        <v>0</v>
      </c>
      <c r="AQ62" s="226">
        <f t="shared" si="57"/>
        <v>0</v>
      </c>
      <c r="AR62" s="227">
        <f t="shared" si="57"/>
        <v>0</v>
      </c>
      <c r="AS62" s="227">
        <f t="shared" si="57"/>
        <v>0</v>
      </c>
      <c r="AT62" s="227">
        <f t="shared" si="57"/>
        <v>0</v>
      </c>
      <c r="AU62" s="227">
        <f t="shared" si="57"/>
        <v>0</v>
      </c>
      <c r="AV62" s="227">
        <f t="shared" si="57"/>
        <v>0</v>
      </c>
      <c r="AW62" s="226">
        <f t="shared" si="57"/>
        <v>0</v>
      </c>
      <c r="AX62" s="228"/>
      <c r="AY62" s="226">
        <f>AY60+SUM(AY61:AY61)</f>
        <v>0</v>
      </c>
      <c r="AZ62" s="226">
        <f t="shared" ref="AZ62:BT62" si="58">AZ60+SUM(AZ61:AZ61)</f>
        <v>0</v>
      </c>
      <c r="BA62" s="226">
        <f t="shared" si="58"/>
        <v>0</v>
      </c>
      <c r="BB62" s="226">
        <f t="shared" si="58"/>
        <v>0</v>
      </c>
      <c r="BC62" s="226">
        <f t="shared" si="58"/>
        <v>0</v>
      </c>
      <c r="BD62" s="226">
        <f t="shared" si="58"/>
        <v>0</v>
      </c>
      <c r="BE62" s="226">
        <f t="shared" si="58"/>
        <v>0</v>
      </c>
      <c r="BF62" s="226">
        <f t="shared" si="58"/>
        <v>0</v>
      </c>
      <c r="BG62" s="226">
        <f t="shared" si="58"/>
        <v>0</v>
      </c>
      <c r="BH62" s="226">
        <f t="shared" si="58"/>
        <v>0</v>
      </c>
      <c r="BI62" s="226">
        <f t="shared" si="58"/>
        <v>0</v>
      </c>
      <c r="BJ62" s="226">
        <f t="shared" si="58"/>
        <v>0</v>
      </c>
      <c r="BK62" s="226">
        <f t="shared" si="58"/>
        <v>0</v>
      </c>
      <c r="BL62" s="226">
        <f t="shared" si="58"/>
        <v>0</v>
      </c>
      <c r="BM62" s="226">
        <f t="shared" si="58"/>
        <v>0</v>
      </c>
      <c r="BN62" s="226">
        <f t="shared" si="58"/>
        <v>0</v>
      </c>
      <c r="BO62" s="227">
        <f t="shared" si="58"/>
        <v>0</v>
      </c>
      <c r="BP62" s="227">
        <f t="shared" si="58"/>
        <v>0</v>
      </c>
      <c r="BQ62" s="227">
        <f t="shared" si="58"/>
        <v>0</v>
      </c>
      <c r="BR62" s="227">
        <f t="shared" si="58"/>
        <v>0</v>
      </c>
      <c r="BS62" s="227">
        <f t="shared" si="58"/>
        <v>0</v>
      </c>
      <c r="BT62" s="229">
        <f t="shared" si="58"/>
        <v>0</v>
      </c>
    </row>
    <row r="63" spans="2:72" ht="15">
      <c r="B63" s="196" t="str">
        <f>IF(D63&lt;&gt;"",MAX(B61:B62)+1,"")</f>
        <v/>
      </c>
      <c r="C63" s="184"/>
      <c r="D63" s="198"/>
      <c r="E63" s="198"/>
      <c r="F63" s="198"/>
      <c r="G63" s="198"/>
      <c r="H63" s="198"/>
      <c r="I63" s="198"/>
      <c r="J63" s="198"/>
      <c r="K63" s="198"/>
      <c r="L63" s="198"/>
      <c r="M63" s="198"/>
      <c r="N63" s="198"/>
      <c r="O63" s="198"/>
      <c r="P63" s="198"/>
      <c r="Q63" s="198"/>
      <c r="R63" s="198"/>
      <c r="S63" s="198"/>
      <c r="T63" s="198"/>
      <c r="U63" s="199"/>
      <c r="V63" s="199"/>
      <c r="W63" s="199"/>
      <c r="X63" s="199"/>
      <c r="Y63" s="199"/>
      <c r="Z63" s="198"/>
      <c r="AA63" s="180"/>
      <c r="AB63" s="198"/>
      <c r="AC63" s="198"/>
      <c r="AD63" s="198"/>
      <c r="AE63" s="198"/>
      <c r="AF63" s="198"/>
      <c r="AG63" s="198"/>
      <c r="AH63" s="198"/>
      <c r="AI63" s="198"/>
      <c r="AJ63" s="198"/>
      <c r="AK63" s="198"/>
      <c r="AL63" s="198"/>
      <c r="AM63" s="198"/>
      <c r="AN63" s="198"/>
      <c r="AO63" s="198"/>
      <c r="AP63" s="198"/>
      <c r="AQ63" s="198"/>
      <c r="AR63" s="199"/>
      <c r="AS63" s="199"/>
      <c r="AT63" s="199"/>
      <c r="AU63" s="199"/>
      <c r="AV63" s="199"/>
      <c r="AW63" s="198"/>
      <c r="AX63" s="180"/>
      <c r="AY63" s="198"/>
      <c r="AZ63" s="198"/>
      <c r="BA63" s="198"/>
      <c r="BB63" s="198"/>
      <c r="BC63" s="198"/>
      <c r="BD63" s="198"/>
      <c r="BE63" s="198"/>
      <c r="BF63" s="198"/>
      <c r="BG63" s="198"/>
      <c r="BH63" s="198"/>
      <c r="BI63" s="198"/>
      <c r="BJ63" s="198"/>
      <c r="BK63" s="198"/>
      <c r="BL63" s="198"/>
      <c r="BM63" s="198"/>
      <c r="BN63" s="198"/>
      <c r="BO63" s="199"/>
      <c r="BP63" s="199"/>
      <c r="BQ63" s="199"/>
      <c r="BR63" s="199"/>
      <c r="BS63" s="199"/>
      <c r="BT63" s="200"/>
    </row>
    <row r="64" spans="2:72" ht="14.25" customHeight="1">
      <c r="B64" s="196">
        <f>IF(D64&lt;&gt;"",MAX(B62:B63)+1,"")</f>
        <v>51</v>
      </c>
      <c r="C64" s="184"/>
      <c r="D64" s="207" t="s">
        <v>328</v>
      </c>
      <c r="E64" s="223">
        <v>0</v>
      </c>
      <c r="F64" s="223">
        <v>0</v>
      </c>
      <c r="G64" s="223">
        <v>0</v>
      </c>
      <c r="H64" s="223">
        <v>0</v>
      </c>
      <c r="I64" s="223">
        <v>0</v>
      </c>
      <c r="J64" s="223">
        <f>SUM(F64:I64)</f>
        <v>0</v>
      </c>
      <c r="K64" s="223">
        <v>0</v>
      </c>
      <c r="L64" s="223">
        <v>0</v>
      </c>
      <c r="M64" s="223">
        <v>0</v>
      </c>
      <c r="N64" s="223">
        <v>0</v>
      </c>
      <c r="O64" s="223">
        <f>SUM(K64:N64)</f>
        <v>0</v>
      </c>
      <c r="P64" s="223">
        <v>0</v>
      </c>
      <c r="Q64" s="223">
        <v>0</v>
      </c>
      <c r="R64" s="223">
        <v>0</v>
      </c>
      <c r="S64" s="223">
        <v>0</v>
      </c>
      <c r="T64" s="223">
        <f>SUM(P64:S64)</f>
        <v>0</v>
      </c>
      <c r="U64" s="213">
        <v>0</v>
      </c>
      <c r="V64" s="213">
        <v>0</v>
      </c>
      <c r="W64" s="213">
        <v>0</v>
      </c>
      <c r="X64" s="213">
        <v>0</v>
      </c>
      <c r="Y64" s="213">
        <v>0</v>
      </c>
      <c r="Z64" s="223">
        <f t="shared" ref="Z64:Z67" si="59">SUM(U64:Y64)</f>
        <v>0</v>
      </c>
      <c r="AA64" s="180"/>
      <c r="AB64" s="223">
        <v>0</v>
      </c>
      <c r="AC64" s="223">
        <v>0</v>
      </c>
      <c r="AD64" s="223">
        <v>0</v>
      </c>
      <c r="AE64" s="223">
        <v>0</v>
      </c>
      <c r="AF64" s="223">
        <v>0</v>
      </c>
      <c r="AG64" s="223">
        <f>SUM(AC64:AF64)</f>
        <v>0</v>
      </c>
      <c r="AH64" s="223">
        <v>0</v>
      </c>
      <c r="AI64" s="223">
        <v>0</v>
      </c>
      <c r="AJ64" s="223">
        <v>0</v>
      </c>
      <c r="AK64" s="223">
        <v>0</v>
      </c>
      <c r="AL64" s="223">
        <f>SUM(AH64:AK64)</f>
        <v>0</v>
      </c>
      <c r="AM64" s="223">
        <v>0</v>
      </c>
      <c r="AN64" s="223">
        <v>0</v>
      </c>
      <c r="AO64" s="223">
        <v>0</v>
      </c>
      <c r="AP64" s="223">
        <v>0</v>
      </c>
      <c r="AQ64" s="223">
        <f>SUM(AM64:AP64)</f>
        <v>0</v>
      </c>
      <c r="AR64" s="213">
        <v>0</v>
      </c>
      <c r="AS64" s="213">
        <v>0</v>
      </c>
      <c r="AT64" s="213">
        <v>0</v>
      </c>
      <c r="AU64" s="213">
        <v>0</v>
      </c>
      <c r="AV64" s="213">
        <v>0</v>
      </c>
      <c r="AW64" s="223">
        <f t="shared" ref="AW64" si="60">SUM(AR64:AV64)</f>
        <v>0</v>
      </c>
      <c r="AX64" s="180"/>
      <c r="AY64" s="223">
        <v>0</v>
      </c>
      <c r="AZ64" s="223">
        <v>0</v>
      </c>
      <c r="BA64" s="223">
        <v>0</v>
      </c>
      <c r="BB64" s="223">
        <v>0</v>
      </c>
      <c r="BC64" s="223">
        <v>0</v>
      </c>
      <c r="BD64" s="223">
        <f>SUM(AZ64:BC64)</f>
        <v>0</v>
      </c>
      <c r="BE64" s="223">
        <v>0</v>
      </c>
      <c r="BF64" s="223">
        <v>0</v>
      </c>
      <c r="BG64" s="223">
        <v>0</v>
      </c>
      <c r="BH64" s="223">
        <v>0</v>
      </c>
      <c r="BI64" s="223">
        <f>SUM(BE64:BH64)</f>
        <v>0</v>
      </c>
      <c r="BJ64" s="223">
        <v>0</v>
      </c>
      <c r="BK64" s="223">
        <v>0</v>
      </c>
      <c r="BL64" s="223">
        <v>0</v>
      </c>
      <c r="BM64" s="223">
        <v>0</v>
      </c>
      <c r="BN64" s="223">
        <f>SUM(BJ64:BM64)</f>
        <v>0</v>
      </c>
      <c r="BO64" s="213">
        <v>0</v>
      </c>
      <c r="BP64" s="213">
        <v>0</v>
      </c>
      <c r="BQ64" s="213">
        <v>0</v>
      </c>
      <c r="BR64" s="213">
        <v>0</v>
      </c>
      <c r="BS64" s="213">
        <v>0</v>
      </c>
      <c r="BT64" s="224">
        <f t="shared" ref="BT64" si="61">SUM(BO64:BS64)</f>
        <v>0</v>
      </c>
    </row>
    <row r="65" spans="2:72" ht="15">
      <c r="B65" s="196">
        <f t="shared" si="0"/>
        <v>52</v>
      </c>
      <c r="C65" s="184"/>
      <c r="D65" s="207" t="s">
        <v>329</v>
      </c>
      <c r="E65" s="223">
        <f>E61*2%</f>
        <v>0</v>
      </c>
      <c r="F65" s="223">
        <v>0</v>
      </c>
      <c r="G65" s="223">
        <v>0</v>
      </c>
      <c r="H65" s="223">
        <v>0</v>
      </c>
      <c r="I65" s="223">
        <v>0</v>
      </c>
      <c r="J65" s="223">
        <f>SUM(F65:I65)</f>
        <v>0</v>
      </c>
      <c r="K65" s="223">
        <v>0</v>
      </c>
      <c r="L65" s="223">
        <v>0</v>
      </c>
      <c r="M65" s="223">
        <v>0</v>
      </c>
      <c r="N65" s="223">
        <v>0</v>
      </c>
      <c r="O65" s="223">
        <f>SUM(K65:N65)</f>
        <v>0</v>
      </c>
      <c r="P65" s="223">
        <v>0</v>
      </c>
      <c r="Q65" s="223">
        <v>0</v>
      </c>
      <c r="R65" s="223">
        <v>0</v>
      </c>
      <c r="S65" s="223">
        <v>0</v>
      </c>
      <c r="T65" s="223">
        <f>SUM(P65:S65)</f>
        <v>0</v>
      </c>
      <c r="U65" s="213">
        <v>0</v>
      </c>
      <c r="V65" s="213">
        <v>0</v>
      </c>
      <c r="W65" s="213">
        <v>0</v>
      </c>
      <c r="X65" s="213">
        <v>0</v>
      </c>
      <c r="Y65" s="213">
        <v>0</v>
      </c>
      <c r="Z65" s="223">
        <f>Z62*2%</f>
        <v>0</v>
      </c>
      <c r="AA65" s="180"/>
      <c r="AB65" s="223">
        <f>AB61*2%</f>
        <v>0</v>
      </c>
      <c r="AC65" s="223">
        <v>0</v>
      </c>
      <c r="AD65" s="223">
        <v>0</v>
      </c>
      <c r="AE65" s="223">
        <v>0</v>
      </c>
      <c r="AF65" s="223">
        <v>0</v>
      </c>
      <c r="AG65" s="223">
        <f>SUM(AC65:AF65)</f>
        <v>0</v>
      </c>
      <c r="AH65" s="223">
        <v>0</v>
      </c>
      <c r="AI65" s="223">
        <v>0</v>
      </c>
      <c r="AJ65" s="223">
        <v>0</v>
      </c>
      <c r="AK65" s="223">
        <v>0</v>
      </c>
      <c r="AL65" s="223">
        <f>SUM(AH65:AK65)</f>
        <v>0</v>
      </c>
      <c r="AM65" s="223">
        <v>0</v>
      </c>
      <c r="AN65" s="223">
        <v>0</v>
      </c>
      <c r="AO65" s="223">
        <v>0</v>
      </c>
      <c r="AP65" s="223">
        <v>0</v>
      </c>
      <c r="AQ65" s="223">
        <f>SUM(AM65:AP65)</f>
        <v>0</v>
      </c>
      <c r="AR65" s="213">
        <v>0</v>
      </c>
      <c r="AS65" s="213">
        <v>0</v>
      </c>
      <c r="AT65" s="213">
        <v>0</v>
      </c>
      <c r="AU65" s="213">
        <v>0</v>
      </c>
      <c r="AV65" s="213">
        <v>0</v>
      </c>
      <c r="AW65" s="223">
        <f>AW62*2%</f>
        <v>0</v>
      </c>
      <c r="AX65" s="180"/>
      <c r="AY65" s="223">
        <f>AY61*2%</f>
        <v>0</v>
      </c>
      <c r="AZ65" s="223">
        <v>0</v>
      </c>
      <c r="BA65" s="223">
        <v>0</v>
      </c>
      <c r="BB65" s="223">
        <v>0</v>
      </c>
      <c r="BC65" s="223">
        <v>0</v>
      </c>
      <c r="BD65" s="223">
        <f>SUM(AZ65:BC65)</f>
        <v>0</v>
      </c>
      <c r="BE65" s="223">
        <v>0</v>
      </c>
      <c r="BF65" s="223">
        <v>0</v>
      </c>
      <c r="BG65" s="223">
        <v>0</v>
      </c>
      <c r="BH65" s="223">
        <v>0</v>
      </c>
      <c r="BI65" s="223">
        <f>SUM(BE65:BH65)</f>
        <v>0</v>
      </c>
      <c r="BJ65" s="223">
        <v>0</v>
      </c>
      <c r="BK65" s="223">
        <v>0</v>
      </c>
      <c r="BL65" s="223">
        <v>0</v>
      </c>
      <c r="BM65" s="223">
        <v>0</v>
      </c>
      <c r="BN65" s="223">
        <f>SUM(BJ65:BM65)</f>
        <v>0</v>
      </c>
      <c r="BO65" s="213">
        <v>0</v>
      </c>
      <c r="BP65" s="213">
        <v>0</v>
      </c>
      <c r="BQ65" s="213">
        <v>0</v>
      </c>
      <c r="BR65" s="213">
        <v>0</v>
      </c>
      <c r="BS65" s="213">
        <v>0</v>
      </c>
      <c r="BT65" s="224">
        <f>BT62*2%</f>
        <v>0</v>
      </c>
    </row>
    <row r="66" spans="2:72" ht="15">
      <c r="B66" s="196">
        <f t="shared" si="0"/>
        <v>53</v>
      </c>
      <c r="C66" s="184"/>
      <c r="D66" s="207" t="s">
        <v>330</v>
      </c>
      <c r="E66" s="223">
        <v>0</v>
      </c>
      <c r="F66" s="223">
        <v>0</v>
      </c>
      <c r="G66" s="223">
        <v>0</v>
      </c>
      <c r="H66" s="223">
        <v>0</v>
      </c>
      <c r="I66" s="223">
        <v>0</v>
      </c>
      <c r="J66" s="223">
        <f>SUM(F66:I66)</f>
        <v>0</v>
      </c>
      <c r="K66" s="223">
        <v>0</v>
      </c>
      <c r="L66" s="223">
        <v>0</v>
      </c>
      <c r="M66" s="223">
        <v>0</v>
      </c>
      <c r="N66" s="223">
        <v>0</v>
      </c>
      <c r="O66" s="223">
        <f>SUM(K66:N66)</f>
        <v>0</v>
      </c>
      <c r="P66" s="223">
        <v>0</v>
      </c>
      <c r="Q66" s="223">
        <v>0</v>
      </c>
      <c r="R66" s="223">
        <v>0</v>
      </c>
      <c r="S66" s="223">
        <v>0</v>
      </c>
      <c r="T66" s="223">
        <f>SUM(P66:S66)</f>
        <v>0</v>
      </c>
      <c r="U66" s="213">
        <v>0</v>
      </c>
      <c r="V66" s="213">
        <v>0</v>
      </c>
      <c r="W66" s="213">
        <v>0</v>
      </c>
      <c r="X66" s="213">
        <v>0</v>
      </c>
      <c r="Y66" s="213">
        <v>0</v>
      </c>
      <c r="Z66" s="223">
        <f t="shared" si="59"/>
        <v>0</v>
      </c>
      <c r="AA66" s="180"/>
      <c r="AB66" s="223">
        <v>0</v>
      </c>
      <c r="AC66" s="223">
        <v>0</v>
      </c>
      <c r="AD66" s="223">
        <v>0</v>
      </c>
      <c r="AE66" s="223">
        <v>0</v>
      </c>
      <c r="AF66" s="223">
        <v>0</v>
      </c>
      <c r="AG66" s="223">
        <f>SUM(AC66:AF66)</f>
        <v>0</v>
      </c>
      <c r="AH66" s="223">
        <v>0</v>
      </c>
      <c r="AI66" s="223">
        <v>0</v>
      </c>
      <c r="AJ66" s="223">
        <v>0</v>
      </c>
      <c r="AK66" s="223">
        <v>0</v>
      </c>
      <c r="AL66" s="223">
        <f>SUM(AH66:AK66)</f>
        <v>0</v>
      </c>
      <c r="AM66" s="223">
        <v>0</v>
      </c>
      <c r="AN66" s="223">
        <v>0</v>
      </c>
      <c r="AO66" s="223">
        <v>0</v>
      </c>
      <c r="AP66" s="223">
        <v>0</v>
      </c>
      <c r="AQ66" s="223">
        <f>SUM(AM66:AP66)</f>
        <v>0</v>
      </c>
      <c r="AR66" s="213">
        <v>0</v>
      </c>
      <c r="AS66" s="213">
        <v>0</v>
      </c>
      <c r="AT66" s="213">
        <v>0</v>
      </c>
      <c r="AU66" s="213">
        <v>0</v>
      </c>
      <c r="AV66" s="213">
        <v>0</v>
      </c>
      <c r="AW66" s="223">
        <f t="shared" ref="AW66:AW67" si="62">SUM(AR66:AV66)</f>
        <v>0</v>
      </c>
      <c r="AX66" s="180"/>
      <c r="AY66" s="223">
        <v>0</v>
      </c>
      <c r="AZ66" s="223">
        <v>0</v>
      </c>
      <c r="BA66" s="223">
        <v>0</v>
      </c>
      <c r="BB66" s="223">
        <v>0</v>
      </c>
      <c r="BC66" s="223">
        <v>0</v>
      </c>
      <c r="BD66" s="223">
        <f>SUM(AZ66:BC66)</f>
        <v>0</v>
      </c>
      <c r="BE66" s="223">
        <v>0</v>
      </c>
      <c r="BF66" s="223">
        <v>0</v>
      </c>
      <c r="BG66" s="223">
        <v>0</v>
      </c>
      <c r="BH66" s="223">
        <v>0</v>
      </c>
      <c r="BI66" s="223">
        <f>SUM(BE66:BH66)</f>
        <v>0</v>
      </c>
      <c r="BJ66" s="223">
        <v>0</v>
      </c>
      <c r="BK66" s="223">
        <v>0</v>
      </c>
      <c r="BL66" s="223">
        <v>0</v>
      </c>
      <c r="BM66" s="223">
        <v>0</v>
      </c>
      <c r="BN66" s="223">
        <f>SUM(BJ66:BM66)</f>
        <v>0</v>
      </c>
      <c r="BO66" s="213">
        <v>0</v>
      </c>
      <c r="BP66" s="213">
        <v>0</v>
      </c>
      <c r="BQ66" s="213">
        <v>0</v>
      </c>
      <c r="BR66" s="213">
        <v>0</v>
      </c>
      <c r="BS66" s="213">
        <v>0</v>
      </c>
      <c r="BT66" s="224">
        <f t="shared" ref="BT66:BT67" si="63">SUM(BO66:BS66)</f>
        <v>0</v>
      </c>
    </row>
    <row r="67" spans="2:72" ht="15">
      <c r="B67" s="196">
        <f t="shared" si="0"/>
        <v>54</v>
      </c>
      <c r="C67" s="184"/>
      <c r="D67" s="207" t="s">
        <v>331</v>
      </c>
      <c r="E67" s="223">
        <v>0</v>
      </c>
      <c r="F67" s="223">
        <v>0</v>
      </c>
      <c r="G67" s="223">
        <v>0</v>
      </c>
      <c r="H67" s="223">
        <v>0</v>
      </c>
      <c r="I67" s="223">
        <v>0</v>
      </c>
      <c r="J67" s="223">
        <f>SUM(F67:I67)</f>
        <v>0</v>
      </c>
      <c r="K67" s="223">
        <v>0</v>
      </c>
      <c r="L67" s="223">
        <v>0</v>
      </c>
      <c r="M67" s="223">
        <v>0</v>
      </c>
      <c r="N67" s="223">
        <v>0</v>
      </c>
      <c r="O67" s="223">
        <f>SUM(K67:N67)</f>
        <v>0</v>
      </c>
      <c r="P67" s="223">
        <v>0</v>
      </c>
      <c r="Q67" s="223">
        <v>0</v>
      </c>
      <c r="R67" s="223">
        <v>0</v>
      </c>
      <c r="S67" s="223">
        <v>0</v>
      </c>
      <c r="T67" s="223">
        <f>SUM(P67:S67)</f>
        <v>0</v>
      </c>
      <c r="U67" s="213">
        <v>0</v>
      </c>
      <c r="V67" s="213">
        <v>0</v>
      </c>
      <c r="W67" s="213">
        <v>0</v>
      </c>
      <c r="X67" s="213">
        <v>0</v>
      </c>
      <c r="Y67" s="213">
        <v>0</v>
      </c>
      <c r="Z67" s="223">
        <f t="shared" si="59"/>
        <v>0</v>
      </c>
      <c r="AA67" s="180"/>
      <c r="AB67" s="223">
        <v>0</v>
      </c>
      <c r="AC67" s="223">
        <v>0</v>
      </c>
      <c r="AD67" s="223">
        <v>0</v>
      </c>
      <c r="AE67" s="223">
        <v>0</v>
      </c>
      <c r="AF67" s="223">
        <v>0</v>
      </c>
      <c r="AG67" s="223">
        <f>SUM(AC67:AF67)</f>
        <v>0</v>
      </c>
      <c r="AH67" s="223">
        <v>0</v>
      </c>
      <c r="AI67" s="223">
        <v>0</v>
      </c>
      <c r="AJ67" s="223">
        <v>0</v>
      </c>
      <c r="AK67" s="223">
        <v>0</v>
      </c>
      <c r="AL67" s="223">
        <f>SUM(AH67:AK67)</f>
        <v>0</v>
      </c>
      <c r="AM67" s="223">
        <v>0</v>
      </c>
      <c r="AN67" s="223">
        <v>0</v>
      </c>
      <c r="AO67" s="223">
        <v>0</v>
      </c>
      <c r="AP67" s="223">
        <v>0</v>
      </c>
      <c r="AQ67" s="223">
        <f>SUM(AM67:AP67)</f>
        <v>0</v>
      </c>
      <c r="AR67" s="213">
        <v>0</v>
      </c>
      <c r="AS67" s="213">
        <v>0</v>
      </c>
      <c r="AT67" s="213">
        <v>0</v>
      </c>
      <c r="AU67" s="213">
        <v>0</v>
      </c>
      <c r="AV67" s="213">
        <v>0</v>
      </c>
      <c r="AW67" s="223">
        <f t="shared" si="62"/>
        <v>0</v>
      </c>
      <c r="AX67" s="180"/>
      <c r="AY67" s="223">
        <v>0</v>
      </c>
      <c r="AZ67" s="223">
        <v>0</v>
      </c>
      <c r="BA67" s="223">
        <v>0</v>
      </c>
      <c r="BB67" s="223">
        <v>0</v>
      </c>
      <c r="BC67" s="223">
        <v>0</v>
      </c>
      <c r="BD67" s="223">
        <f>SUM(AZ67:BC67)</f>
        <v>0</v>
      </c>
      <c r="BE67" s="223">
        <v>0</v>
      </c>
      <c r="BF67" s="223">
        <v>0</v>
      </c>
      <c r="BG67" s="223">
        <v>0</v>
      </c>
      <c r="BH67" s="223">
        <v>0</v>
      </c>
      <c r="BI67" s="223">
        <f>SUM(BE67:BH67)</f>
        <v>0</v>
      </c>
      <c r="BJ67" s="223">
        <v>0</v>
      </c>
      <c r="BK67" s="223">
        <v>0</v>
      </c>
      <c r="BL67" s="223">
        <v>0</v>
      </c>
      <c r="BM67" s="223">
        <v>0</v>
      </c>
      <c r="BN67" s="223">
        <f>SUM(BJ67:BM67)</f>
        <v>0</v>
      </c>
      <c r="BO67" s="213">
        <v>0</v>
      </c>
      <c r="BP67" s="213">
        <v>0</v>
      </c>
      <c r="BQ67" s="213">
        <v>0</v>
      </c>
      <c r="BR67" s="213">
        <v>0</v>
      </c>
      <c r="BS67" s="213">
        <v>0</v>
      </c>
      <c r="BT67" s="224">
        <f t="shared" si="63"/>
        <v>0</v>
      </c>
    </row>
    <row r="68" spans="2:72" ht="15">
      <c r="B68" s="196">
        <f t="shared" si="0"/>
        <v>55</v>
      </c>
      <c r="C68" s="184"/>
      <c r="D68" s="225" t="s">
        <v>332</v>
      </c>
      <c r="E68" s="226">
        <f>SUM(E64:E67)</f>
        <v>0</v>
      </c>
      <c r="F68" s="226">
        <f t="shared" ref="F68:Z68" si="64">SUM(F64:F67)</f>
        <v>0</v>
      </c>
      <c r="G68" s="226">
        <f t="shared" si="64"/>
        <v>0</v>
      </c>
      <c r="H68" s="226">
        <f t="shared" si="64"/>
        <v>0</v>
      </c>
      <c r="I68" s="226">
        <f t="shared" si="64"/>
        <v>0</v>
      </c>
      <c r="J68" s="226">
        <f t="shared" si="64"/>
        <v>0</v>
      </c>
      <c r="K68" s="226">
        <f t="shared" si="64"/>
        <v>0</v>
      </c>
      <c r="L68" s="226">
        <f t="shared" si="64"/>
        <v>0</v>
      </c>
      <c r="M68" s="226">
        <f t="shared" si="64"/>
        <v>0</v>
      </c>
      <c r="N68" s="226">
        <f t="shared" si="64"/>
        <v>0</v>
      </c>
      <c r="O68" s="226">
        <f t="shared" si="64"/>
        <v>0</v>
      </c>
      <c r="P68" s="226">
        <f t="shared" si="64"/>
        <v>0</v>
      </c>
      <c r="Q68" s="226">
        <f t="shared" si="64"/>
        <v>0</v>
      </c>
      <c r="R68" s="226">
        <f t="shared" si="64"/>
        <v>0</v>
      </c>
      <c r="S68" s="226">
        <f t="shared" si="64"/>
        <v>0</v>
      </c>
      <c r="T68" s="226">
        <f t="shared" si="64"/>
        <v>0</v>
      </c>
      <c r="U68" s="227">
        <f t="shared" si="64"/>
        <v>0</v>
      </c>
      <c r="V68" s="227">
        <f t="shared" si="64"/>
        <v>0</v>
      </c>
      <c r="W68" s="227">
        <f t="shared" si="64"/>
        <v>0</v>
      </c>
      <c r="X68" s="227">
        <f t="shared" si="64"/>
        <v>0</v>
      </c>
      <c r="Y68" s="227">
        <f t="shared" si="64"/>
        <v>0</v>
      </c>
      <c r="Z68" s="226">
        <f t="shared" si="64"/>
        <v>0</v>
      </c>
      <c r="AA68" s="228"/>
      <c r="AB68" s="226">
        <f>SUM(AB64:AB67)</f>
        <v>0</v>
      </c>
      <c r="AC68" s="226">
        <f t="shared" ref="AC68:AW68" si="65">SUM(AC64:AC67)</f>
        <v>0</v>
      </c>
      <c r="AD68" s="226">
        <f t="shared" si="65"/>
        <v>0</v>
      </c>
      <c r="AE68" s="226">
        <f t="shared" si="65"/>
        <v>0</v>
      </c>
      <c r="AF68" s="226">
        <f t="shared" si="65"/>
        <v>0</v>
      </c>
      <c r="AG68" s="226">
        <f t="shared" si="65"/>
        <v>0</v>
      </c>
      <c r="AH68" s="226">
        <f t="shared" si="65"/>
        <v>0</v>
      </c>
      <c r="AI68" s="226">
        <f t="shared" si="65"/>
        <v>0</v>
      </c>
      <c r="AJ68" s="226">
        <f t="shared" si="65"/>
        <v>0</v>
      </c>
      <c r="AK68" s="226">
        <f t="shared" si="65"/>
        <v>0</v>
      </c>
      <c r="AL68" s="226">
        <f t="shared" si="65"/>
        <v>0</v>
      </c>
      <c r="AM68" s="226">
        <f t="shared" si="65"/>
        <v>0</v>
      </c>
      <c r="AN68" s="226">
        <f t="shared" si="65"/>
        <v>0</v>
      </c>
      <c r="AO68" s="226">
        <f t="shared" si="65"/>
        <v>0</v>
      </c>
      <c r="AP68" s="226">
        <f t="shared" si="65"/>
        <v>0</v>
      </c>
      <c r="AQ68" s="226">
        <f t="shared" si="65"/>
        <v>0</v>
      </c>
      <c r="AR68" s="227">
        <f t="shared" si="65"/>
        <v>0</v>
      </c>
      <c r="AS68" s="227">
        <f t="shared" si="65"/>
        <v>0</v>
      </c>
      <c r="AT68" s="227">
        <f t="shared" si="65"/>
        <v>0</v>
      </c>
      <c r="AU68" s="227">
        <f t="shared" si="65"/>
        <v>0</v>
      </c>
      <c r="AV68" s="227">
        <f t="shared" si="65"/>
        <v>0</v>
      </c>
      <c r="AW68" s="226">
        <f t="shared" si="65"/>
        <v>0</v>
      </c>
      <c r="AX68" s="228"/>
      <c r="AY68" s="226">
        <f>SUM(AY64:AY67)</f>
        <v>0</v>
      </c>
      <c r="AZ68" s="226">
        <f t="shared" ref="AZ68:BT68" si="66">SUM(AZ64:AZ67)</f>
        <v>0</v>
      </c>
      <c r="BA68" s="226">
        <f t="shared" si="66"/>
        <v>0</v>
      </c>
      <c r="BB68" s="226">
        <f t="shared" si="66"/>
        <v>0</v>
      </c>
      <c r="BC68" s="226">
        <f t="shared" si="66"/>
        <v>0</v>
      </c>
      <c r="BD68" s="226">
        <f t="shared" si="66"/>
        <v>0</v>
      </c>
      <c r="BE68" s="226">
        <f t="shared" si="66"/>
        <v>0</v>
      </c>
      <c r="BF68" s="226">
        <f t="shared" si="66"/>
        <v>0</v>
      </c>
      <c r="BG68" s="226">
        <f t="shared" si="66"/>
        <v>0</v>
      </c>
      <c r="BH68" s="226">
        <f t="shared" si="66"/>
        <v>0</v>
      </c>
      <c r="BI68" s="226">
        <f t="shared" si="66"/>
        <v>0</v>
      </c>
      <c r="BJ68" s="226">
        <f t="shared" si="66"/>
        <v>0</v>
      </c>
      <c r="BK68" s="226">
        <f t="shared" si="66"/>
        <v>0</v>
      </c>
      <c r="BL68" s="226">
        <f t="shared" si="66"/>
        <v>0</v>
      </c>
      <c r="BM68" s="226">
        <f t="shared" si="66"/>
        <v>0</v>
      </c>
      <c r="BN68" s="226">
        <f t="shared" si="66"/>
        <v>0</v>
      </c>
      <c r="BO68" s="227">
        <f t="shared" si="66"/>
        <v>0</v>
      </c>
      <c r="BP68" s="227">
        <f t="shared" si="66"/>
        <v>0</v>
      </c>
      <c r="BQ68" s="227">
        <f t="shared" si="66"/>
        <v>0</v>
      </c>
      <c r="BR68" s="227">
        <f t="shared" si="66"/>
        <v>0</v>
      </c>
      <c r="BS68" s="227">
        <f t="shared" si="66"/>
        <v>0</v>
      </c>
      <c r="BT68" s="229">
        <f t="shared" si="66"/>
        <v>0</v>
      </c>
    </row>
    <row r="69" spans="2:72" ht="15">
      <c r="B69" s="196" t="str">
        <f t="shared" si="0"/>
        <v/>
      </c>
      <c r="C69" s="184"/>
      <c r="D69" s="198"/>
      <c r="E69" s="198"/>
      <c r="F69" s="198"/>
      <c r="G69" s="198"/>
      <c r="H69" s="198"/>
      <c r="I69" s="198"/>
      <c r="J69" s="198"/>
      <c r="K69" s="198"/>
      <c r="L69" s="198"/>
      <c r="M69" s="198"/>
      <c r="N69" s="198"/>
      <c r="O69" s="198"/>
      <c r="P69" s="198"/>
      <c r="Q69" s="198"/>
      <c r="R69" s="198"/>
      <c r="S69" s="198"/>
      <c r="T69" s="198"/>
      <c r="U69" s="199"/>
      <c r="V69" s="199"/>
      <c r="W69" s="199"/>
      <c r="X69" s="199"/>
      <c r="Y69" s="199"/>
      <c r="Z69" s="198"/>
      <c r="AA69" s="180"/>
      <c r="AB69" s="198"/>
      <c r="AC69" s="198"/>
      <c r="AD69" s="198"/>
      <c r="AE69" s="198"/>
      <c r="AF69" s="198"/>
      <c r="AG69" s="198"/>
      <c r="AH69" s="198"/>
      <c r="AI69" s="198"/>
      <c r="AJ69" s="198"/>
      <c r="AK69" s="198"/>
      <c r="AL69" s="198"/>
      <c r="AM69" s="198"/>
      <c r="AN69" s="198"/>
      <c r="AO69" s="198"/>
      <c r="AP69" s="198"/>
      <c r="AQ69" s="198"/>
      <c r="AR69" s="199"/>
      <c r="AS69" s="199"/>
      <c r="AT69" s="199"/>
      <c r="AU69" s="199"/>
      <c r="AV69" s="199"/>
      <c r="AW69" s="198"/>
      <c r="AX69" s="180"/>
      <c r="AY69" s="198"/>
      <c r="AZ69" s="198"/>
      <c r="BA69" s="198"/>
      <c r="BB69" s="198"/>
      <c r="BC69" s="198"/>
      <c r="BD69" s="198"/>
      <c r="BE69" s="198"/>
      <c r="BF69" s="198"/>
      <c r="BG69" s="198"/>
      <c r="BH69" s="198"/>
      <c r="BI69" s="198"/>
      <c r="BJ69" s="198"/>
      <c r="BK69" s="198"/>
      <c r="BL69" s="198"/>
      <c r="BM69" s="198"/>
      <c r="BN69" s="198"/>
      <c r="BO69" s="199"/>
      <c r="BP69" s="199"/>
      <c r="BQ69" s="199"/>
      <c r="BR69" s="199"/>
      <c r="BS69" s="199"/>
      <c r="BT69" s="200"/>
    </row>
    <row r="70" spans="2:72">
      <c r="B70" s="196">
        <f t="shared" si="0"/>
        <v>56</v>
      </c>
      <c r="C70" s="184"/>
      <c r="D70" s="198" t="s">
        <v>333</v>
      </c>
      <c r="E70" s="198"/>
      <c r="F70" s="198"/>
      <c r="G70" s="198"/>
      <c r="H70" s="198"/>
      <c r="I70" s="198"/>
      <c r="J70" s="198"/>
      <c r="K70" s="198"/>
      <c r="L70" s="198"/>
      <c r="M70" s="198"/>
      <c r="N70" s="198"/>
      <c r="O70" s="198"/>
      <c r="P70" s="198"/>
      <c r="Q70" s="198"/>
      <c r="R70" s="198"/>
      <c r="S70" s="198"/>
      <c r="T70" s="198"/>
      <c r="U70" s="199"/>
      <c r="V70" s="199"/>
      <c r="W70" s="199"/>
      <c r="X70" s="199"/>
      <c r="Y70" s="199"/>
      <c r="Z70" s="198"/>
      <c r="AA70" s="198"/>
      <c r="AB70" s="198"/>
      <c r="AC70" s="198"/>
      <c r="AD70" s="198"/>
      <c r="AE70" s="198"/>
      <c r="AF70" s="198"/>
      <c r="AG70" s="198"/>
      <c r="AH70" s="198"/>
      <c r="AI70" s="198"/>
      <c r="AJ70" s="198"/>
      <c r="AK70" s="198"/>
      <c r="AL70" s="198"/>
      <c r="AM70" s="198"/>
      <c r="AN70" s="198"/>
      <c r="AO70" s="198"/>
      <c r="AP70" s="198"/>
      <c r="AQ70" s="198"/>
      <c r="AR70" s="199"/>
      <c r="AS70" s="199"/>
      <c r="AT70" s="199"/>
      <c r="AU70" s="199"/>
      <c r="AV70" s="199"/>
      <c r="AW70" s="198"/>
      <c r="AX70" s="198"/>
      <c r="AY70" s="198"/>
      <c r="AZ70" s="198"/>
      <c r="BA70" s="198"/>
      <c r="BB70" s="198"/>
      <c r="BC70" s="198"/>
      <c r="BD70" s="198"/>
      <c r="BE70" s="198"/>
      <c r="BF70" s="198"/>
      <c r="BG70" s="198"/>
      <c r="BH70" s="198"/>
      <c r="BI70" s="198"/>
      <c r="BJ70" s="198"/>
      <c r="BK70" s="198"/>
      <c r="BL70" s="198"/>
      <c r="BM70" s="198"/>
      <c r="BN70" s="198"/>
      <c r="BO70" s="199"/>
      <c r="BP70" s="199"/>
      <c r="BQ70" s="199"/>
      <c r="BR70" s="199"/>
      <c r="BS70" s="199"/>
      <c r="BT70" s="200"/>
    </row>
    <row r="71" spans="2:72" ht="14.25" customHeight="1">
      <c r="B71" s="196">
        <f t="shared" si="0"/>
        <v>57</v>
      </c>
      <c r="C71" s="184"/>
      <c r="D71" s="207" t="s">
        <v>334</v>
      </c>
      <c r="E71" s="223">
        <v>0</v>
      </c>
      <c r="F71" s="223">
        <v>0</v>
      </c>
      <c r="G71" s="223">
        <v>0</v>
      </c>
      <c r="H71" s="223">
        <v>0</v>
      </c>
      <c r="I71" s="223">
        <v>0</v>
      </c>
      <c r="J71" s="223">
        <f>SUM(F71:I71)</f>
        <v>0</v>
      </c>
      <c r="K71" s="223">
        <v>0</v>
      </c>
      <c r="L71" s="223">
        <v>0</v>
      </c>
      <c r="M71" s="223">
        <v>0</v>
      </c>
      <c r="N71" s="223">
        <v>0</v>
      </c>
      <c r="O71" s="223">
        <f>SUM(K71:N71)</f>
        <v>0</v>
      </c>
      <c r="P71" s="223">
        <v>0</v>
      </c>
      <c r="Q71" s="223">
        <v>0</v>
      </c>
      <c r="R71" s="223">
        <v>0</v>
      </c>
      <c r="S71" s="223">
        <v>0</v>
      </c>
      <c r="T71" s="223">
        <f>SUM(P71:S71)</f>
        <v>0</v>
      </c>
      <c r="U71" s="213">
        <v>0</v>
      </c>
      <c r="V71" s="213">
        <v>0</v>
      </c>
      <c r="W71" s="213">
        <v>0</v>
      </c>
      <c r="X71" s="213">
        <v>0</v>
      </c>
      <c r="Y71" s="213"/>
      <c r="Z71" s="223">
        <f t="shared" ref="Z71:Z74" si="67">SUM(U71:Y71)</f>
        <v>0</v>
      </c>
      <c r="AA71" s="180"/>
      <c r="AB71" s="223">
        <v>0</v>
      </c>
      <c r="AC71" s="223">
        <v>0</v>
      </c>
      <c r="AD71" s="223">
        <v>0</v>
      </c>
      <c r="AE71" s="223">
        <v>0</v>
      </c>
      <c r="AF71" s="223">
        <v>0</v>
      </c>
      <c r="AG71" s="223">
        <f>SUM(AC71:AF71)</f>
        <v>0</v>
      </c>
      <c r="AH71" s="223">
        <v>0</v>
      </c>
      <c r="AI71" s="223">
        <v>0</v>
      </c>
      <c r="AJ71" s="223">
        <v>0</v>
      </c>
      <c r="AK71" s="223">
        <v>0</v>
      </c>
      <c r="AL71" s="223">
        <f>SUM(AH71:AK71)</f>
        <v>0</v>
      </c>
      <c r="AM71" s="223">
        <v>0</v>
      </c>
      <c r="AN71" s="223">
        <v>0</v>
      </c>
      <c r="AO71" s="223">
        <v>0</v>
      </c>
      <c r="AP71" s="223">
        <v>0</v>
      </c>
      <c r="AQ71" s="223">
        <f>SUM(AM71:AP71)</f>
        <v>0</v>
      </c>
      <c r="AR71" s="213">
        <v>0</v>
      </c>
      <c r="AS71" s="213">
        <v>0</v>
      </c>
      <c r="AT71" s="213">
        <v>0</v>
      </c>
      <c r="AU71" s="213">
        <v>0</v>
      </c>
      <c r="AV71" s="213">
        <v>0</v>
      </c>
      <c r="AW71" s="223">
        <f t="shared" ref="AW71:AW74" si="68">SUM(AR71:AV71)</f>
        <v>0</v>
      </c>
      <c r="AX71" s="180"/>
      <c r="AY71" s="223">
        <v>0</v>
      </c>
      <c r="AZ71" s="223">
        <v>0</v>
      </c>
      <c r="BA71" s="223">
        <v>0</v>
      </c>
      <c r="BB71" s="223">
        <v>0</v>
      </c>
      <c r="BC71" s="223">
        <v>0</v>
      </c>
      <c r="BD71" s="223">
        <f>SUM(AZ71:BC71)</f>
        <v>0</v>
      </c>
      <c r="BE71" s="223">
        <v>0</v>
      </c>
      <c r="BF71" s="223">
        <v>0</v>
      </c>
      <c r="BG71" s="223">
        <v>0</v>
      </c>
      <c r="BH71" s="223">
        <v>0</v>
      </c>
      <c r="BI71" s="223">
        <f>SUM(BE71:BH71)</f>
        <v>0</v>
      </c>
      <c r="BJ71" s="223">
        <v>0</v>
      </c>
      <c r="BK71" s="223">
        <v>0</v>
      </c>
      <c r="BL71" s="223">
        <v>0</v>
      </c>
      <c r="BM71" s="223">
        <v>0</v>
      </c>
      <c r="BN71" s="223">
        <f>SUM(BJ71:BM71)</f>
        <v>0</v>
      </c>
      <c r="BO71" s="213">
        <v>0</v>
      </c>
      <c r="BP71" s="213">
        <v>0</v>
      </c>
      <c r="BQ71" s="213">
        <v>0</v>
      </c>
      <c r="BR71" s="213">
        <v>0</v>
      </c>
      <c r="BS71" s="213">
        <v>0</v>
      </c>
      <c r="BT71" s="224">
        <f t="shared" ref="BT71:BT74" si="69">SUM(BO71:BS71)</f>
        <v>0</v>
      </c>
    </row>
    <row r="72" spans="2:72" ht="14.25" customHeight="1">
      <c r="B72" s="196">
        <f t="shared" si="0"/>
        <v>58</v>
      </c>
      <c r="C72" s="184"/>
      <c r="D72" s="207" t="s">
        <v>248</v>
      </c>
      <c r="E72" s="223">
        <v>0</v>
      </c>
      <c r="F72" s="223">
        <v>0</v>
      </c>
      <c r="G72" s="223">
        <v>0</v>
      </c>
      <c r="H72" s="223">
        <v>0</v>
      </c>
      <c r="I72" s="223">
        <v>0</v>
      </c>
      <c r="J72" s="223">
        <f>SUM(F72:I72)</f>
        <v>0</v>
      </c>
      <c r="K72" s="223">
        <v>0</v>
      </c>
      <c r="L72" s="223">
        <v>0</v>
      </c>
      <c r="M72" s="223">
        <v>0</v>
      </c>
      <c r="N72" s="223">
        <v>0</v>
      </c>
      <c r="O72" s="223">
        <f>SUM(K72:N72)</f>
        <v>0</v>
      </c>
      <c r="P72" s="223">
        <v>0</v>
      </c>
      <c r="Q72" s="223">
        <v>0</v>
      </c>
      <c r="R72" s="223">
        <v>0</v>
      </c>
      <c r="S72" s="223">
        <v>0</v>
      </c>
      <c r="T72" s="223">
        <f>SUM(P72:S72)</f>
        <v>0</v>
      </c>
      <c r="U72" s="213">
        <v>0</v>
      </c>
      <c r="V72" s="213">
        <v>0</v>
      </c>
      <c r="W72" s="213">
        <v>0</v>
      </c>
      <c r="X72" s="213">
        <v>0</v>
      </c>
      <c r="Y72" s="213">
        <v>0</v>
      </c>
      <c r="Z72" s="223">
        <f t="shared" si="67"/>
        <v>0</v>
      </c>
      <c r="AA72" s="180"/>
      <c r="AB72" s="223">
        <v>0</v>
      </c>
      <c r="AC72" s="223">
        <v>0</v>
      </c>
      <c r="AD72" s="223">
        <v>0</v>
      </c>
      <c r="AE72" s="223">
        <v>0</v>
      </c>
      <c r="AF72" s="223">
        <v>0</v>
      </c>
      <c r="AG72" s="223">
        <f>SUM(AC72:AF72)</f>
        <v>0</v>
      </c>
      <c r="AH72" s="223">
        <v>0</v>
      </c>
      <c r="AI72" s="223">
        <v>0</v>
      </c>
      <c r="AJ72" s="223">
        <v>0</v>
      </c>
      <c r="AK72" s="223">
        <v>0</v>
      </c>
      <c r="AL72" s="223">
        <f>SUM(AH72:AK72)</f>
        <v>0</v>
      </c>
      <c r="AM72" s="223">
        <v>0</v>
      </c>
      <c r="AN72" s="223">
        <v>0</v>
      </c>
      <c r="AO72" s="223">
        <v>0</v>
      </c>
      <c r="AP72" s="223">
        <v>0</v>
      </c>
      <c r="AQ72" s="223">
        <f>SUM(AM72:AP72)</f>
        <v>0</v>
      </c>
      <c r="AR72" s="213">
        <v>0</v>
      </c>
      <c r="AS72" s="213">
        <v>0</v>
      </c>
      <c r="AT72" s="213">
        <v>0</v>
      </c>
      <c r="AU72" s="213">
        <v>0</v>
      </c>
      <c r="AV72" s="213">
        <v>0</v>
      </c>
      <c r="AW72" s="223">
        <f t="shared" si="68"/>
        <v>0</v>
      </c>
      <c r="AX72" s="180"/>
      <c r="AY72" s="223">
        <v>0</v>
      </c>
      <c r="AZ72" s="223">
        <v>0</v>
      </c>
      <c r="BA72" s="223">
        <v>0</v>
      </c>
      <c r="BB72" s="223">
        <v>0</v>
      </c>
      <c r="BC72" s="223">
        <v>0</v>
      </c>
      <c r="BD72" s="223">
        <f>SUM(AZ72:BC72)</f>
        <v>0</v>
      </c>
      <c r="BE72" s="223">
        <v>0</v>
      </c>
      <c r="BF72" s="223">
        <v>0</v>
      </c>
      <c r="BG72" s="223">
        <v>0</v>
      </c>
      <c r="BH72" s="223">
        <v>0</v>
      </c>
      <c r="BI72" s="223">
        <f>SUM(BE72:BH72)</f>
        <v>0</v>
      </c>
      <c r="BJ72" s="223">
        <v>0</v>
      </c>
      <c r="BK72" s="223">
        <v>0</v>
      </c>
      <c r="BL72" s="223">
        <v>0</v>
      </c>
      <c r="BM72" s="223">
        <v>0</v>
      </c>
      <c r="BN72" s="223">
        <f>SUM(BJ72:BM72)</f>
        <v>0</v>
      </c>
      <c r="BO72" s="213">
        <v>0</v>
      </c>
      <c r="BP72" s="213">
        <v>0</v>
      </c>
      <c r="BQ72" s="213">
        <v>0</v>
      </c>
      <c r="BR72" s="213">
        <v>0</v>
      </c>
      <c r="BS72" s="213">
        <v>0</v>
      </c>
      <c r="BT72" s="224">
        <f t="shared" si="69"/>
        <v>0</v>
      </c>
    </row>
    <row r="73" spans="2:72" ht="14.25" customHeight="1">
      <c r="B73" s="196">
        <f t="shared" si="0"/>
        <v>59</v>
      </c>
      <c r="C73" s="184"/>
      <c r="D73" s="207" t="s">
        <v>253</v>
      </c>
      <c r="E73" s="223">
        <v>0</v>
      </c>
      <c r="F73" s="223">
        <v>0</v>
      </c>
      <c r="G73" s="223">
        <v>0</v>
      </c>
      <c r="H73" s="223">
        <v>0</v>
      </c>
      <c r="I73" s="223">
        <v>0</v>
      </c>
      <c r="J73" s="223">
        <f>SUM(F73:I73)</f>
        <v>0</v>
      </c>
      <c r="K73" s="223">
        <v>0</v>
      </c>
      <c r="L73" s="223">
        <v>0</v>
      </c>
      <c r="M73" s="223">
        <v>0</v>
      </c>
      <c r="N73" s="223">
        <v>0</v>
      </c>
      <c r="O73" s="223">
        <f>SUM(K73:N73)</f>
        <v>0</v>
      </c>
      <c r="P73" s="223">
        <v>0</v>
      </c>
      <c r="Q73" s="223">
        <v>0</v>
      </c>
      <c r="R73" s="223">
        <v>0</v>
      </c>
      <c r="S73" s="223">
        <v>0</v>
      </c>
      <c r="T73" s="223">
        <f>SUM(P73:S73)</f>
        <v>0</v>
      </c>
      <c r="U73" s="213">
        <v>0</v>
      </c>
      <c r="V73" s="213">
        <v>0</v>
      </c>
      <c r="W73" s="213">
        <v>0</v>
      </c>
      <c r="X73" s="213">
        <v>0</v>
      </c>
      <c r="Y73" s="213">
        <v>0</v>
      </c>
      <c r="Z73" s="223">
        <f t="shared" si="67"/>
        <v>0</v>
      </c>
      <c r="AA73" s="180"/>
      <c r="AB73" s="223">
        <v>0</v>
      </c>
      <c r="AC73" s="223">
        <v>0</v>
      </c>
      <c r="AD73" s="223">
        <v>0</v>
      </c>
      <c r="AE73" s="223">
        <v>0</v>
      </c>
      <c r="AF73" s="223">
        <v>0</v>
      </c>
      <c r="AG73" s="223">
        <f>SUM(AC73:AF73)</f>
        <v>0</v>
      </c>
      <c r="AH73" s="223">
        <v>0</v>
      </c>
      <c r="AI73" s="223">
        <v>0</v>
      </c>
      <c r="AJ73" s="223">
        <v>0</v>
      </c>
      <c r="AK73" s="223">
        <v>0</v>
      </c>
      <c r="AL73" s="223">
        <f>SUM(AH73:AK73)</f>
        <v>0</v>
      </c>
      <c r="AM73" s="223">
        <v>0</v>
      </c>
      <c r="AN73" s="223">
        <v>0</v>
      </c>
      <c r="AO73" s="223">
        <v>0</v>
      </c>
      <c r="AP73" s="223">
        <v>0</v>
      </c>
      <c r="AQ73" s="223">
        <f>SUM(AM73:AP73)</f>
        <v>0</v>
      </c>
      <c r="AR73" s="213">
        <v>0</v>
      </c>
      <c r="AS73" s="213">
        <v>0</v>
      </c>
      <c r="AT73" s="213">
        <v>0</v>
      </c>
      <c r="AU73" s="213">
        <v>0</v>
      </c>
      <c r="AV73" s="213">
        <v>0</v>
      </c>
      <c r="AW73" s="223">
        <f t="shared" si="68"/>
        <v>0</v>
      </c>
      <c r="AX73" s="180"/>
      <c r="AY73" s="223">
        <v>0</v>
      </c>
      <c r="AZ73" s="223">
        <v>0</v>
      </c>
      <c r="BA73" s="223">
        <v>0</v>
      </c>
      <c r="BB73" s="223">
        <v>0</v>
      </c>
      <c r="BC73" s="223">
        <v>0</v>
      </c>
      <c r="BD73" s="223">
        <f>SUM(AZ73:BC73)</f>
        <v>0</v>
      </c>
      <c r="BE73" s="223">
        <v>0</v>
      </c>
      <c r="BF73" s="223">
        <v>0</v>
      </c>
      <c r="BG73" s="223">
        <v>0</v>
      </c>
      <c r="BH73" s="223">
        <v>0</v>
      </c>
      <c r="BI73" s="223">
        <f>SUM(BE73:BH73)</f>
        <v>0</v>
      </c>
      <c r="BJ73" s="223">
        <v>0</v>
      </c>
      <c r="BK73" s="223">
        <v>0</v>
      </c>
      <c r="BL73" s="223">
        <v>0</v>
      </c>
      <c r="BM73" s="223">
        <v>0</v>
      </c>
      <c r="BN73" s="223">
        <f>SUM(BJ73:BM73)</f>
        <v>0</v>
      </c>
      <c r="BO73" s="213">
        <v>0</v>
      </c>
      <c r="BP73" s="213">
        <v>0</v>
      </c>
      <c r="BQ73" s="213">
        <v>0</v>
      </c>
      <c r="BR73" s="213">
        <v>0</v>
      </c>
      <c r="BS73" s="213">
        <v>0</v>
      </c>
      <c r="BT73" s="224">
        <f t="shared" si="69"/>
        <v>0</v>
      </c>
    </row>
    <row r="74" spans="2:72" ht="15">
      <c r="B74" s="196">
        <f t="shared" si="0"/>
        <v>60</v>
      </c>
      <c r="C74" s="184"/>
      <c r="D74" s="207" t="s">
        <v>258</v>
      </c>
      <c r="E74" s="223">
        <v>0</v>
      </c>
      <c r="F74" s="223">
        <v>0</v>
      </c>
      <c r="G74" s="223">
        <v>0</v>
      </c>
      <c r="H74" s="223">
        <v>0</v>
      </c>
      <c r="I74" s="223">
        <v>0</v>
      </c>
      <c r="J74" s="223">
        <f>SUM(F74:I74)</f>
        <v>0</v>
      </c>
      <c r="K74" s="223">
        <v>0</v>
      </c>
      <c r="L74" s="223">
        <v>0</v>
      </c>
      <c r="M74" s="223">
        <v>0</v>
      </c>
      <c r="N74" s="223">
        <v>0</v>
      </c>
      <c r="O74" s="223">
        <f>SUM(K74:N74)</f>
        <v>0</v>
      </c>
      <c r="P74" s="223">
        <v>0</v>
      </c>
      <c r="Q74" s="223">
        <v>0</v>
      </c>
      <c r="R74" s="223">
        <v>0</v>
      </c>
      <c r="S74" s="223">
        <v>0</v>
      </c>
      <c r="T74" s="223">
        <f>SUM(P74:S74)</f>
        <v>0</v>
      </c>
      <c r="U74" s="213">
        <v>0</v>
      </c>
      <c r="V74" s="213">
        <v>0</v>
      </c>
      <c r="W74" s="213">
        <v>0</v>
      </c>
      <c r="X74" s="213">
        <v>0</v>
      </c>
      <c r="Y74" s="213">
        <v>0</v>
      </c>
      <c r="Z74" s="223">
        <f t="shared" si="67"/>
        <v>0</v>
      </c>
      <c r="AA74" s="180"/>
      <c r="AB74" s="223">
        <v>0</v>
      </c>
      <c r="AC74" s="223">
        <v>0</v>
      </c>
      <c r="AD74" s="223">
        <v>0</v>
      </c>
      <c r="AE74" s="223">
        <v>0</v>
      </c>
      <c r="AF74" s="223">
        <v>0</v>
      </c>
      <c r="AG74" s="223">
        <f>SUM(AC74:AF74)</f>
        <v>0</v>
      </c>
      <c r="AH74" s="223">
        <v>0</v>
      </c>
      <c r="AI74" s="223">
        <v>0</v>
      </c>
      <c r="AJ74" s="223">
        <v>0</v>
      </c>
      <c r="AK74" s="223">
        <v>0</v>
      </c>
      <c r="AL74" s="223">
        <f>SUM(AH74:AK74)</f>
        <v>0</v>
      </c>
      <c r="AM74" s="223">
        <v>0</v>
      </c>
      <c r="AN74" s="223">
        <v>0</v>
      </c>
      <c r="AO74" s="223">
        <v>0</v>
      </c>
      <c r="AP74" s="223">
        <v>0</v>
      </c>
      <c r="AQ74" s="223">
        <f>SUM(AM74:AP74)</f>
        <v>0</v>
      </c>
      <c r="AR74" s="213">
        <v>0</v>
      </c>
      <c r="AS74" s="213">
        <v>0</v>
      </c>
      <c r="AT74" s="213">
        <v>0</v>
      </c>
      <c r="AU74" s="213">
        <v>0</v>
      </c>
      <c r="AV74" s="213">
        <v>0</v>
      </c>
      <c r="AW74" s="223">
        <f t="shared" si="68"/>
        <v>0</v>
      </c>
      <c r="AX74" s="180"/>
      <c r="AY74" s="223">
        <v>0</v>
      </c>
      <c r="AZ74" s="223">
        <v>0</v>
      </c>
      <c r="BA74" s="223">
        <v>0</v>
      </c>
      <c r="BB74" s="223">
        <v>0</v>
      </c>
      <c r="BC74" s="223">
        <v>0</v>
      </c>
      <c r="BD74" s="223">
        <f>SUM(AZ74:BC74)</f>
        <v>0</v>
      </c>
      <c r="BE74" s="223">
        <v>0</v>
      </c>
      <c r="BF74" s="223">
        <v>0</v>
      </c>
      <c r="BG74" s="223">
        <v>0</v>
      </c>
      <c r="BH74" s="223">
        <v>0</v>
      </c>
      <c r="BI74" s="223">
        <f>SUM(BE74:BH74)</f>
        <v>0</v>
      </c>
      <c r="BJ74" s="223">
        <v>0</v>
      </c>
      <c r="BK74" s="223">
        <v>0</v>
      </c>
      <c r="BL74" s="223">
        <v>0</v>
      </c>
      <c r="BM74" s="223">
        <v>0</v>
      </c>
      <c r="BN74" s="223">
        <f>SUM(BJ74:BM74)</f>
        <v>0</v>
      </c>
      <c r="BO74" s="213">
        <v>0</v>
      </c>
      <c r="BP74" s="213">
        <v>0</v>
      </c>
      <c r="BQ74" s="213">
        <v>0</v>
      </c>
      <c r="BR74" s="213">
        <v>0</v>
      </c>
      <c r="BS74" s="213">
        <v>0</v>
      </c>
      <c r="BT74" s="224">
        <f t="shared" si="69"/>
        <v>0</v>
      </c>
    </row>
    <row r="75" spans="2:72" ht="15">
      <c r="B75" s="196">
        <f t="shared" ref="B75:B81" si="70">IF(D75&lt;&gt;"",MAX(B72:B74)+1,"")</f>
        <v>61</v>
      </c>
      <c r="C75" s="184"/>
      <c r="D75" s="207" t="s">
        <v>335</v>
      </c>
      <c r="E75" s="233" t="s">
        <v>279</v>
      </c>
      <c r="F75" s="233"/>
      <c r="G75" s="233"/>
      <c r="H75" s="233"/>
      <c r="I75" s="233"/>
      <c r="J75" s="233" t="s">
        <v>279</v>
      </c>
      <c r="K75" s="233"/>
      <c r="L75" s="233"/>
      <c r="M75" s="233"/>
      <c r="N75" s="233"/>
      <c r="O75" s="233" t="s">
        <v>279</v>
      </c>
      <c r="P75" s="233"/>
      <c r="Q75" s="233"/>
      <c r="R75" s="233"/>
      <c r="S75" s="233"/>
      <c r="T75" s="233" t="s">
        <v>279</v>
      </c>
      <c r="U75" s="234"/>
      <c r="V75" s="234"/>
      <c r="W75" s="234"/>
      <c r="X75" s="234"/>
      <c r="Y75" s="234"/>
      <c r="Z75" s="233" t="s">
        <v>279</v>
      </c>
      <c r="AA75" s="180"/>
      <c r="AB75" s="233" t="s">
        <v>279</v>
      </c>
      <c r="AC75" s="233"/>
      <c r="AD75" s="233"/>
      <c r="AE75" s="233"/>
      <c r="AF75" s="233"/>
      <c r="AG75" s="233" t="s">
        <v>279</v>
      </c>
      <c r="AH75" s="233"/>
      <c r="AI75" s="233"/>
      <c r="AJ75" s="233"/>
      <c r="AK75" s="233"/>
      <c r="AL75" s="233" t="s">
        <v>279</v>
      </c>
      <c r="AM75" s="233"/>
      <c r="AN75" s="233"/>
      <c r="AO75" s="233"/>
      <c r="AP75" s="233"/>
      <c r="AQ75" s="233" t="s">
        <v>279</v>
      </c>
      <c r="AR75" s="234"/>
      <c r="AS75" s="234"/>
      <c r="AT75" s="234"/>
      <c r="AU75" s="234"/>
      <c r="AV75" s="234"/>
      <c r="AW75" s="233" t="s">
        <v>279</v>
      </c>
      <c r="AX75" s="180"/>
      <c r="AY75" s="233" t="s">
        <v>279</v>
      </c>
      <c r="AZ75" s="233"/>
      <c r="BA75" s="233"/>
      <c r="BB75" s="233"/>
      <c r="BC75" s="233"/>
      <c r="BD75" s="233" t="s">
        <v>279</v>
      </c>
      <c r="BE75" s="233"/>
      <c r="BF75" s="233"/>
      <c r="BG75" s="233"/>
      <c r="BH75" s="233"/>
      <c r="BI75" s="233" t="s">
        <v>279</v>
      </c>
      <c r="BJ75" s="233"/>
      <c r="BK75" s="233"/>
      <c r="BL75" s="233"/>
      <c r="BM75" s="233"/>
      <c r="BN75" s="233" t="s">
        <v>279</v>
      </c>
      <c r="BO75" s="234"/>
      <c r="BP75" s="234"/>
      <c r="BQ75" s="234"/>
      <c r="BR75" s="234"/>
      <c r="BS75" s="234"/>
      <c r="BT75" s="235" t="s">
        <v>279</v>
      </c>
    </row>
    <row r="76" spans="2:72" ht="15">
      <c r="B76" s="196">
        <f t="shared" si="70"/>
        <v>62</v>
      </c>
      <c r="C76" s="184"/>
      <c r="D76" s="207" t="s">
        <v>336</v>
      </c>
      <c r="E76" s="233" t="s">
        <v>279</v>
      </c>
      <c r="F76" s="233"/>
      <c r="G76" s="233"/>
      <c r="H76" s="233"/>
      <c r="I76" s="233"/>
      <c r="J76" s="233" t="s">
        <v>279</v>
      </c>
      <c r="K76" s="233"/>
      <c r="L76" s="233"/>
      <c r="M76" s="233"/>
      <c r="N76" s="233"/>
      <c r="O76" s="233" t="s">
        <v>279</v>
      </c>
      <c r="P76" s="233"/>
      <c r="Q76" s="233"/>
      <c r="R76" s="233"/>
      <c r="S76" s="233"/>
      <c r="T76" s="233" t="s">
        <v>279</v>
      </c>
      <c r="U76" s="234"/>
      <c r="V76" s="234"/>
      <c r="W76" s="234"/>
      <c r="X76" s="234"/>
      <c r="Y76" s="234"/>
      <c r="Z76" s="233" t="s">
        <v>279</v>
      </c>
      <c r="AA76" s="180"/>
      <c r="AB76" s="233" t="s">
        <v>279</v>
      </c>
      <c r="AC76" s="233"/>
      <c r="AD76" s="233"/>
      <c r="AE76" s="233"/>
      <c r="AF76" s="233"/>
      <c r="AG76" s="233" t="s">
        <v>279</v>
      </c>
      <c r="AH76" s="233"/>
      <c r="AI76" s="233"/>
      <c r="AJ76" s="233"/>
      <c r="AK76" s="233"/>
      <c r="AL76" s="233" t="s">
        <v>279</v>
      </c>
      <c r="AM76" s="233"/>
      <c r="AN76" s="233"/>
      <c r="AO76" s="233"/>
      <c r="AP76" s="233"/>
      <c r="AQ76" s="233" t="s">
        <v>279</v>
      </c>
      <c r="AR76" s="234"/>
      <c r="AS76" s="234"/>
      <c r="AT76" s="234"/>
      <c r="AU76" s="234"/>
      <c r="AV76" s="234"/>
      <c r="AW76" s="233" t="s">
        <v>279</v>
      </c>
      <c r="AX76" s="180"/>
      <c r="AY76" s="233" t="s">
        <v>279</v>
      </c>
      <c r="AZ76" s="233"/>
      <c r="BA76" s="233"/>
      <c r="BB76" s="233"/>
      <c r="BC76" s="233"/>
      <c r="BD76" s="233" t="s">
        <v>279</v>
      </c>
      <c r="BE76" s="233"/>
      <c r="BF76" s="233"/>
      <c r="BG76" s="233"/>
      <c r="BH76" s="233"/>
      <c r="BI76" s="233" t="s">
        <v>279</v>
      </c>
      <c r="BJ76" s="233"/>
      <c r="BK76" s="233"/>
      <c r="BL76" s="233"/>
      <c r="BM76" s="233"/>
      <c r="BN76" s="233" t="s">
        <v>279</v>
      </c>
      <c r="BO76" s="234"/>
      <c r="BP76" s="234"/>
      <c r="BQ76" s="234"/>
      <c r="BR76" s="234"/>
      <c r="BS76" s="234"/>
      <c r="BT76" s="235" t="s">
        <v>279</v>
      </c>
    </row>
    <row r="77" spans="2:72" ht="15">
      <c r="B77" s="196">
        <f t="shared" si="70"/>
        <v>63</v>
      </c>
      <c r="C77" s="184"/>
      <c r="D77" s="207" t="s">
        <v>337</v>
      </c>
      <c r="E77" s="233" t="s">
        <v>279</v>
      </c>
      <c r="F77" s="233"/>
      <c r="G77" s="233"/>
      <c r="H77" s="233"/>
      <c r="I77" s="233"/>
      <c r="J77" s="233" t="s">
        <v>279</v>
      </c>
      <c r="K77" s="233"/>
      <c r="L77" s="233"/>
      <c r="M77" s="233"/>
      <c r="N77" s="233"/>
      <c r="O77" s="233" t="s">
        <v>279</v>
      </c>
      <c r="P77" s="233"/>
      <c r="Q77" s="233"/>
      <c r="R77" s="233"/>
      <c r="S77" s="233"/>
      <c r="T77" s="233" t="s">
        <v>279</v>
      </c>
      <c r="U77" s="234"/>
      <c r="V77" s="234"/>
      <c r="W77" s="234"/>
      <c r="X77" s="234"/>
      <c r="Y77" s="234"/>
      <c r="Z77" s="233" t="s">
        <v>279</v>
      </c>
      <c r="AA77" s="180"/>
      <c r="AB77" s="233" t="s">
        <v>279</v>
      </c>
      <c r="AC77" s="233"/>
      <c r="AD77" s="233"/>
      <c r="AE77" s="233"/>
      <c r="AF77" s="233"/>
      <c r="AG77" s="233" t="s">
        <v>279</v>
      </c>
      <c r="AH77" s="233"/>
      <c r="AI77" s="233"/>
      <c r="AJ77" s="233"/>
      <c r="AK77" s="233"/>
      <c r="AL77" s="233" t="s">
        <v>279</v>
      </c>
      <c r="AM77" s="233"/>
      <c r="AN77" s="233"/>
      <c r="AO77" s="233"/>
      <c r="AP77" s="233"/>
      <c r="AQ77" s="233" t="s">
        <v>279</v>
      </c>
      <c r="AR77" s="234"/>
      <c r="AS77" s="234"/>
      <c r="AT77" s="234"/>
      <c r="AU77" s="234"/>
      <c r="AV77" s="234"/>
      <c r="AW77" s="233" t="s">
        <v>279</v>
      </c>
      <c r="AX77" s="180"/>
      <c r="AY77" s="233" t="s">
        <v>279</v>
      </c>
      <c r="AZ77" s="233"/>
      <c r="BA77" s="233"/>
      <c r="BB77" s="233"/>
      <c r="BC77" s="233"/>
      <c r="BD77" s="233" t="s">
        <v>279</v>
      </c>
      <c r="BE77" s="233"/>
      <c r="BF77" s="233"/>
      <c r="BG77" s="233"/>
      <c r="BH77" s="233"/>
      <c r="BI77" s="233" t="s">
        <v>279</v>
      </c>
      <c r="BJ77" s="233"/>
      <c r="BK77" s="233"/>
      <c r="BL77" s="233"/>
      <c r="BM77" s="233"/>
      <c r="BN77" s="233" t="s">
        <v>279</v>
      </c>
      <c r="BO77" s="234"/>
      <c r="BP77" s="234"/>
      <c r="BQ77" s="234"/>
      <c r="BR77" s="234"/>
      <c r="BS77" s="234"/>
      <c r="BT77" s="235" t="s">
        <v>279</v>
      </c>
    </row>
    <row r="78" spans="2:72" ht="15">
      <c r="B78" s="196">
        <f t="shared" si="70"/>
        <v>64</v>
      </c>
      <c r="C78" s="184"/>
      <c r="D78" s="225" t="s">
        <v>338</v>
      </c>
      <c r="E78" s="226">
        <f>SUM(E71:E74)</f>
        <v>0</v>
      </c>
      <c r="F78" s="226">
        <f t="shared" ref="F78:Z78" si="71">SUM(F71:F74)</f>
        <v>0</v>
      </c>
      <c r="G78" s="226">
        <f t="shared" si="71"/>
        <v>0</v>
      </c>
      <c r="H78" s="226">
        <f t="shared" si="71"/>
        <v>0</v>
      </c>
      <c r="I78" s="226">
        <f t="shared" si="71"/>
        <v>0</v>
      </c>
      <c r="J78" s="226">
        <f t="shared" si="71"/>
        <v>0</v>
      </c>
      <c r="K78" s="226">
        <f t="shared" si="71"/>
        <v>0</v>
      </c>
      <c r="L78" s="226">
        <f t="shared" si="71"/>
        <v>0</v>
      </c>
      <c r="M78" s="226">
        <f t="shared" si="71"/>
        <v>0</v>
      </c>
      <c r="N78" s="226">
        <f t="shared" si="71"/>
        <v>0</v>
      </c>
      <c r="O78" s="226">
        <f t="shared" si="71"/>
        <v>0</v>
      </c>
      <c r="P78" s="226">
        <f t="shared" si="71"/>
        <v>0</v>
      </c>
      <c r="Q78" s="226">
        <f t="shared" si="71"/>
        <v>0</v>
      </c>
      <c r="R78" s="226">
        <f t="shared" si="71"/>
        <v>0</v>
      </c>
      <c r="S78" s="226">
        <f t="shared" si="71"/>
        <v>0</v>
      </c>
      <c r="T78" s="226">
        <f t="shared" si="71"/>
        <v>0</v>
      </c>
      <c r="U78" s="227">
        <f t="shared" si="71"/>
        <v>0</v>
      </c>
      <c r="V78" s="227">
        <f t="shared" si="71"/>
        <v>0</v>
      </c>
      <c r="W78" s="227">
        <f t="shared" si="71"/>
        <v>0</v>
      </c>
      <c r="X78" s="227">
        <f t="shared" si="71"/>
        <v>0</v>
      </c>
      <c r="Y78" s="227">
        <f t="shared" si="71"/>
        <v>0</v>
      </c>
      <c r="Z78" s="226">
        <f t="shared" si="71"/>
        <v>0</v>
      </c>
      <c r="AA78" s="228"/>
      <c r="AB78" s="226">
        <f>SUM(AB71:AB74)</f>
        <v>0</v>
      </c>
      <c r="AC78" s="226">
        <f t="shared" ref="AC78:AW78" si="72">SUM(AC71:AC74)</f>
        <v>0</v>
      </c>
      <c r="AD78" s="226">
        <f t="shared" si="72"/>
        <v>0</v>
      </c>
      <c r="AE78" s="226">
        <f t="shared" si="72"/>
        <v>0</v>
      </c>
      <c r="AF78" s="226">
        <f t="shared" si="72"/>
        <v>0</v>
      </c>
      <c r="AG78" s="226">
        <f t="shared" si="72"/>
        <v>0</v>
      </c>
      <c r="AH78" s="226">
        <f t="shared" si="72"/>
        <v>0</v>
      </c>
      <c r="AI78" s="226">
        <f t="shared" si="72"/>
        <v>0</v>
      </c>
      <c r="AJ78" s="226">
        <f t="shared" si="72"/>
        <v>0</v>
      </c>
      <c r="AK78" s="226">
        <f t="shared" si="72"/>
        <v>0</v>
      </c>
      <c r="AL78" s="226">
        <f t="shared" si="72"/>
        <v>0</v>
      </c>
      <c r="AM78" s="226">
        <f t="shared" si="72"/>
        <v>0</v>
      </c>
      <c r="AN78" s="226">
        <f t="shared" si="72"/>
        <v>0</v>
      </c>
      <c r="AO78" s="226">
        <f t="shared" si="72"/>
        <v>0</v>
      </c>
      <c r="AP78" s="226">
        <f t="shared" si="72"/>
        <v>0</v>
      </c>
      <c r="AQ78" s="226">
        <f t="shared" si="72"/>
        <v>0</v>
      </c>
      <c r="AR78" s="227">
        <f t="shared" si="72"/>
        <v>0</v>
      </c>
      <c r="AS78" s="227">
        <f t="shared" si="72"/>
        <v>0</v>
      </c>
      <c r="AT78" s="227">
        <f t="shared" si="72"/>
        <v>0</v>
      </c>
      <c r="AU78" s="227">
        <f t="shared" si="72"/>
        <v>0</v>
      </c>
      <c r="AV78" s="227">
        <f t="shared" si="72"/>
        <v>0</v>
      </c>
      <c r="AW78" s="226">
        <f t="shared" si="72"/>
        <v>0</v>
      </c>
      <c r="AX78" s="228"/>
      <c r="AY78" s="226">
        <f>SUM(AY71:AY74)</f>
        <v>0</v>
      </c>
      <c r="AZ78" s="226">
        <f t="shared" ref="AZ78:BT78" si="73">SUM(AZ71:AZ74)</f>
        <v>0</v>
      </c>
      <c r="BA78" s="226">
        <f t="shared" si="73"/>
        <v>0</v>
      </c>
      <c r="BB78" s="226">
        <f t="shared" si="73"/>
        <v>0</v>
      </c>
      <c r="BC78" s="226">
        <f t="shared" si="73"/>
        <v>0</v>
      </c>
      <c r="BD78" s="226">
        <f t="shared" si="73"/>
        <v>0</v>
      </c>
      <c r="BE78" s="226">
        <f t="shared" si="73"/>
        <v>0</v>
      </c>
      <c r="BF78" s="226">
        <f t="shared" si="73"/>
        <v>0</v>
      </c>
      <c r="BG78" s="226">
        <f t="shared" si="73"/>
        <v>0</v>
      </c>
      <c r="BH78" s="226">
        <f t="shared" si="73"/>
        <v>0</v>
      </c>
      <c r="BI78" s="226">
        <f t="shared" si="73"/>
        <v>0</v>
      </c>
      <c r="BJ78" s="226">
        <f t="shared" si="73"/>
        <v>0</v>
      </c>
      <c r="BK78" s="226">
        <f t="shared" si="73"/>
        <v>0</v>
      </c>
      <c r="BL78" s="226">
        <f t="shared" si="73"/>
        <v>0</v>
      </c>
      <c r="BM78" s="226">
        <f t="shared" si="73"/>
        <v>0</v>
      </c>
      <c r="BN78" s="226">
        <f t="shared" si="73"/>
        <v>0</v>
      </c>
      <c r="BO78" s="227">
        <f t="shared" si="73"/>
        <v>0</v>
      </c>
      <c r="BP78" s="227">
        <f t="shared" si="73"/>
        <v>0</v>
      </c>
      <c r="BQ78" s="227">
        <f t="shared" si="73"/>
        <v>0</v>
      </c>
      <c r="BR78" s="227">
        <f t="shared" si="73"/>
        <v>0</v>
      </c>
      <c r="BS78" s="227">
        <f t="shared" si="73"/>
        <v>0</v>
      </c>
      <c r="BT78" s="229">
        <f t="shared" si="73"/>
        <v>0</v>
      </c>
    </row>
    <row r="79" spans="2:72" ht="15">
      <c r="B79" s="196">
        <f t="shared" si="70"/>
        <v>65</v>
      </c>
      <c r="C79" s="184"/>
      <c r="D79" s="207" t="s">
        <v>339</v>
      </c>
      <c r="E79" s="231">
        <v>0</v>
      </c>
      <c r="F79" s="231">
        <v>0</v>
      </c>
      <c r="G79" s="231">
        <v>0</v>
      </c>
      <c r="H79" s="231">
        <v>0</v>
      </c>
      <c r="I79" s="231">
        <v>0</v>
      </c>
      <c r="J79" s="223">
        <f>SUM(F79:I79)</f>
        <v>0</v>
      </c>
      <c r="K79" s="231">
        <v>0</v>
      </c>
      <c r="L79" s="231">
        <v>0</v>
      </c>
      <c r="M79" s="231">
        <v>0</v>
      </c>
      <c r="N79" s="231">
        <v>0</v>
      </c>
      <c r="O79" s="223">
        <f>SUM(K79:N79)</f>
        <v>0</v>
      </c>
      <c r="P79" s="231">
        <v>0</v>
      </c>
      <c r="Q79" s="231">
        <v>0</v>
      </c>
      <c r="R79" s="231">
        <v>0</v>
      </c>
      <c r="S79" s="231">
        <v>0</v>
      </c>
      <c r="T79" s="223">
        <f>SUM(P79:S79)</f>
        <v>0</v>
      </c>
      <c r="U79" s="232">
        <v>0</v>
      </c>
      <c r="V79" s="232">
        <v>0</v>
      </c>
      <c r="W79" s="232">
        <v>0</v>
      </c>
      <c r="X79" s="232">
        <v>0</v>
      </c>
      <c r="Y79" s="232">
        <v>0</v>
      </c>
      <c r="Z79" s="223">
        <f>SUM(U79:Y79)</f>
        <v>0</v>
      </c>
      <c r="AA79" s="180"/>
      <c r="AB79" s="231">
        <v>0</v>
      </c>
      <c r="AC79" s="231">
        <v>0</v>
      </c>
      <c r="AD79" s="231">
        <v>0</v>
      </c>
      <c r="AE79" s="231">
        <v>0</v>
      </c>
      <c r="AF79" s="231">
        <v>0</v>
      </c>
      <c r="AG79" s="223">
        <f>SUM(AC79:AF79)</f>
        <v>0</v>
      </c>
      <c r="AH79" s="231">
        <v>0</v>
      </c>
      <c r="AI79" s="231">
        <v>0</v>
      </c>
      <c r="AJ79" s="231">
        <v>0</v>
      </c>
      <c r="AK79" s="231">
        <v>0</v>
      </c>
      <c r="AL79" s="223">
        <f>SUM(AH79:AK79)</f>
        <v>0</v>
      </c>
      <c r="AM79" s="231">
        <v>0</v>
      </c>
      <c r="AN79" s="231">
        <v>0</v>
      </c>
      <c r="AO79" s="231">
        <v>0</v>
      </c>
      <c r="AP79" s="231">
        <v>0</v>
      </c>
      <c r="AQ79" s="223">
        <f>SUM(AM79:AP79)</f>
        <v>0</v>
      </c>
      <c r="AR79" s="232">
        <v>0</v>
      </c>
      <c r="AS79" s="232">
        <v>0</v>
      </c>
      <c r="AT79" s="232">
        <v>0</v>
      </c>
      <c r="AU79" s="232">
        <v>0</v>
      </c>
      <c r="AV79" s="232">
        <v>0</v>
      </c>
      <c r="AW79" s="223">
        <f>SUM(AR79:AV79)</f>
        <v>0</v>
      </c>
      <c r="AX79" s="180"/>
      <c r="AY79" s="231">
        <v>0</v>
      </c>
      <c r="AZ79" s="231">
        <v>0</v>
      </c>
      <c r="BA79" s="231">
        <v>0</v>
      </c>
      <c r="BB79" s="231">
        <v>0</v>
      </c>
      <c r="BC79" s="231">
        <v>0</v>
      </c>
      <c r="BD79" s="223">
        <f>SUM(AZ79:BC79)</f>
        <v>0</v>
      </c>
      <c r="BE79" s="231">
        <v>0</v>
      </c>
      <c r="BF79" s="231">
        <v>0</v>
      </c>
      <c r="BG79" s="231">
        <v>0</v>
      </c>
      <c r="BH79" s="231">
        <v>0</v>
      </c>
      <c r="BI79" s="223">
        <f>SUM(BE79:BH79)</f>
        <v>0</v>
      </c>
      <c r="BJ79" s="231">
        <v>0</v>
      </c>
      <c r="BK79" s="231">
        <v>0</v>
      </c>
      <c r="BL79" s="231">
        <v>0</v>
      </c>
      <c r="BM79" s="231">
        <v>0</v>
      </c>
      <c r="BN79" s="223">
        <f>SUM(BJ79:BM79)</f>
        <v>0</v>
      </c>
      <c r="BO79" s="232">
        <v>0</v>
      </c>
      <c r="BP79" s="232">
        <v>0</v>
      </c>
      <c r="BQ79" s="232">
        <v>0</v>
      </c>
      <c r="BR79" s="232">
        <v>0</v>
      </c>
      <c r="BS79" s="232">
        <v>0</v>
      </c>
      <c r="BT79" s="224">
        <f>SUM(BO79:BS79)</f>
        <v>0</v>
      </c>
    </row>
    <row r="80" spans="2:72" ht="14.25" customHeight="1">
      <c r="B80" s="196">
        <f t="shared" si="70"/>
        <v>66</v>
      </c>
      <c r="C80" s="184"/>
      <c r="D80" s="207" t="s">
        <v>340</v>
      </c>
      <c r="E80" s="236">
        <f>E37+E59+E78</f>
        <v>0</v>
      </c>
      <c r="F80" s="236">
        <f t="shared" ref="F80:Z80" si="74">F37+F59+F78</f>
        <v>0</v>
      </c>
      <c r="G80" s="236">
        <f t="shared" si="74"/>
        <v>0</v>
      </c>
      <c r="H80" s="236">
        <f t="shared" si="74"/>
        <v>0</v>
      </c>
      <c r="I80" s="236">
        <f t="shared" si="74"/>
        <v>0</v>
      </c>
      <c r="J80" s="236">
        <f t="shared" si="74"/>
        <v>0</v>
      </c>
      <c r="K80" s="236">
        <f t="shared" si="74"/>
        <v>0</v>
      </c>
      <c r="L80" s="236">
        <f t="shared" si="74"/>
        <v>0</v>
      </c>
      <c r="M80" s="236">
        <f t="shared" si="74"/>
        <v>0</v>
      </c>
      <c r="N80" s="236">
        <f t="shared" si="74"/>
        <v>0</v>
      </c>
      <c r="O80" s="236">
        <f t="shared" si="74"/>
        <v>0</v>
      </c>
      <c r="P80" s="236">
        <f t="shared" si="74"/>
        <v>0</v>
      </c>
      <c r="Q80" s="236">
        <f t="shared" si="74"/>
        <v>0</v>
      </c>
      <c r="R80" s="236">
        <f t="shared" si="74"/>
        <v>0</v>
      </c>
      <c r="S80" s="236">
        <f t="shared" si="74"/>
        <v>0</v>
      </c>
      <c r="T80" s="236">
        <f t="shared" si="74"/>
        <v>0</v>
      </c>
      <c r="U80" s="237">
        <f t="shared" si="74"/>
        <v>0</v>
      </c>
      <c r="V80" s="237">
        <f t="shared" si="74"/>
        <v>0</v>
      </c>
      <c r="W80" s="237">
        <f t="shared" si="74"/>
        <v>0</v>
      </c>
      <c r="X80" s="237">
        <f t="shared" si="74"/>
        <v>0</v>
      </c>
      <c r="Y80" s="237">
        <f t="shared" si="74"/>
        <v>0</v>
      </c>
      <c r="Z80" s="236">
        <f t="shared" si="74"/>
        <v>0</v>
      </c>
      <c r="AA80" s="180"/>
      <c r="AB80" s="236">
        <f>AB37+AB59+AB78</f>
        <v>0</v>
      </c>
      <c r="AC80" s="236">
        <f t="shared" ref="AC80:AW80" si="75">AC37+AC59+AC78</f>
        <v>0</v>
      </c>
      <c r="AD80" s="236">
        <f t="shared" si="75"/>
        <v>0</v>
      </c>
      <c r="AE80" s="236">
        <f t="shared" si="75"/>
        <v>0</v>
      </c>
      <c r="AF80" s="236">
        <f t="shared" si="75"/>
        <v>0</v>
      </c>
      <c r="AG80" s="236">
        <f t="shared" si="75"/>
        <v>0</v>
      </c>
      <c r="AH80" s="236">
        <f t="shared" si="75"/>
        <v>0</v>
      </c>
      <c r="AI80" s="236">
        <f t="shared" si="75"/>
        <v>0</v>
      </c>
      <c r="AJ80" s="236">
        <f t="shared" si="75"/>
        <v>0</v>
      </c>
      <c r="AK80" s="236">
        <f t="shared" si="75"/>
        <v>0</v>
      </c>
      <c r="AL80" s="236">
        <f t="shared" si="75"/>
        <v>0</v>
      </c>
      <c r="AM80" s="236">
        <f t="shared" si="75"/>
        <v>0</v>
      </c>
      <c r="AN80" s="236">
        <f t="shared" si="75"/>
        <v>0</v>
      </c>
      <c r="AO80" s="236">
        <f t="shared" si="75"/>
        <v>0</v>
      </c>
      <c r="AP80" s="236">
        <f t="shared" si="75"/>
        <v>0</v>
      </c>
      <c r="AQ80" s="236">
        <f t="shared" si="75"/>
        <v>0</v>
      </c>
      <c r="AR80" s="237">
        <f t="shared" si="75"/>
        <v>0</v>
      </c>
      <c r="AS80" s="237">
        <f t="shared" si="75"/>
        <v>0</v>
      </c>
      <c r="AT80" s="237">
        <f t="shared" si="75"/>
        <v>0</v>
      </c>
      <c r="AU80" s="237">
        <f t="shared" si="75"/>
        <v>0</v>
      </c>
      <c r="AV80" s="237">
        <f t="shared" si="75"/>
        <v>0</v>
      </c>
      <c r="AW80" s="236">
        <f t="shared" si="75"/>
        <v>0</v>
      </c>
      <c r="AX80" s="180"/>
      <c r="AY80" s="236">
        <f>AY37+AY59+AY78</f>
        <v>0</v>
      </c>
      <c r="AZ80" s="236">
        <f t="shared" ref="AZ80:BT80" si="76">AZ37+AZ59+AZ78</f>
        <v>0</v>
      </c>
      <c r="BA80" s="236">
        <f t="shared" si="76"/>
        <v>0</v>
      </c>
      <c r="BB80" s="236">
        <f t="shared" si="76"/>
        <v>0</v>
      </c>
      <c r="BC80" s="236">
        <f t="shared" si="76"/>
        <v>0</v>
      </c>
      <c r="BD80" s="236">
        <f t="shared" si="76"/>
        <v>0</v>
      </c>
      <c r="BE80" s="236">
        <f t="shared" si="76"/>
        <v>0</v>
      </c>
      <c r="BF80" s="236">
        <f t="shared" si="76"/>
        <v>0</v>
      </c>
      <c r="BG80" s="236">
        <f t="shared" si="76"/>
        <v>0</v>
      </c>
      <c r="BH80" s="236">
        <f t="shared" si="76"/>
        <v>0</v>
      </c>
      <c r="BI80" s="236">
        <f t="shared" si="76"/>
        <v>0</v>
      </c>
      <c r="BJ80" s="236">
        <f t="shared" si="76"/>
        <v>0</v>
      </c>
      <c r="BK80" s="236">
        <f t="shared" si="76"/>
        <v>0</v>
      </c>
      <c r="BL80" s="236">
        <f t="shared" si="76"/>
        <v>0</v>
      </c>
      <c r="BM80" s="236">
        <f t="shared" si="76"/>
        <v>0</v>
      </c>
      <c r="BN80" s="236">
        <f t="shared" si="76"/>
        <v>0</v>
      </c>
      <c r="BO80" s="237">
        <f t="shared" si="76"/>
        <v>0</v>
      </c>
      <c r="BP80" s="237">
        <f t="shared" si="76"/>
        <v>0</v>
      </c>
      <c r="BQ80" s="237">
        <f t="shared" si="76"/>
        <v>0</v>
      </c>
      <c r="BR80" s="237">
        <f t="shared" si="76"/>
        <v>0</v>
      </c>
      <c r="BS80" s="237">
        <f t="shared" si="76"/>
        <v>0</v>
      </c>
      <c r="BT80" s="238">
        <f t="shared" si="76"/>
        <v>0</v>
      </c>
    </row>
    <row r="81" spans="2:72" ht="14.25" customHeight="1">
      <c r="B81" s="196">
        <f t="shared" si="70"/>
        <v>67</v>
      </c>
      <c r="C81" s="184"/>
      <c r="D81" s="225" t="s">
        <v>341</v>
      </c>
      <c r="E81" s="226">
        <f>E29+E37+E59+E61+E68+E78</f>
        <v>0</v>
      </c>
      <c r="F81" s="226">
        <f t="shared" ref="F81:Z81" si="77">F29+F37+F59+F61+F68+F78</f>
        <v>0</v>
      </c>
      <c r="G81" s="226">
        <f t="shared" si="77"/>
        <v>0</v>
      </c>
      <c r="H81" s="226">
        <f t="shared" si="77"/>
        <v>0</v>
      </c>
      <c r="I81" s="226">
        <f t="shared" si="77"/>
        <v>0</v>
      </c>
      <c r="J81" s="226">
        <f t="shared" si="77"/>
        <v>0</v>
      </c>
      <c r="K81" s="226">
        <f t="shared" si="77"/>
        <v>0</v>
      </c>
      <c r="L81" s="226">
        <f t="shared" si="77"/>
        <v>0</v>
      </c>
      <c r="M81" s="226">
        <f t="shared" si="77"/>
        <v>0</v>
      </c>
      <c r="N81" s="226">
        <f t="shared" si="77"/>
        <v>0</v>
      </c>
      <c r="O81" s="226">
        <f t="shared" si="77"/>
        <v>0</v>
      </c>
      <c r="P81" s="226">
        <f t="shared" si="77"/>
        <v>0</v>
      </c>
      <c r="Q81" s="226">
        <f t="shared" si="77"/>
        <v>0</v>
      </c>
      <c r="R81" s="226">
        <f t="shared" si="77"/>
        <v>0</v>
      </c>
      <c r="S81" s="226">
        <f t="shared" si="77"/>
        <v>0</v>
      </c>
      <c r="T81" s="226">
        <f t="shared" si="77"/>
        <v>0</v>
      </c>
      <c r="U81" s="227">
        <f t="shared" si="77"/>
        <v>0</v>
      </c>
      <c r="V81" s="227">
        <f t="shared" si="77"/>
        <v>0</v>
      </c>
      <c r="W81" s="227">
        <f t="shared" si="77"/>
        <v>0</v>
      </c>
      <c r="X81" s="227">
        <f t="shared" si="77"/>
        <v>0</v>
      </c>
      <c r="Y81" s="227">
        <f t="shared" si="77"/>
        <v>0</v>
      </c>
      <c r="Z81" s="226">
        <f t="shared" si="77"/>
        <v>0</v>
      </c>
      <c r="AA81" s="228"/>
      <c r="AB81" s="226">
        <f>AB29+AB37+AB59+AB61+AB68+AB78</f>
        <v>0</v>
      </c>
      <c r="AC81" s="226">
        <f t="shared" ref="AC81:AW81" si="78">AC29+AC37+AC59+AC61+AC68+AC78</f>
        <v>0</v>
      </c>
      <c r="AD81" s="226">
        <f t="shared" si="78"/>
        <v>0</v>
      </c>
      <c r="AE81" s="226">
        <f t="shared" si="78"/>
        <v>0</v>
      </c>
      <c r="AF81" s="226">
        <f t="shared" si="78"/>
        <v>0</v>
      </c>
      <c r="AG81" s="226">
        <f t="shared" si="78"/>
        <v>0</v>
      </c>
      <c r="AH81" s="226">
        <f t="shared" si="78"/>
        <v>0</v>
      </c>
      <c r="AI81" s="226">
        <f t="shared" si="78"/>
        <v>0</v>
      </c>
      <c r="AJ81" s="226">
        <f t="shared" si="78"/>
        <v>0</v>
      </c>
      <c r="AK81" s="226">
        <f t="shared" si="78"/>
        <v>0</v>
      </c>
      <c r="AL81" s="226">
        <f t="shared" si="78"/>
        <v>0</v>
      </c>
      <c r="AM81" s="226">
        <f t="shared" si="78"/>
        <v>0</v>
      </c>
      <c r="AN81" s="226">
        <f t="shared" si="78"/>
        <v>0</v>
      </c>
      <c r="AO81" s="226">
        <f t="shared" si="78"/>
        <v>0</v>
      </c>
      <c r="AP81" s="226">
        <f t="shared" si="78"/>
        <v>0</v>
      </c>
      <c r="AQ81" s="226">
        <f t="shared" si="78"/>
        <v>0</v>
      </c>
      <c r="AR81" s="227">
        <f t="shared" si="78"/>
        <v>0</v>
      </c>
      <c r="AS81" s="227">
        <f t="shared" si="78"/>
        <v>0</v>
      </c>
      <c r="AT81" s="227">
        <f t="shared" si="78"/>
        <v>0</v>
      </c>
      <c r="AU81" s="227">
        <f t="shared" si="78"/>
        <v>0</v>
      </c>
      <c r="AV81" s="227">
        <f t="shared" si="78"/>
        <v>0</v>
      </c>
      <c r="AW81" s="226">
        <f t="shared" si="78"/>
        <v>0</v>
      </c>
      <c r="AX81" s="228"/>
      <c r="AY81" s="226">
        <f>AY29+AY37+AY59+AY61+AY68+AY78</f>
        <v>0</v>
      </c>
      <c r="AZ81" s="226">
        <f t="shared" ref="AZ81:BT81" si="79">AZ29+AZ37+AZ59+AZ61+AZ68+AZ78</f>
        <v>0</v>
      </c>
      <c r="BA81" s="226">
        <f t="shared" si="79"/>
        <v>0</v>
      </c>
      <c r="BB81" s="226">
        <f t="shared" si="79"/>
        <v>0</v>
      </c>
      <c r="BC81" s="226">
        <f t="shared" si="79"/>
        <v>0</v>
      </c>
      <c r="BD81" s="226">
        <f t="shared" si="79"/>
        <v>0</v>
      </c>
      <c r="BE81" s="226">
        <f t="shared" si="79"/>
        <v>0</v>
      </c>
      <c r="BF81" s="226">
        <f t="shared" si="79"/>
        <v>0</v>
      </c>
      <c r="BG81" s="226">
        <f t="shared" si="79"/>
        <v>0</v>
      </c>
      <c r="BH81" s="226">
        <f t="shared" si="79"/>
        <v>0</v>
      </c>
      <c r="BI81" s="226">
        <f t="shared" si="79"/>
        <v>0</v>
      </c>
      <c r="BJ81" s="226">
        <f t="shared" si="79"/>
        <v>0</v>
      </c>
      <c r="BK81" s="226">
        <f t="shared" si="79"/>
        <v>0</v>
      </c>
      <c r="BL81" s="226">
        <f t="shared" si="79"/>
        <v>0</v>
      </c>
      <c r="BM81" s="226">
        <f t="shared" si="79"/>
        <v>0</v>
      </c>
      <c r="BN81" s="226">
        <f t="shared" si="79"/>
        <v>0</v>
      </c>
      <c r="BO81" s="227">
        <f t="shared" si="79"/>
        <v>0</v>
      </c>
      <c r="BP81" s="227">
        <f t="shared" si="79"/>
        <v>0</v>
      </c>
      <c r="BQ81" s="227">
        <f t="shared" si="79"/>
        <v>0</v>
      </c>
      <c r="BR81" s="227">
        <f t="shared" si="79"/>
        <v>0</v>
      </c>
      <c r="BS81" s="227">
        <f t="shared" si="79"/>
        <v>0</v>
      </c>
      <c r="BT81" s="229">
        <f t="shared" si="79"/>
        <v>0</v>
      </c>
    </row>
    <row r="82" spans="2:72" ht="14.25" customHeight="1">
      <c r="B82" s="196"/>
      <c r="C82" s="184"/>
      <c r="D82" s="198"/>
      <c r="E82" s="239"/>
      <c r="F82" s="239"/>
      <c r="G82" s="239"/>
      <c r="H82" s="239"/>
      <c r="I82" s="239"/>
      <c r="J82" s="239"/>
      <c r="K82" s="239"/>
      <c r="L82" s="239"/>
      <c r="M82" s="239"/>
      <c r="N82" s="239"/>
      <c r="O82" s="239"/>
      <c r="P82" s="239"/>
      <c r="Q82" s="239"/>
      <c r="R82" s="239"/>
      <c r="S82" s="239"/>
      <c r="T82" s="239"/>
      <c r="U82" s="240"/>
      <c r="V82" s="240"/>
      <c r="W82" s="240"/>
      <c r="X82" s="240"/>
      <c r="Y82" s="240"/>
      <c r="Z82" s="239"/>
      <c r="AA82" s="180"/>
      <c r="AB82" s="239"/>
      <c r="AC82" s="239"/>
      <c r="AD82" s="239"/>
      <c r="AE82" s="239"/>
      <c r="AF82" s="239"/>
      <c r="AG82" s="239"/>
      <c r="AH82" s="239"/>
      <c r="AI82" s="239"/>
      <c r="AJ82" s="239"/>
      <c r="AK82" s="239"/>
      <c r="AL82" s="239"/>
      <c r="AM82" s="239"/>
      <c r="AN82" s="239"/>
      <c r="AO82" s="239"/>
      <c r="AP82" s="239"/>
      <c r="AQ82" s="239"/>
      <c r="AR82" s="240"/>
      <c r="AS82" s="240"/>
      <c r="AT82" s="240"/>
      <c r="AU82" s="240"/>
      <c r="AV82" s="240"/>
      <c r="AW82" s="239"/>
      <c r="AX82" s="180"/>
      <c r="AY82" s="239"/>
      <c r="AZ82" s="239"/>
      <c r="BA82" s="239"/>
      <c r="BB82" s="239"/>
      <c r="BC82" s="239"/>
      <c r="BD82" s="239"/>
      <c r="BE82" s="239"/>
      <c r="BF82" s="239"/>
      <c r="BG82" s="239"/>
      <c r="BH82" s="239"/>
      <c r="BI82" s="239"/>
      <c r="BJ82" s="239"/>
      <c r="BK82" s="239"/>
      <c r="BL82" s="239"/>
      <c r="BM82" s="239"/>
      <c r="BN82" s="239"/>
      <c r="BO82" s="240"/>
      <c r="BP82" s="240"/>
      <c r="BQ82" s="240"/>
      <c r="BR82" s="240"/>
      <c r="BS82" s="240"/>
      <c r="BT82" s="241"/>
    </row>
    <row r="83" spans="2:72" ht="14.25" customHeight="1">
      <c r="B83" s="196">
        <f>IF(D83&lt;&gt;"",MAX(B79:B81)+1,"")</f>
        <v>68</v>
      </c>
      <c r="C83" s="184"/>
      <c r="D83" s="204" t="s">
        <v>342</v>
      </c>
      <c r="E83" s="236">
        <f>E21-E81</f>
        <v>0</v>
      </c>
      <c r="F83" s="236">
        <f t="shared" ref="F83:Z83" si="80">F21-F81</f>
        <v>0</v>
      </c>
      <c r="G83" s="236">
        <f t="shared" si="80"/>
        <v>0</v>
      </c>
      <c r="H83" s="236">
        <f t="shared" si="80"/>
        <v>0</v>
      </c>
      <c r="I83" s="236">
        <f t="shared" si="80"/>
        <v>0</v>
      </c>
      <c r="J83" s="236">
        <f t="shared" si="80"/>
        <v>0</v>
      </c>
      <c r="K83" s="236">
        <f t="shared" si="80"/>
        <v>0</v>
      </c>
      <c r="L83" s="236">
        <f t="shared" si="80"/>
        <v>0</v>
      </c>
      <c r="M83" s="236">
        <f t="shared" si="80"/>
        <v>0</v>
      </c>
      <c r="N83" s="236">
        <f t="shared" si="80"/>
        <v>0</v>
      </c>
      <c r="O83" s="236">
        <f t="shared" si="80"/>
        <v>0</v>
      </c>
      <c r="P83" s="236">
        <f t="shared" si="80"/>
        <v>0</v>
      </c>
      <c r="Q83" s="236">
        <f t="shared" si="80"/>
        <v>0</v>
      </c>
      <c r="R83" s="236">
        <f t="shared" si="80"/>
        <v>0</v>
      </c>
      <c r="S83" s="236">
        <f t="shared" si="80"/>
        <v>0</v>
      </c>
      <c r="T83" s="236">
        <f t="shared" si="80"/>
        <v>0</v>
      </c>
      <c r="U83" s="237">
        <f t="shared" si="80"/>
        <v>0</v>
      </c>
      <c r="V83" s="237">
        <f t="shared" si="80"/>
        <v>0</v>
      </c>
      <c r="W83" s="237">
        <f t="shared" si="80"/>
        <v>0</v>
      </c>
      <c r="X83" s="237">
        <f t="shared" si="80"/>
        <v>0</v>
      </c>
      <c r="Y83" s="237">
        <f t="shared" si="80"/>
        <v>0</v>
      </c>
      <c r="Z83" s="236">
        <f t="shared" si="80"/>
        <v>0</v>
      </c>
      <c r="AA83" s="242"/>
      <c r="AB83" s="236">
        <f>AB21-AB81</f>
        <v>0</v>
      </c>
      <c r="AC83" s="236">
        <f t="shared" ref="AC83:AW83" si="81">AC21-AC81</f>
        <v>0</v>
      </c>
      <c r="AD83" s="236">
        <f t="shared" si="81"/>
        <v>0</v>
      </c>
      <c r="AE83" s="236">
        <f t="shared" si="81"/>
        <v>0</v>
      </c>
      <c r="AF83" s="236">
        <f t="shared" si="81"/>
        <v>0</v>
      </c>
      <c r="AG83" s="236">
        <f t="shared" si="81"/>
        <v>0</v>
      </c>
      <c r="AH83" s="236">
        <f t="shared" si="81"/>
        <v>0</v>
      </c>
      <c r="AI83" s="236">
        <f t="shared" si="81"/>
        <v>0</v>
      </c>
      <c r="AJ83" s="236">
        <f t="shared" si="81"/>
        <v>0</v>
      </c>
      <c r="AK83" s="236">
        <f t="shared" si="81"/>
        <v>0</v>
      </c>
      <c r="AL83" s="236">
        <f t="shared" si="81"/>
        <v>0</v>
      </c>
      <c r="AM83" s="236">
        <f t="shared" si="81"/>
        <v>0</v>
      </c>
      <c r="AN83" s="236">
        <f t="shared" si="81"/>
        <v>0</v>
      </c>
      <c r="AO83" s="236">
        <f t="shared" si="81"/>
        <v>0</v>
      </c>
      <c r="AP83" s="236">
        <f t="shared" si="81"/>
        <v>0</v>
      </c>
      <c r="AQ83" s="236">
        <f t="shared" si="81"/>
        <v>0</v>
      </c>
      <c r="AR83" s="237">
        <f t="shared" si="81"/>
        <v>0</v>
      </c>
      <c r="AS83" s="237">
        <f t="shared" si="81"/>
        <v>0</v>
      </c>
      <c r="AT83" s="237">
        <f t="shared" si="81"/>
        <v>0</v>
      </c>
      <c r="AU83" s="237">
        <f t="shared" si="81"/>
        <v>0</v>
      </c>
      <c r="AV83" s="237">
        <f t="shared" si="81"/>
        <v>0</v>
      </c>
      <c r="AW83" s="236">
        <f t="shared" si="81"/>
        <v>0</v>
      </c>
      <c r="AX83" s="180"/>
      <c r="AY83" s="236">
        <f>AY21-AY81</f>
        <v>0</v>
      </c>
      <c r="AZ83" s="236">
        <f t="shared" ref="AZ83:BT83" si="82">AZ21-AZ81</f>
        <v>0</v>
      </c>
      <c r="BA83" s="236">
        <f t="shared" si="82"/>
        <v>0</v>
      </c>
      <c r="BB83" s="236">
        <f t="shared" si="82"/>
        <v>0</v>
      </c>
      <c r="BC83" s="236">
        <f t="shared" si="82"/>
        <v>0</v>
      </c>
      <c r="BD83" s="236">
        <f t="shared" si="82"/>
        <v>0</v>
      </c>
      <c r="BE83" s="236">
        <f t="shared" si="82"/>
        <v>0</v>
      </c>
      <c r="BF83" s="236">
        <f t="shared" si="82"/>
        <v>0</v>
      </c>
      <c r="BG83" s="236">
        <f t="shared" si="82"/>
        <v>0</v>
      </c>
      <c r="BH83" s="236">
        <f t="shared" si="82"/>
        <v>0</v>
      </c>
      <c r="BI83" s="236">
        <f t="shared" si="82"/>
        <v>0</v>
      </c>
      <c r="BJ83" s="236">
        <f t="shared" si="82"/>
        <v>0</v>
      </c>
      <c r="BK83" s="236">
        <f t="shared" si="82"/>
        <v>0</v>
      </c>
      <c r="BL83" s="236">
        <f t="shared" si="82"/>
        <v>0</v>
      </c>
      <c r="BM83" s="236">
        <f t="shared" si="82"/>
        <v>0</v>
      </c>
      <c r="BN83" s="236">
        <f t="shared" si="82"/>
        <v>0</v>
      </c>
      <c r="BO83" s="237">
        <f t="shared" si="82"/>
        <v>0</v>
      </c>
      <c r="BP83" s="237">
        <f t="shared" si="82"/>
        <v>0</v>
      </c>
      <c r="BQ83" s="237">
        <f t="shared" si="82"/>
        <v>0</v>
      </c>
      <c r="BR83" s="237">
        <f t="shared" si="82"/>
        <v>0</v>
      </c>
      <c r="BS83" s="237">
        <f t="shared" si="82"/>
        <v>0</v>
      </c>
      <c r="BT83" s="238">
        <f t="shared" si="82"/>
        <v>0</v>
      </c>
    </row>
    <row r="84" spans="2:72" ht="14.25" customHeight="1">
      <c r="B84" s="196">
        <f>IF(D84&lt;&gt;"",MAX(B81:B83)+1,"")</f>
        <v>69</v>
      </c>
      <c r="C84" s="184"/>
      <c r="D84" s="204" t="s">
        <v>343</v>
      </c>
      <c r="E84" s="243">
        <v>0</v>
      </c>
      <c r="F84" s="243">
        <v>0</v>
      </c>
      <c r="G84" s="243">
        <v>0</v>
      </c>
      <c r="H84" s="243">
        <v>0</v>
      </c>
      <c r="I84" s="243">
        <v>0</v>
      </c>
      <c r="J84" s="223">
        <f>SUM(F84:I84)</f>
        <v>0</v>
      </c>
      <c r="K84" s="243">
        <v>0</v>
      </c>
      <c r="L84" s="243">
        <v>0</v>
      </c>
      <c r="M84" s="243">
        <v>0</v>
      </c>
      <c r="N84" s="243">
        <v>0</v>
      </c>
      <c r="O84" s="223">
        <f>SUM(K84:N84)</f>
        <v>0</v>
      </c>
      <c r="P84" s="243">
        <v>0</v>
      </c>
      <c r="Q84" s="243">
        <v>0</v>
      </c>
      <c r="R84" s="243">
        <v>0</v>
      </c>
      <c r="S84" s="243">
        <v>0</v>
      </c>
      <c r="T84" s="223">
        <f>SUM(P84:S84)</f>
        <v>0</v>
      </c>
      <c r="U84" s="244">
        <v>0</v>
      </c>
      <c r="V84" s="244">
        <v>0</v>
      </c>
      <c r="W84" s="244">
        <v>0</v>
      </c>
      <c r="X84" s="244">
        <v>0</v>
      </c>
      <c r="Y84" s="244">
        <v>0</v>
      </c>
      <c r="Z84" s="223">
        <f>SUM(U84:Y84)</f>
        <v>0</v>
      </c>
      <c r="AA84" s="180"/>
      <c r="AB84" s="243">
        <v>0</v>
      </c>
      <c r="AC84" s="243">
        <v>0</v>
      </c>
      <c r="AD84" s="243">
        <v>0</v>
      </c>
      <c r="AE84" s="243">
        <v>0</v>
      </c>
      <c r="AF84" s="243">
        <v>0</v>
      </c>
      <c r="AG84" s="223">
        <f>SUM(AC84:AF84)</f>
        <v>0</v>
      </c>
      <c r="AH84" s="243">
        <v>0</v>
      </c>
      <c r="AI84" s="243">
        <v>0</v>
      </c>
      <c r="AJ84" s="243">
        <v>0</v>
      </c>
      <c r="AK84" s="243">
        <v>0</v>
      </c>
      <c r="AL84" s="223">
        <f>SUM(AH84:AK84)</f>
        <v>0</v>
      </c>
      <c r="AM84" s="243">
        <v>0</v>
      </c>
      <c r="AN84" s="243">
        <v>0</v>
      </c>
      <c r="AO84" s="243">
        <v>0</v>
      </c>
      <c r="AP84" s="243">
        <v>0</v>
      </c>
      <c r="AQ84" s="223">
        <f>SUM(AM84:AP84)</f>
        <v>0</v>
      </c>
      <c r="AR84" s="244">
        <v>0</v>
      </c>
      <c r="AS84" s="244">
        <v>0</v>
      </c>
      <c r="AT84" s="244">
        <v>0</v>
      </c>
      <c r="AU84" s="244">
        <v>0</v>
      </c>
      <c r="AV84" s="244">
        <v>0</v>
      </c>
      <c r="AW84" s="223">
        <f>SUM(AR84:AV84)</f>
        <v>0</v>
      </c>
      <c r="AX84" s="180"/>
      <c r="AY84" s="243">
        <v>0</v>
      </c>
      <c r="AZ84" s="243">
        <v>0</v>
      </c>
      <c r="BA84" s="243">
        <v>0</v>
      </c>
      <c r="BB84" s="243">
        <v>0</v>
      </c>
      <c r="BC84" s="243">
        <v>0</v>
      </c>
      <c r="BD84" s="223">
        <f>SUM(AZ84:BC84)</f>
        <v>0</v>
      </c>
      <c r="BE84" s="243">
        <v>0</v>
      </c>
      <c r="BF84" s="243">
        <v>0</v>
      </c>
      <c r="BG84" s="243">
        <v>0</v>
      </c>
      <c r="BH84" s="243">
        <v>0</v>
      </c>
      <c r="BI84" s="223">
        <f>SUM(BE84:BH84)</f>
        <v>0</v>
      </c>
      <c r="BJ84" s="243">
        <v>0</v>
      </c>
      <c r="BK84" s="243">
        <v>0</v>
      </c>
      <c r="BL84" s="243">
        <v>0</v>
      </c>
      <c r="BM84" s="243">
        <v>0</v>
      </c>
      <c r="BN84" s="223">
        <f>SUM(BJ84:BM84)</f>
        <v>0</v>
      </c>
      <c r="BO84" s="244">
        <v>0</v>
      </c>
      <c r="BP84" s="244">
        <v>0</v>
      </c>
      <c r="BQ84" s="244">
        <v>0</v>
      </c>
      <c r="BR84" s="244">
        <v>0</v>
      </c>
      <c r="BS84" s="244">
        <v>0</v>
      </c>
      <c r="BT84" s="224">
        <f>SUM(BO84:BS84)</f>
        <v>0</v>
      </c>
    </row>
    <row r="85" spans="2:72" ht="14.25" customHeight="1">
      <c r="B85" s="196">
        <f>IF(D85&lt;&gt;"",MAX(B83:B84)+1,"")</f>
        <v>70</v>
      </c>
      <c r="C85" s="184"/>
      <c r="D85" s="225" t="s">
        <v>344</v>
      </c>
      <c r="E85" s="245">
        <f>E83-E84</f>
        <v>0</v>
      </c>
      <c r="F85" s="245">
        <f t="shared" ref="F85:Z85" si="83">F83-F84</f>
        <v>0</v>
      </c>
      <c r="G85" s="245">
        <f t="shared" si="83"/>
        <v>0</v>
      </c>
      <c r="H85" s="245">
        <f t="shared" si="83"/>
        <v>0</v>
      </c>
      <c r="I85" s="245">
        <f t="shared" si="83"/>
        <v>0</v>
      </c>
      <c r="J85" s="245">
        <f t="shared" si="83"/>
        <v>0</v>
      </c>
      <c r="K85" s="245">
        <f t="shared" si="83"/>
        <v>0</v>
      </c>
      <c r="L85" s="245">
        <f t="shared" si="83"/>
        <v>0</v>
      </c>
      <c r="M85" s="245">
        <f t="shared" si="83"/>
        <v>0</v>
      </c>
      <c r="N85" s="245">
        <f t="shared" si="83"/>
        <v>0</v>
      </c>
      <c r="O85" s="245">
        <f t="shared" si="83"/>
        <v>0</v>
      </c>
      <c r="P85" s="245">
        <f t="shared" si="83"/>
        <v>0</v>
      </c>
      <c r="Q85" s="245">
        <f t="shared" si="83"/>
        <v>0</v>
      </c>
      <c r="R85" s="245">
        <f t="shared" si="83"/>
        <v>0</v>
      </c>
      <c r="S85" s="245">
        <f t="shared" si="83"/>
        <v>0</v>
      </c>
      <c r="T85" s="245">
        <f t="shared" si="83"/>
        <v>0</v>
      </c>
      <c r="U85" s="246">
        <f t="shared" si="83"/>
        <v>0</v>
      </c>
      <c r="V85" s="246">
        <f t="shared" si="83"/>
        <v>0</v>
      </c>
      <c r="W85" s="246">
        <f t="shared" si="83"/>
        <v>0</v>
      </c>
      <c r="X85" s="246">
        <f t="shared" si="83"/>
        <v>0</v>
      </c>
      <c r="Y85" s="246">
        <f t="shared" si="83"/>
        <v>0</v>
      </c>
      <c r="Z85" s="245">
        <f t="shared" si="83"/>
        <v>0</v>
      </c>
      <c r="AA85" s="228"/>
      <c r="AB85" s="245">
        <f>AB83-AB84</f>
        <v>0</v>
      </c>
      <c r="AC85" s="245">
        <f t="shared" ref="AC85:AW85" si="84">AC83-AC84</f>
        <v>0</v>
      </c>
      <c r="AD85" s="245">
        <f t="shared" si="84"/>
        <v>0</v>
      </c>
      <c r="AE85" s="245">
        <f t="shared" si="84"/>
        <v>0</v>
      </c>
      <c r="AF85" s="245">
        <f t="shared" si="84"/>
        <v>0</v>
      </c>
      <c r="AG85" s="245">
        <f t="shared" si="84"/>
        <v>0</v>
      </c>
      <c r="AH85" s="245">
        <f t="shared" si="84"/>
        <v>0</v>
      </c>
      <c r="AI85" s="245">
        <f t="shared" si="84"/>
        <v>0</v>
      </c>
      <c r="AJ85" s="245">
        <f t="shared" si="84"/>
        <v>0</v>
      </c>
      <c r="AK85" s="245">
        <f t="shared" si="84"/>
        <v>0</v>
      </c>
      <c r="AL85" s="245">
        <f t="shared" si="84"/>
        <v>0</v>
      </c>
      <c r="AM85" s="245">
        <f t="shared" si="84"/>
        <v>0</v>
      </c>
      <c r="AN85" s="245">
        <f t="shared" si="84"/>
        <v>0</v>
      </c>
      <c r="AO85" s="245">
        <f t="shared" si="84"/>
        <v>0</v>
      </c>
      <c r="AP85" s="245">
        <f t="shared" si="84"/>
        <v>0</v>
      </c>
      <c r="AQ85" s="245">
        <f t="shared" si="84"/>
        <v>0</v>
      </c>
      <c r="AR85" s="246">
        <f t="shared" si="84"/>
        <v>0</v>
      </c>
      <c r="AS85" s="246">
        <f t="shared" si="84"/>
        <v>0</v>
      </c>
      <c r="AT85" s="246">
        <f t="shared" si="84"/>
        <v>0</v>
      </c>
      <c r="AU85" s="246">
        <f t="shared" si="84"/>
        <v>0</v>
      </c>
      <c r="AV85" s="246">
        <f t="shared" si="84"/>
        <v>0</v>
      </c>
      <c r="AW85" s="245">
        <f t="shared" si="84"/>
        <v>0</v>
      </c>
      <c r="AX85" s="228"/>
      <c r="AY85" s="245">
        <f>AY83-AY84</f>
        <v>0</v>
      </c>
      <c r="AZ85" s="245">
        <f t="shared" ref="AZ85:BT85" si="85">AZ83-AZ84</f>
        <v>0</v>
      </c>
      <c r="BA85" s="245">
        <f t="shared" si="85"/>
        <v>0</v>
      </c>
      <c r="BB85" s="245">
        <f t="shared" si="85"/>
        <v>0</v>
      </c>
      <c r="BC85" s="245">
        <f t="shared" si="85"/>
        <v>0</v>
      </c>
      <c r="BD85" s="245">
        <f t="shared" si="85"/>
        <v>0</v>
      </c>
      <c r="BE85" s="245">
        <f t="shared" si="85"/>
        <v>0</v>
      </c>
      <c r="BF85" s="245">
        <f t="shared" si="85"/>
        <v>0</v>
      </c>
      <c r="BG85" s="245">
        <f t="shared" si="85"/>
        <v>0</v>
      </c>
      <c r="BH85" s="245">
        <f t="shared" si="85"/>
        <v>0</v>
      </c>
      <c r="BI85" s="245">
        <f t="shared" si="85"/>
        <v>0</v>
      </c>
      <c r="BJ85" s="245">
        <f t="shared" si="85"/>
        <v>0</v>
      </c>
      <c r="BK85" s="245">
        <f t="shared" si="85"/>
        <v>0</v>
      </c>
      <c r="BL85" s="245">
        <f t="shared" si="85"/>
        <v>0</v>
      </c>
      <c r="BM85" s="245">
        <f t="shared" si="85"/>
        <v>0</v>
      </c>
      <c r="BN85" s="245">
        <f t="shared" si="85"/>
        <v>0</v>
      </c>
      <c r="BO85" s="246">
        <f t="shared" si="85"/>
        <v>0</v>
      </c>
      <c r="BP85" s="246">
        <f t="shared" si="85"/>
        <v>0</v>
      </c>
      <c r="BQ85" s="246">
        <f t="shared" si="85"/>
        <v>0</v>
      </c>
      <c r="BR85" s="246">
        <f t="shared" si="85"/>
        <v>0</v>
      </c>
      <c r="BS85" s="246">
        <f t="shared" si="85"/>
        <v>0</v>
      </c>
      <c r="BT85" s="247">
        <f t="shared" si="85"/>
        <v>0</v>
      </c>
    </row>
    <row r="86" spans="2:72" ht="14.25" customHeight="1">
      <c r="B86" s="196">
        <v>71</v>
      </c>
      <c r="C86" s="184"/>
      <c r="D86" s="225" t="s">
        <v>345</v>
      </c>
      <c r="E86" s="172"/>
      <c r="F86" s="253">
        <f>SUM(F21,F29,F56,F77,F84)</f>
        <v>0</v>
      </c>
      <c r="G86" s="245"/>
      <c r="H86" s="245"/>
      <c r="I86" s="245"/>
      <c r="J86" s="245"/>
      <c r="K86" s="245"/>
      <c r="L86" s="245"/>
      <c r="M86" s="245"/>
      <c r="N86" s="245"/>
      <c r="O86" s="245"/>
      <c r="P86" s="245"/>
      <c r="Q86" s="245"/>
      <c r="R86" s="245"/>
      <c r="S86" s="245"/>
      <c r="T86" s="245"/>
      <c r="U86" s="246"/>
      <c r="V86" s="246"/>
      <c r="W86" s="246"/>
      <c r="X86" s="246"/>
      <c r="Y86" s="246"/>
      <c r="Z86" s="245"/>
      <c r="AA86" s="228"/>
      <c r="AB86" s="172"/>
      <c r="AC86" s="253">
        <f>SUM(AC21,AC29,AC56,AC77,AC84)</f>
        <v>0</v>
      </c>
      <c r="AD86" s="245"/>
      <c r="AE86" s="245"/>
      <c r="AF86" s="245"/>
      <c r="AG86" s="245"/>
      <c r="AH86" s="245"/>
      <c r="AI86" s="245"/>
      <c r="AJ86" s="245"/>
      <c r="AK86" s="245"/>
      <c r="AL86" s="245"/>
      <c r="AM86" s="245"/>
      <c r="AN86" s="245"/>
      <c r="AO86" s="245"/>
      <c r="AP86" s="245"/>
      <c r="AQ86" s="245"/>
      <c r="AR86" s="246"/>
      <c r="AS86" s="246"/>
      <c r="AT86" s="246"/>
      <c r="AU86" s="246"/>
      <c r="AV86" s="246"/>
      <c r="AW86" s="245"/>
      <c r="AX86" s="228"/>
      <c r="AY86" s="172"/>
      <c r="AZ86" s="253">
        <f>SUM(AZ21,AZ29,AZ56,AZ77,AZ84)</f>
        <v>0</v>
      </c>
      <c r="BA86" s="245"/>
      <c r="BB86" s="245"/>
      <c r="BC86" s="245"/>
      <c r="BD86" s="245"/>
      <c r="BE86" s="245"/>
      <c r="BF86" s="245"/>
      <c r="BG86" s="245"/>
      <c r="BH86" s="245"/>
      <c r="BI86" s="245"/>
      <c r="BJ86" s="245"/>
      <c r="BK86" s="245"/>
      <c r="BL86" s="245"/>
      <c r="BM86" s="245"/>
      <c r="BN86" s="245"/>
      <c r="BO86" s="246"/>
      <c r="BP86" s="246"/>
      <c r="BQ86" s="246"/>
      <c r="BR86" s="246"/>
      <c r="BS86" s="246"/>
      <c r="BT86" s="247"/>
    </row>
    <row r="87" spans="2:72" ht="14.25" customHeight="1">
      <c r="B87" s="196">
        <v>72</v>
      </c>
      <c r="C87" s="184"/>
      <c r="D87" s="225" t="s">
        <v>346</v>
      </c>
      <c r="E87" s="172"/>
      <c r="F87" s="174"/>
      <c r="G87" s="245"/>
      <c r="H87" s="245"/>
      <c r="I87" s="245"/>
      <c r="J87" s="245"/>
      <c r="K87" s="245"/>
      <c r="L87" s="245"/>
      <c r="M87" s="245"/>
      <c r="N87" s="245"/>
      <c r="O87" s="245"/>
      <c r="P87" s="245"/>
      <c r="Q87" s="245"/>
      <c r="R87" s="245"/>
      <c r="S87" s="245"/>
      <c r="T87" s="245"/>
      <c r="U87" s="246"/>
      <c r="V87" s="246"/>
      <c r="W87" s="246"/>
      <c r="X87" s="246"/>
      <c r="Y87" s="246"/>
      <c r="Z87" s="245"/>
      <c r="AA87" s="228"/>
      <c r="AB87" s="172"/>
      <c r="AC87" s="174"/>
      <c r="AD87" s="245"/>
      <c r="AE87" s="245"/>
      <c r="AF87" s="245"/>
      <c r="AG87" s="245"/>
      <c r="AH87" s="245"/>
      <c r="AI87" s="245"/>
      <c r="AJ87" s="245"/>
      <c r="AK87" s="245"/>
      <c r="AL87" s="245"/>
      <c r="AM87" s="245"/>
      <c r="AN87" s="245"/>
      <c r="AO87" s="245"/>
      <c r="AP87" s="245"/>
      <c r="AQ87" s="245"/>
      <c r="AR87" s="246"/>
      <c r="AS87" s="246"/>
      <c r="AT87" s="246"/>
      <c r="AU87" s="246"/>
      <c r="AV87" s="246"/>
      <c r="AW87" s="245"/>
      <c r="AX87" s="228"/>
      <c r="AY87" s="172"/>
      <c r="AZ87" s="174"/>
      <c r="BA87" s="245"/>
      <c r="BB87" s="245"/>
      <c r="BC87" s="245"/>
      <c r="BD87" s="245"/>
      <c r="BE87" s="245"/>
      <c r="BF87" s="245"/>
      <c r="BG87" s="245"/>
      <c r="BH87" s="245"/>
      <c r="BI87" s="245"/>
      <c r="BJ87" s="245"/>
      <c r="BK87" s="245"/>
      <c r="BL87" s="245"/>
      <c r="BM87" s="245"/>
      <c r="BN87" s="245"/>
      <c r="BO87" s="246"/>
      <c r="BP87" s="246"/>
      <c r="BQ87" s="246"/>
      <c r="BR87" s="246"/>
      <c r="BS87" s="246"/>
      <c r="BT87" s="247"/>
    </row>
    <row r="88" spans="2:72" ht="14.25" customHeight="1">
      <c r="B88" s="196">
        <v>73</v>
      </c>
      <c r="C88" s="184"/>
      <c r="D88" s="225" t="s">
        <v>347</v>
      </c>
      <c r="E88" s="172"/>
      <c r="F88" s="174"/>
      <c r="G88" s="245"/>
      <c r="H88" s="245"/>
      <c r="I88" s="245"/>
      <c r="J88" s="245"/>
      <c r="K88" s="245"/>
      <c r="L88" s="245"/>
      <c r="M88" s="245"/>
      <c r="N88" s="245"/>
      <c r="O88" s="245"/>
      <c r="P88" s="245"/>
      <c r="Q88" s="245"/>
      <c r="R88" s="245"/>
      <c r="S88" s="245"/>
      <c r="T88" s="245"/>
      <c r="U88" s="246"/>
      <c r="V88" s="246"/>
      <c r="W88" s="246"/>
      <c r="X88" s="246"/>
      <c r="Y88" s="246"/>
      <c r="Z88" s="245"/>
      <c r="AA88" s="228"/>
      <c r="AB88" s="172"/>
      <c r="AC88" s="174"/>
      <c r="AD88" s="245"/>
      <c r="AE88" s="245"/>
      <c r="AF88" s="245"/>
      <c r="AG88" s="245"/>
      <c r="AH88" s="245"/>
      <c r="AI88" s="245"/>
      <c r="AJ88" s="245"/>
      <c r="AK88" s="245"/>
      <c r="AL88" s="245"/>
      <c r="AM88" s="245"/>
      <c r="AN88" s="245"/>
      <c r="AO88" s="245"/>
      <c r="AP88" s="245"/>
      <c r="AQ88" s="245"/>
      <c r="AR88" s="246"/>
      <c r="AS88" s="246"/>
      <c r="AT88" s="246"/>
      <c r="AU88" s="246"/>
      <c r="AV88" s="246"/>
      <c r="AW88" s="245"/>
      <c r="AX88" s="228"/>
      <c r="AY88" s="172"/>
      <c r="AZ88" s="174"/>
      <c r="BA88" s="245"/>
      <c r="BB88" s="245"/>
      <c r="BC88" s="245"/>
      <c r="BD88" s="245"/>
      <c r="BE88" s="245"/>
      <c r="BF88" s="245"/>
      <c r="BG88" s="245"/>
      <c r="BH88" s="245"/>
      <c r="BI88" s="245"/>
      <c r="BJ88" s="245"/>
      <c r="BK88" s="245"/>
      <c r="BL88" s="245"/>
      <c r="BM88" s="245"/>
      <c r="BN88" s="245"/>
      <c r="BO88" s="246"/>
      <c r="BP88" s="246"/>
      <c r="BQ88" s="246"/>
      <c r="BR88" s="246"/>
      <c r="BS88" s="246"/>
      <c r="BT88" s="247"/>
    </row>
    <row r="89" spans="2:72" ht="14.25" customHeight="1">
      <c r="B89" s="196">
        <v>74</v>
      </c>
      <c r="C89" s="184"/>
      <c r="BT89" s="186"/>
    </row>
    <row r="90" spans="2:72" ht="14.25" customHeight="1">
      <c r="B90" s="196"/>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6"/>
    </row>
    <row r="91" spans="2:72" ht="14.25" customHeight="1">
      <c r="B91" s="196">
        <f>IF(D91&lt;&gt;"",MAX(B84:B90)+1,"")</f>
        <v>75</v>
      </c>
      <c r="C91" s="184"/>
      <c r="D91" s="248" t="s">
        <v>348</v>
      </c>
      <c r="E91" s="249">
        <v>0</v>
      </c>
      <c r="F91" s="249">
        <v>0</v>
      </c>
      <c r="G91" s="249">
        <v>0</v>
      </c>
      <c r="H91" s="249">
        <v>0</v>
      </c>
      <c r="I91" s="249">
        <v>0</v>
      </c>
      <c r="J91" s="212">
        <f>SUM(F91:I91)</f>
        <v>0</v>
      </c>
      <c r="K91" s="249">
        <v>0</v>
      </c>
      <c r="L91" s="249">
        <v>0</v>
      </c>
      <c r="M91" s="249">
        <v>0</v>
      </c>
      <c r="N91" s="249">
        <v>0</v>
      </c>
      <c r="O91" s="212">
        <f>SUM(K91:N91)</f>
        <v>0</v>
      </c>
      <c r="P91" s="249">
        <v>0</v>
      </c>
      <c r="Q91" s="249">
        <v>0</v>
      </c>
      <c r="R91" s="249">
        <v>0</v>
      </c>
      <c r="S91" s="249">
        <v>0</v>
      </c>
      <c r="T91" s="212">
        <f>SUM(P91:S91)</f>
        <v>0</v>
      </c>
      <c r="U91" s="249">
        <v>0</v>
      </c>
      <c r="V91" s="249">
        <v>0</v>
      </c>
      <c r="W91" s="249">
        <v>0</v>
      </c>
      <c r="X91" s="249">
        <v>0</v>
      </c>
      <c r="Y91" s="249">
        <v>0</v>
      </c>
      <c r="Z91" s="212">
        <f>SUM(U91:Y91)</f>
        <v>0</v>
      </c>
      <c r="AA91" s="180"/>
      <c r="AB91" s="249">
        <v>0</v>
      </c>
      <c r="AC91" s="249">
        <v>0</v>
      </c>
      <c r="AD91" s="249">
        <v>0</v>
      </c>
      <c r="AE91" s="249">
        <v>0</v>
      </c>
      <c r="AF91" s="249">
        <v>0</v>
      </c>
      <c r="AG91" s="212">
        <f>SUM(AC91:AF91)</f>
        <v>0</v>
      </c>
      <c r="AH91" s="249">
        <v>0</v>
      </c>
      <c r="AI91" s="249">
        <v>0</v>
      </c>
      <c r="AJ91" s="249">
        <v>0</v>
      </c>
      <c r="AK91" s="249">
        <v>0</v>
      </c>
      <c r="AL91" s="212">
        <f>SUM(AH91:AK91)</f>
        <v>0</v>
      </c>
      <c r="AM91" s="249">
        <v>0</v>
      </c>
      <c r="AN91" s="249">
        <v>0</v>
      </c>
      <c r="AO91" s="249">
        <v>0</v>
      </c>
      <c r="AP91" s="249">
        <v>0</v>
      </c>
      <c r="AQ91" s="212">
        <f>SUM(AM91:AP91)</f>
        <v>0</v>
      </c>
      <c r="AR91" s="249">
        <v>0</v>
      </c>
      <c r="AS91" s="249">
        <v>0</v>
      </c>
      <c r="AT91" s="249">
        <v>0</v>
      </c>
      <c r="AU91" s="249">
        <v>0</v>
      </c>
      <c r="AV91" s="249">
        <v>0</v>
      </c>
      <c r="AW91" s="212">
        <f>SUM(AR91:AV91)</f>
        <v>0</v>
      </c>
      <c r="AX91" s="184"/>
      <c r="AY91" s="249">
        <v>0</v>
      </c>
      <c r="AZ91" s="249">
        <v>0</v>
      </c>
      <c r="BA91" s="249">
        <v>0</v>
      </c>
      <c r="BB91" s="249">
        <v>0</v>
      </c>
      <c r="BC91" s="249">
        <v>0</v>
      </c>
      <c r="BD91" s="212">
        <f>SUM(AZ91:BC91)</f>
        <v>0</v>
      </c>
      <c r="BE91" s="249">
        <v>0</v>
      </c>
      <c r="BF91" s="249">
        <v>0</v>
      </c>
      <c r="BG91" s="249">
        <v>0</v>
      </c>
      <c r="BH91" s="249">
        <v>0</v>
      </c>
      <c r="BI91" s="212">
        <f>SUM(BE91:BH91)</f>
        <v>0</v>
      </c>
      <c r="BJ91" s="249">
        <v>0</v>
      </c>
      <c r="BK91" s="249">
        <v>0</v>
      </c>
      <c r="BL91" s="249">
        <v>0</v>
      </c>
      <c r="BM91" s="249">
        <v>0</v>
      </c>
      <c r="BN91" s="212">
        <f>SUM(BJ91:BM91)</f>
        <v>0</v>
      </c>
      <c r="BO91" s="249">
        <v>0</v>
      </c>
      <c r="BP91" s="249">
        <v>0</v>
      </c>
      <c r="BQ91" s="249">
        <v>0</v>
      </c>
      <c r="BR91" s="249">
        <v>0</v>
      </c>
      <c r="BS91" s="249">
        <v>0</v>
      </c>
      <c r="BT91" s="214">
        <f>SUM(BO91:BS91)</f>
        <v>0</v>
      </c>
    </row>
    <row r="92" spans="2:72" ht="15" thickBot="1">
      <c r="B92" s="250"/>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51"/>
      <c r="AV92" s="251"/>
      <c r="AW92" s="251"/>
      <c r="AX92" s="251"/>
      <c r="AY92" s="251"/>
      <c r="AZ92" s="251"/>
      <c r="BA92" s="251"/>
      <c r="BB92" s="251"/>
      <c r="BC92" s="251"/>
      <c r="BD92" s="251"/>
      <c r="BE92" s="251"/>
      <c r="BF92" s="251"/>
      <c r="BG92" s="251"/>
      <c r="BH92" s="251"/>
      <c r="BI92" s="251"/>
      <c r="BJ92" s="251"/>
      <c r="BK92" s="251"/>
      <c r="BL92" s="251"/>
      <c r="BM92" s="251"/>
      <c r="BN92" s="251"/>
      <c r="BO92" s="251"/>
      <c r="BP92" s="251"/>
      <c r="BQ92" s="251"/>
      <c r="BR92" s="251"/>
      <c r="BS92" s="251"/>
      <c r="BT92" s="252"/>
    </row>
    <row r="93" spans="2:72">
      <c r="B93" s="185"/>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row>
    <row r="94" spans="2:72" ht="1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2:72" ht="1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2:72" ht="14.25" customHeight="1">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2:72" ht="14.25" customHeight="1">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2:72" ht="14.25" customHeight="1">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2:72" ht="14.25" customHeight="1">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2:72" ht="14.25" customHeight="1">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2:72" ht="14.25" customHeight="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2:72" ht="14.25" customHeight="1">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2:72" ht="14.25" customHeight="1">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2:72" ht="14.25" customHeight="1">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2:72" ht="14.25" customHeight="1">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2:72" ht="14.25" customHeight="1">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row>
    <row r="107" spans="2:72" ht="14.25" customHeight="1">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row>
    <row r="108" spans="2:72" ht="14.25" customHeight="1">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row>
    <row r="109" spans="2:72" ht="14.25" customHeight="1">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row>
    <row r="110" spans="2:72" ht="14.25" customHeight="1">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row>
    <row r="111" spans="2:72" ht="14.25" customHeight="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row>
    <row r="112" spans="2:72" ht="14.25" customHeight="1">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row>
    <row r="113" spans="2:72" ht="14.25" customHeight="1">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row>
    <row r="114" spans="2:72" ht="14.25" customHeight="1">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row>
    <row r="115" spans="2:72" ht="14.25" customHeight="1">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row>
    <row r="116" spans="2:72" ht="14.25" customHeight="1">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row>
    <row r="117" spans="2:72" ht="14.25" customHeight="1">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row>
    <row r="118" spans="2:72" ht="14.25" customHeight="1">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row>
    <row r="119" spans="2:72" ht="14.25" customHeight="1">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row>
    <row r="120" spans="2:72" ht="14.25" customHeight="1">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row>
    <row r="121" spans="2:72" ht="14.25" customHeight="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row>
    <row r="122" spans="2:72" ht="14.25" customHeight="1">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row>
    <row r="123" spans="2:72" ht="14.25" customHeight="1">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row>
    <row r="124" spans="2:72" ht="14.25" customHeight="1">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row>
    <row r="125" spans="2:72" ht="14.25" customHeight="1">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row>
    <row r="126" spans="2:72" ht="14.25" customHeight="1">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row>
    <row r="127" spans="2:72" ht="14.25" customHeight="1">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row>
    <row r="128" spans="2:72" ht="14.25" customHeight="1">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2:72" ht="14.25" customHeight="1">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2:72" ht="14.25" customHeight="1">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2:72" ht="14.25" customHeight="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2:72" ht="14.25" customHeight="1">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2:72" ht="14.25" customHeight="1">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2:72" ht="14.25" customHeight="1">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2:72" ht="14.25" customHeight="1">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2:72" ht="14.25" customHeight="1">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2:72" ht="14.25" customHeight="1">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2:72" ht="14.25" customHeight="1">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2:72" ht="14.25" customHeight="1">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2:72" ht="14.25" customHeight="1">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2:72" ht="14.25" customHeight="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2:72" ht="14.25" customHeight="1">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2:72" ht="14.25" customHeight="1">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2:72" ht="14.25" customHeight="1">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2:72" ht="14.25" customHeight="1">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2:72" ht="14.25" customHeight="1">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2:72" ht="14.25" customHeight="1">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2:72" ht="14.25" customHeight="1">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2:72" ht="15">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2:72" ht="15">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2:72" ht="15">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2:72" ht="15">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2:72" ht="15">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2:72" ht="15">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2:72" ht="1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2:72" ht="15">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2:72" ht="15">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2:72" ht="15">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2:72" ht="15">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2:72" ht="15">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2:72" ht="15">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2:72" ht="15">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2:72" ht="15">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2:72" ht="15">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2:72" ht="1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2:72" ht="15">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2:72" ht="15">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2:72" ht="15">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2:72" ht="15">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2:72" ht="15">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2:72" ht="15">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2:72" ht="15">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2:72" ht="15">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2:72" ht="15">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2:72" ht="1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2:72" ht="15">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2:72" ht="15">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2:72" ht="15">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row>
    <row r="179" spans="2:72" ht="15">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row>
    <row r="180" spans="2:72" ht="15">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row>
    <row r="181" spans="2:72" ht="15">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row>
    <row r="182" spans="2:72" ht="15">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row>
  </sheetData>
  <mergeCells count="1">
    <mergeCell ref="B4:BT4"/>
  </mergeCells>
  <pageMargins left="0.7" right="0.7" top="0.75" bottom="0.75" header="0.3" footer="0.3"/>
  <legacy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D4E1F-CE8F-4673-8CEA-403CFF532AD9}">
  <sheetPr>
    <tabColor rgb="FF99CCFF"/>
  </sheetPr>
  <dimension ref="B1:J1"/>
  <sheetViews>
    <sheetView workbookViewId="0"/>
    <sheetView workbookViewId="1"/>
    <sheetView workbookViewId="2"/>
  </sheetViews>
  <sheetFormatPr defaultRowHeight="15"/>
  <cols>
    <col min="2" max="2" width="8.5703125" customWidth="1"/>
    <col min="3" max="3" width="14.5703125" customWidth="1"/>
  </cols>
  <sheetData>
    <row r="1" spans="2:10" ht="47.45" customHeight="1">
      <c r="B1" s="1203" t="s">
        <v>2729</v>
      </c>
      <c r="C1" s="1203"/>
      <c r="D1" s="1203"/>
      <c r="E1" s="1203"/>
      <c r="F1" s="1203"/>
      <c r="G1" s="1203"/>
      <c r="H1" s="1203"/>
      <c r="I1" s="346"/>
      <c r="J1" s="346"/>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Energy Efficiency Rider
&amp;RSchedule F-7
Page &amp;P of &amp;N</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4947A-A8FA-4530-BE9D-0F6DDC74B467}">
  <sheetPr>
    <tabColor rgb="FF9999FF"/>
  </sheetPr>
  <dimension ref="B2:J2"/>
  <sheetViews>
    <sheetView workbookViewId="0"/>
    <sheetView workbookViewId="1"/>
    <sheetView workbookViewId="2"/>
  </sheetViews>
  <sheetFormatPr defaultRowHeight="15"/>
  <cols>
    <col min="2" max="2" width="8.5703125" customWidth="1"/>
    <col min="3" max="3" width="14.5703125" customWidth="1"/>
  </cols>
  <sheetData>
    <row r="2" spans="2:10" ht="36.950000000000003" customHeight="1">
      <c r="B2" s="1203" t="s">
        <v>2730</v>
      </c>
      <c r="C2" s="1203"/>
      <c r="D2" s="1203"/>
      <c r="E2" s="1203"/>
      <c r="F2" s="1203"/>
      <c r="G2" s="1203"/>
      <c r="H2" s="1203"/>
      <c r="I2" s="346"/>
      <c r="J2" s="346"/>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Description of Affiliates and Listing of Officers
&amp;RSchedule G
Page &amp;P of &amp;N</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DCF0-9FD9-4C66-9F6C-6BEA25E2B7A6}">
  <sheetPr>
    <tabColor rgb="FFCC99FF"/>
  </sheetPr>
  <dimension ref="A2:L32"/>
  <sheetViews>
    <sheetView workbookViewId="0"/>
    <sheetView workbookViewId="1"/>
    <sheetView workbookViewId="2"/>
  </sheetViews>
  <sheetFormatPr defaultRowHeight="15"/>
  <cols>
    <col min="1" max="1" width="29" customWidth="1"/>
    <col min="2" max="2" width="14.85546875" customWidth="1"/>
    <col min="3" max="4" width="13.5703125" bestFit="1" customWidth="1"/>
    <col min="5" max="11" width="14.85546875" customWidth="1"/>
    <col min="12" max="12" width="15.140625" customWidth="1"/>
    <col min="13" max="13" width="12.85546875" bestFit="1" customWidth="1"/>
  </cols>
  <sheetData>
    <row r="2" spans="1:12">
      <c r="A2" s="69" t="s">
        <v>2731</v>
      </c>
    </row>
    <row r="3" spans="1:12" ht="17.25">
      <c r="B3" s="56" t="s">
        <v>2732</v>
      </c>
      <c r="C3" s="56" t="s">
        <v>2733</v>
      </c>
      <c r="D3" s="56" t="s">
        <v>2734</v>
      </c>
      <c r="E3" s="56" t="s">
        <v>2735</v>
      </c>
      <c r="F3" s="56" t="s">
        <v>2736</v>
      </c>
      <c r="G3" s="56" t="s">
        <v>2737</v>
      </c>
      <c r="H3" s="56" t="s">
        <v>2738</v>
      </c>
      <c r="I3" s="56" t="s">
        <v>2739</v>
      </c>
      <c r="J3" s="56" t="s">
        <v>2740</v>
      </c>
      <c r="K3" s="56" t="s">
        <v>2741</v>
      </c>
      <c r="L3" s="56" t="s">
        <v>2742</v>
      </c>
    </row>
    <row r="4" spans="1:12">
      <c r="A4" t="s">
        <v>2743</v>
      </c>
      <c r="B4" s="413">
        <v>290786.79599999997</v>
      </c>
      <c r="C4" s="413">
        <v>325307.93199999997</v>
      </c>
      <c r="D4" s="413">
        <v>379561.42300000001</v>
      </c>
      <c r="E4" s="413">
        <v>143685.84899999999</v>
      </c>
      <c r="F4" s="413">
        <v>372133.00700000004</v>
      </c>
      <c r="G4" s="413">
        <v>409481.03099999996</v>
      </c>
      <c r="H4" s="413">
        <v>436375.71199999994</v>
      </c>
      <c r="I4" s="413">
        <v>453727.61499999999</v>
      </c>
      <c r="J4" s="413">
        <v>380201.93900000001</v>
      </c>
      <c r="K4" s="413">
        <v>394809.25700000004</v>
      </c>
      <c r="L4" s="413">
        <v>382125.50400000002</v>
      </c>
    </row>
    <row r="5" spans="1:12" ht="17.25">
      <c r="A5" t="s">
        <v>2744</v>
      </c>
      <c r="B5" s="411">
        <v>7932174.1799999997</v>
      </c>
      <c r="C5" s="411">
        <v>9541151.8100000005</v>
      </c>
      <c r="D5" s="411">
        <v>11896676.59</v>
      </c>
      <c r="E5" s="411">
        <v>5078426.41</v>
      </c>
      <c r="F5" s="411">
        <v>10147183.58</v>
      </c>
      <c r="G5" s="411">
        <v>13042548.199999999</v>
      </c>
      <c r="H5" s="411">
        <v>10554480.08</v>
      </c>
      <c r="I5" s="411">
        <v>6020466.0700000003</v>
      </c>
      <c r="J5" s="411">
        <v>6073338.0899999999</v>
      </c>
      <c r="K5" s="411">
        <v>5528082.5099999998</v>
      </c>
      <c r="L5" s="411">
        <v>4569365.6500000004</v>
      </c>
    </row>
    <row r="6" spans="1:12" ht="15.75" thickBot="1">
      <c r="A6" t="s">
        <v>2745</v>
      </c>
      <c r="B6" s="412">
        <f t="shared" ref="B6:L6" si="0">SUM(B5:B5)</f>
        <v>7932174.1799999997</v>
      </c>
      <c r="C6" s="412">
        <f t="shared" si="0"/>
        <v>9541151.8100000005</v>
      </c>
      <c r="D6" s="412">
        <f t="shared" si="0"/>
        <v>11896676.59</v>
      </c>
      <c r="E6" s="412">
        <f t="shared" si="0"/>
        <v>5078426.41</v>
      </c>
      <c r="F6" s="412">
        <f t="shared" si="0"/>
        <v>10147183.58</v>
      </c>
      <c r="G6" s="412">
        <f t="shared" si="0"/>
        <v>13042548.199999999</v>
      </c>
      <c r="H6" s="412">
        <f t="shared" si="0"/>
        <v>10554480.08</v>
      </c>
      <c r="I6" s="412">
        <f t="shared" si="0"/>
        <v>6020466.0700000003</v>
      </c>
      <c r="J6" s="412">
        <f t="shared" si="0"/>
        <v>6073338.0899999999</v>
      </c>
      <c r="K6" s="412">
        <f t="shared" si="0"/>
        <v>5528082.5099999998</v>
      </c>
      <c r="L6" s="412">
        <f t="shared" si="0"/>
        <v>4569365.6500000004</v>
      </c>
    </row>
    <row r="7" spans="1:12" ht="16.5" thickTop="1">
      <c r="A7" s="79" t="s">
        <v>2746</v>
      </c>
    </row>
    <row r="8" spans="1:12" ht="15.75">
      <c r="A8" s="79" t="s">
        <v>2747</v>
      </c>
    </row>
    <row r="9" spans="1:12">
      <c r="B9" s="56"/>
      <c r="C9" s="56"/>
      <c r="D9" s="56"/>
    </row>
    <row r="10" spans="1:12">
      <c r="A10" s="69" t="s">
        <v>2748</v>
      </c>
    </row>
    <row r="11" spans="1:12">
      <c r="B11" s="56" t="s">
        <v>2749</v>
      </c>
      <c r="C11" s="56" t="s">
        <v>2750</v>
      </c>
      <c r="D11" s="56" t="s">
        <v>2751</v>
      </c>
    </row>
    <row r="12" spans="1:12">
      <c r="A12" t="s">
        <v>2743</v>
      </c>
      <c r="B12" s="411">
        <v>740287.45767226373</v>
      </c>
      <c r="C12" s="411">
        <v>1640845.458401795</v>
      </c>
      <c r="D12" s="411">
        <v>2026544.9976601398</v>
      </c>
    </row>
    <row r="13" spans="1:12" ht="17.25">
      <c r="A13" t="s">
        <v>2744</v>
      </c>
      <c r="B13" s="411">
        <v>5313758.9855400007</v>
      </c>
      <c r="C13" s="411">
        <v>5287190.1906122994</v>
      </c>
      <c r="D13" s="411">
        <v>5260754.2396592395</v>
      </c>
    </row>
    <row r="14" spans="1:12">
      <c r="A14" t="s">
        <v>2752</v>
      </c>
      <c r="B14" s="411">
        <v>21172.221289426743</v>
      </c>
      <c r="C14" s="411">
        <v>46928.180110291338</v>
      </c>
      <c r="D14" s="411">
        <v>57959.186933079996</v>
      </c>
    </row>
    <row r="15" spans="1:12" ht="15.75" thickBot="1">
      <c r="A15" t="s">
        <v>2745</v>
      </c>
      <c r="B15" s="412">
        <f>SUM(B13:B14)</f>
        <v>5334931.2068294277</v>
      </c>
      <c r="C15" s="412">
        <f>SUM(C13:C14)</f>
        <v>5334118.3707225909</v>
      </c>
      <c r="D15" s="412">
        <f>SUM(D13:D14)</f>
        <v>5318713.4265923193</v>
      </c>
    </row>
    <row r="16" spans="1:12" ht="16.5" thickTop="1">
      <c r="A16" s="79" t="s">
        <v>2753</v>
      </c>
      <c r="B16" s="411"/>
      <c r="C16" s="411"/>
      <c r="D16" s="411"/>
    </row>
    <row r="17" spans="1:8">
      <c r="A17" s="69"/>
    </row>
    <row r="18" spans="1:8">
      <c r="A18" s="69" t="s">
        <v>2754</v>
      </c>
    </row>
    <row r="19" spans="1:8">
      <c r="A19" s="29" t="s">
        <v>2755</v>
      </c>
      <c r="B19" s="423" t="s">
        <v>2756</v>
      </c>
      <c r="C19" s="424"/>
    </row>
    <row r="20" spans="1:8" ht="150">
      <c r="A20" s="422" t="s">
        <v>2757</v>
      </c>
      <c r="B20" s="421" t="s">
        <v>2758</v>
      </c>
      <c r="C20" s="421"/>
    </row>
    <row r="21" spans="1:8" ht="165">
      <c r="A21" s="422" t="s">
        <v>2759</v>
      </c>
      <c r="B21" s="1292" t="s">
        <v>2760</v>
      </c>
      <c r="C21" s="1292"/>
    </row>
    <row r="22" spans="1:8" ht="135">
      <c r="A22" s="422" t="s">
        <v>2761</v>
      </c>
      <c r="B22" s="421" t="s">
        <v>2762</v>
      </c>
      <c r="C22" s="424"/>
    </row>
    <row r="23" spans="1:8" ht="135">
      <c r="A23" s="422" t="s">
        <v>2763</v>
      </c>
      <c r="B23" s="421" t="s">
        <v>2764</v>
      </c>
      <c r="C23" s="424"/>
    </row>
    <row r="24" spans="1:8" ht="60">
      <c r="A24" s="422" t="s">
        <v>2765</v>
      </c>
      <c r="B24" s="421" t="s">
        <v>2766</v>
      </c>
      <c r="C24" s="424"/>
    </row>
    <row r="26" spans="1:8">
      <c r="A26" s="29" t="s">
        <v>2767</v>
      </c>
    </row>
    <row r="27" spans="1:8" ht="60">
      <c r="A27" s="415" t="s">
        <v>2768</v>
      </c>
      <c r="B27" s="415" t="s">
        <v>2769</v>
      </c>
      <c r="C27" s="415" t="s">
        <v>2770</v>
      </c>
      <c r="D27" s="415" t="s">
        <v>2771</v>
      </c>
      <c r="E27" s="415" t="s">
        <v>2772</v>
      </c>
      <c r="F27" s="415" t="s">
        <v>2773</v>
      </c>
      <c r="G27" s="415" t="s">
        <v>2774</v>
      </c>
      <c r="H27" s="414"/>
    </row>
    <row r="28" spans="1:8">
      <c r="A28" s="2">
        <v>2020</v>
      </c>
      <c r="B28" s="416">
        <v>11865186</v>
      </c>
      <c r="C28" s="417">
        <v>888892.4</v>
      </c>
      <c r="D28" s="417">
        <v>296166</v>
      </c>
      <c r="E28" s="417">
        <v>1185058.3999999999</v>
      </c>
      <c r="F28" s="416">
        <v>7826</v>
      </c>
      <c r="G28" s="418">
        <v>0.1</v>
      </c>
    </row>
    <row r="29" spans="1:8">
      <c r="A29" s="2">
        <v>2021</v>
      </c>
      <c r="B29" s="416">
        <v>22374225</v>
      </c>
      <c r="C29" s="417">
        <v>1678267.3</v>
      </c>
      <c r="D29" s="417">
        <v>559155.19999999995</v>
      </c>
      <c r="E29" s="417">
        <v>2237422.5</v>
      </c>
      <c r="F29" s="416">
        <v>16274</v>
      </c>
      <c r="G29" s="418">
        <v>0.1</v>
      </c>
    </row>
    <row r="30" spans="1:8">
      <c r="A30" s="2">
        <v>2022</v>
      </c>
      <c r="B30" s="416">
        <v>51689467</v>
      </c>
      <c r="C30" s="417">
        <v>3877071</v>
      </c>
      <c r="D30" s="417">
        <v>1291875.7</v>
      </c>
      <c r="E30" s="417">
        <v>5168946.7</v>
      </c>
      <c r="F30" s="416">
        <v>28769</v>
      </c>
      <c r="G30" s="418">
        <v>0.1</v>
      </c>
    </row>
    <row r="31" spans="1:8">
      <c r="A31" s="2">
        <v>2023</v>
      </c>
      <c r="B31" s="416">
        <v>71988806</v>
      </c>
      <c r="C31" s="417">
        <v>5399863.4000000004</v>
      </c>
      <c r="D31" s="417">
        <v>1799017.2</v>
      </c>
      <c r="E31" s="417">
        <v>7198880.5999999996</v>
      </c>
      <c r="F31" s="416">
        <v>55472</v>
      </c>
      <c r="G31" s="418">
        <v>0.1</v>
      </c>
    </row>
    <row r="32" spans="1:8">
      <c r="A32" s="2">
        <v>2024</v>
      </c>
      <c r="B32" s="416">
        <v>82134800</v>
      </c>
      <c r="C32" s="417">
        <v>6160861.2000000002</v>
      </c>
      <c r="D32" s="417">
        <v>2052537.5</v>
      </c>
      <c r="E32" s="417">
        <v>8213398.7000000002</v>
      </c>
      <c r="F32" s="416">
        <v>67302</v>
      </c>
      <c r="G32" s="418">
        <v>0.1</v>
      </c>
    </row>
  </sheetData>
  <mergeCells count="1">
    <mergeCell ref="B21:C21"/>
  </mergeCells>
  <pageMargins left="0.7" right="0.7" top="0.75" bottom="0.75" header="0.3" footer="0.3"/>
  <pageSetup scale="47" orientation="portrait" horizontalDpi="1200" verticalDpi="1200" r:id="rId1"/>
  <headerFooter>
    <oddHeader>&amp;LPuerto Rico Electric Power Authority 
Docket NEPR-AP-2023-0003
PREPA's Estimate of its RPS Compliance Costs&amp;RPage &amp;P of &amp;N
Schedule H</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4BD14-B588-4167-B934-AD0280D9EB8D}">
  <sheetPr>
    <tabColor theme="2" tint="-9.9978637043366805E-2"/>
  </sheetPr>
  <dimension ref="B2:J2"/>
  <sheetViews>
    <sheetView workbookViewId="0"/>
    <sheetView workbookViewId="1"/>
    <sheetView workbookViewId="2"/>
  </sheetViews>
  <sheetFormatPr defaultColWidth="8.5703125" defaultRowHeight="15"/>
  <cols>
    <col min="2" max="2" width="8.5703125" customWidth="1"/>
    <col min="3" max="3" width="15.85546875" customWidth="1"/>
    <col min="6" max="6" width="14.140625" customWidth="1"/>
  </cols>
  <sheetData>
    <row r="2" spans="2:10" ht="42" customHeight="1">
      <c r="B2" s="1203" t="s">
        <v>2775</v>
      </c>
      <c r="C2" s="1203"/>
      <c r="D2" s="1203"/>
      <c r="E2" s="1203"/>
      <c r="F2" s="1203"/>
      <c r="G2" s="1203"/>
      <c r="H2" s="1203"/>
      <c r="I2" s="346"/>
      <c r="J2" s="346"/>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LUMA's Explanation for Temporary Revenue Decoupling Mechanism&amp;RPage &amp;P of &amp;N
Schedule I</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04DAF-D970-4CDA-B254-9CCE5824FFFD}">
  <sheetPr>
    <tabColor theme="2" tint="-0.249977111117893"/>
  </sheetPr>
  <dimension ref="B2:J7"/>
  <sheetViews>
    <sheetView workbookViewId="0"/>
    <sheetView workbookViewId="1"/>
    <sheetView workbookViewId="2"/>
  </sheetViews>
  <sheetFormatPr defaultColWidth="8.5703125" defaultRowHeight="15"/>
  <cols>
    <col min="2" max="2" width="8.5703125" customWidth="1"/>
    <col min="3" max="3" width="14.5703125" customWidth="1"/>
  </cols>
  <sheetData>
    <row r="2" spans="2:10" ht="41.45" customHeight="1">
      <c r="B2" s="1203" t="s">
        <v>2776</v>
      </c>
      <c r="C2" s="1203"/>
      <c r="D2" s="1203"/>
      <c r="E2" s="1203"/>
      <c r="F2" s="1203"/>
      <c r="G2" s="1203"/>
      <c r="H2" s="1203"/>
      <c r="I2" s="346"/>
      <c r="J2" s="346"/>
    </row>
    <row r="3" spans="2:10" ht="19.5">
      <c r="B3" s="383"/>
      <c r="C3" s="383"/>
      <c r="D3" s="383"/>
      <c r="E3" s="383"/>
      <c r="F3" s="383"/>
      <c r="G3" s="383"/>
      <c r="H3" s="383"/>
      <c r="I3" s="346"/>
      <c r="J3" s="346"/>
    </row>
    <row r="4" spans="2:10">
      <c r="C4" s="384"/>
    </row>
    <row r="5" spans="2:10">
      <c r="C5" s="86"/>
    </row>
    <row r="7" spans="2:10">
      <c r="C7" s="86"/>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LUMA's Major Storm Cost Rider &amp;RSchedule J
Page &amp;P of &amp;N</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689D8-6C8A-42A3-B57C-D1ACE146A148}">
  <sheetPr>
    <tabColor theme="2"/>
  </sheetPr>
  <dimension ref="A1"/>
  <sheetViews>
    <sheetView workbookViewId="0"/>
    <sheetView workbookViewId="1"/>
    <sheetView workbookViewId="2"/>
  </sheetViews>
  <sheetFormatPr defaultRowHeight="1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6AE31-D684-4978-B17E-4F25FF65C6CE}">
  <sheetPr>
    <pageSetUpPr fitToPage="1"/>
  </sheetPr>
  <dimension ref="A1:Q168"/>
  <sheetViews>
    <sheetView workbookViewId="0"/>
    <sheetView workbookViewId="1"/>
    <sheetView workbookViewId="2"/>
  </sheetViews>
  <sheetFormatPr defaultColWidth="8.42578125" defaultRowHeight="12.75"/>
  <cols>
    <col min="1" max="1" width="32.140625" style="115" customWidth="1"/>
    <col min="2" max="2" width="20.5703125" style="115" customWidth="1"/>
    <col min="3" max="3" width="25.85546875" style="115" customWidth="1"/>
    <col min="4" max="4" width="8.85546875" style="115" customWidth="1"/>
    <col min="5" max="5" width="8" style="115" customWidth="1"/>
    <col min="6" max="6" width="1.5703125" style="115" customWidth="1"/>
    <col min="7" max="7" width="14.140625" style="115" customWidth="1"/>
    <col min="8" max="8" width="1.5703125" style="115" customWidth="1"/>
    <col min="9" max="9" width="15.5703125" style="115" customWidth="1"/>
    <col min="10" max="10" width="10.5703125" style="115" customWidth="1"/>
    <col min="11" max="11" width="8" style="115" customWidth="1"/>
    <col min="12" max="12" width="1.5703125" style="115" customWidth="1"/>
    <col min="13" max="13" width="13.140625" style="115" customWidth="1"/>
    <col min="14" max="14" width="1.5703125" style="115" customWidth="1"/>
    <col min="15" max="15" width="13" style="115" customWidth="1"/>
    <col min="16" max="16" width="8.42578125" style="115"/>
    <col min="17" max="17" width="12.140625" style="115" customWidth="1"/>
    <col min="18" max="16384" width="8.42578125" style="115"/>
  </cols>
  <sheetData>
    <row r="1" spans="1:17">
      <c r="A1" s="113" t="s">
        <v>2777</v>
      </c>
      <c r="B1" s="114"/>
    </row>
    <row r="2" spans="1:17">
      <c r="A2" s="113" t="s">
        <v>2778</v>
      </c>
      <c r="B2" s="114"/>
    </row>
    <row r="3" spans="1:17">
      <c r="A3" s="113" t="s">
        <v>2779</v>
      </c>
      <c r="B3" s="114"/>
    </row>
    <row r="4" spans="1:17">
      <c r="A4" s="113" t="s">
        <v>2780</v>
      </c>
      <c r="B4" s="116" t="s">
        <v>2781</v>
      </c>
    </row>
    <row r="5" spans="1:17">
      <c r="A5" s="115" t="s">
        <v>3</v>
      </c>
    </row>
    <row r="6" spans="1:17">
      <c r="A6" s="115" t="s">
        <v>2782</v>
      </c>
    </row>
    <row r="7" spans="1:17">
      <c r="A7" s="115" t="s">
        <v>2783</v>
      </c>
    </row>
    <row r="9" spans="1:17">
      <c r="A9" s="117"/>
      <c r="B9" s="117"/>
      <c r="C9" s="118"/>
      <c r="D9" s="118"/>
      <c r="E9" s="118"/>
      <c r="F9" s="118"/>
      <c r="G9" s="118"/>
      <c r="H9" s="118"/>
      <c r="I9" s="118"/>
      <c r="J9" s="118"/>
      <c r="K9" s="118"/>
      <c r="L9" s="118"/>
      <c r="M9" s="118"/>
      <c r="N9" s="118"/>
      <c r="O9" s="118"/>
      <c r="P9" s="118"/>
      <c r="Q9" s="118"/>
    </row>
    <row r="10" spans="1:17">
      <c r="A10" s="119"/>
      <c r="B10" s="119"/>
      <c r="C10" s="119"/>
      <c r="D10" s="119"/>
      <c r="E10" s="119"/>
      <c r="F10" s="119"/>
      <c r="G10" s="119"/>
      <c r="H10" s="119"/>
      <c r="I10" s="119"/>
      <c r="J10" s="119"/>
      <c r="K10" s="119"/>
      <c r="L10" s="119"/>
      <c r="M10" s="119"/>
      <c r="N10" s="119"/>
      <c r="O10" s="119"/>
      <c r="P10" s="119"/>
      <c r="Q10" s="119"/>
    </row>
    <row r="11" spans="1:17">
      <c r="A11" s="119"/>
      <c r="B11" s="119"/>
      <c r="C11" s="120" t="s">
        <v>2503</v>
      </c>
      <c r="D11" s="119"/>
      <c r="E11" s="119"/>
      <c r="F11" s="119"/>
      <c r="G11" s="119"/>
      <c r="H11" s="119"/>
      <c r="I11" s="120" t="s">
        <v>2546</v>
      </c>
      <c r="J11" s="119"/>
      <c r="K11" s="119"/>
      <c r="L11" s="119"/>
      <c r="M11" s="119"/>
      <c r="N11" s="119"/>
      <c r="O11" s="118" t="s">
        <v>2547</v>
      </c>
      <c r="P11" s="118"/>
      <c r="Q11" s="118"/>
    </row>
    <row r="12" spans="1:17">
      <c r="A12" s="119"/>
      <c r="B12" s="119"/>
      <c r="C12" s="120" t="s">
        <v>2548</v>
      </c>
      <c r="D12" s="120" t="s">
        <v>2503</v>
      </c>
      <c r="E12" s="120"/>
      <c r="F12" s="120"/>
      <c r="G12" s="120" t="s">
        <v>2503</v>
      </c>
      <c r="H12" s="120"/>
      <c r="I12" s="120" t="s">
        <v>2548</v>
      </c>
      <c r="J12" s="120" t="s">
        <v>2546</v>
      </c>
      <c r="K12" s="120"/>
      <c r="L12" s="120"/>
      <c r="M12" s="120" t="s">
        <v>2546</v>
      </c>
      <c r="N12" s="120"/>
      <c r="O12" s="118" t="s">
        <v>2549</v>
      </c>
      <c r="P12" s="118"/>
      <c r="Q12" s="118"/>
    </row>
    <row r="13" spans="1:17">
      <c r="A13" s="121" t="s">
        <v>2550</v>
      </c>
      <c r="B13" s="121"/>
      <c r="C13" s="122" t="s">
        <v>2551</v>
      </c>
      <c r="D13" s="122" t="s">
        <v>2552</v>
      </c>
      <c r="E13" s="122"/>
      <c r="F13" s="122"/>
      <c r="G13" s="122" t="s">
        <v>2506</v>
      </c>
      <c r="H13" s="122"/>
      <c r="I13" s="122" t="s">
        <v>2551</v>
      </c>
      <c r="J13" s="122" t="s">
        <v>2552</v>
      </c>
      <c r="K13" s="122"/>
      <c r="L13" s="122"/>
      <c r="M13" s="122" t="s">
        <v>2506</v>
      </c>
      <c r="N13" s="122"/>
      <c r="O13" s="122" t="s">
        <v>2553</v>
      </c>
      <c r="P13" s="122"/>
      <c r="Q13" s="122" t="s">
        <v>2554</v>
      </c>
    </row>
    <row r="14" spans="1:17">
      <c r="A14" s="119"/>
      <c r="B14" s="119"/>
      <c r="C14" s="119"/>
      <c r="D14" s="119"/>
      <c r="E14" s="119"/>
      <c r="F14" s="119"/>
      <c r="G14" s="119"/>
      <c r="H14" s="119"/>
      <c r="I14" s="119"/>
      <c r="J14" s="119"/>
      <c r="K14" s="119"/>
      <c r="L14" s="119"/>
      <c r="M14" s="119"/>
      <c r="N14" s="119"/>
      <c r="O14" s="119"/>
      <c r="P14" s="119"/>
      <c r="Q14" s="119"/>
    </row>
    <row r="15" spans="1:17">
      <c r="A15" s="123" t="s">
        <v>2555</v>
      </c>
      <c r="B15" s="123"/>
      <c r="C15" s="119"/>
      <c r="D15" s="119"/>
      <c r="E15" s="119"/>
      <c r="F15" s="119"/>
      <c r="G15" s="119"/>
      <c r="H15" s="119"/>
      <c r="I15" s="124"/>
      <c r="J15" s="119"/>
      <c r="K15" s="119"/>
      <c r="L15" s="119"/>
      <c r="M15" s="119"/>
      <c r="N15" s="119"/>
      <c r="O15" s="119"/>
      <c r="P15" s="119"/>
      <c r="Q15" s="119"/>
    </row>
    <row r="16" spans="1:17">
      <c r="A16" s="119"/>
      <c r="B16" s="119"/>
      <c r="C16" s="119"/>
      <c r="D16" s="119"/>
      <c r="E16" s="119"/>
      <c r="F16" s="119"/>
      <c r="G16" s="119"/>
      <c r="H16" s="119"/>
      <c r="I16" s="124"/>
      <c r="J16" s="119"/>
      <c r="K16" s="119"/>
      <c r="L16" s="119"/>
      <c r="M16" s="119"/>
      <c r="N16" s="119"/>
      <c r="O16" s="119"/>
      <c r="P16" s="119"/>
      <c r="Q16" s="119"/>
    </row>
    <row r="17" spans="1:17">
      <c r="A17" s="119" t="s">
        <v>2556</v>
      </c>
      <c r="B17" s="119"/>
      <c r="C17" s="125">
        <v>1171166</v>
      </c>
      <c r="D17" s="126">
        <v>4</v>
      </c>
      <c r="E17" s="119" t="s">
        <v>2557</v>
      </c>
      <c r="F17" s="127"/>
      <c r="G17" s="128">
        <f>ROUND(D17*C17*12,0)</f>
        <v>56215968</v>
      </c>
      <c r="H17" s="119"/>
      <c r="I17" s="129">
        <v>1171166</v>
      </c>
      <c r="J17" s="126">
        <v>15</v>
      </c>
      <c r="K17" s="119" t="str">
        <f>E17</f>
        <v>per month</v>
      </c>
      <c r="L17" s="127"/>
      <c r="M17" s="128">
        <f>ROUND(J17*I17*12,0)</f>
        <v>210809880</v>
      </c>
      <c r="N17" s="128"/>
      <c r="O17" s="128">
        <f>IF(AND(M17=0,NOT(G17=0)),0,M17-G17)</f>
        <v>154593912</v>
      </c>
      <c r="P17" s="128"/>
      <c r="Q17" s="130">
        <f>IF(C17=0,0,ROUND((M17-G17)/G17,9))</f>
        <v>2.75</v>
      </c>
    </row>
    <row r="18" spans="1:17">
      <c r="A18" s="119"/>
      <c r="B18" s="119"/>
      <c r="C18" s="131"/>
      <c r="D18" s="132"/>
      <c r="E18" s="119"/>
      <c r="F18" s="119"/>
      <c r="G18" s="119"/>
      <c r="H18" s="119"/>
      <c r="I18" s="131"/>
      <c r="J18" s="132"/>
      <c r="K18" s="119"/>
      <c r="L18" s="119"/>
      <c r="M18" s="119"/>
      <c r="N18" s="119"/>
      <c r="O18" s="119"/>
      <c r="P18" s="119"/>
      <c r="Q18" s="119"/>
    </row>
    <row r="19" spans="1:17">
      <c r="A19" s="119" t="s">
        <v>2558</v>
      </c>
      <c r="B19" s="119"/>
      <c r="C19" s="125"/>
      <c r="D19" s="132"/>
      <c r="E19" s="119"/>
      <c r="F19" s="119"/>
      <c r="G19" s="119"/>
      <c r="H19" s="119"/>
      <c r="I19" s="131"/>
      <c r="J19" s="132"/>
      <c r="K19" s="119"/>
      <c r="L19" s="119"/>
      <c r="M19" s="119"/>
      <c r="N19" s="119"/>
      <c r="O19" s="119"/>
      <c r="P19" s="119"/>
      <c r="Q19" s="119"/>
    </row>
    <row r="20" spans="1:17">
      <c r="A20" s="133" t="s">
        <v>2559</v>
      </c>
      <c r="B20" s="119"/>
      <c r="C20" s="125">
        <v>4930597659.9069214</v>
      </c>
      <c r="D20" s="134">
        <v>4.9439999999999998E-2</v>
      </c>
      <c r="E20" s="135" t="s">
        <v>2560</v>
      </c>
      <c r="F20" s="119"/>
      <c r="G20" s="128">
        <f>ROUND(D20*C20,0)</f>
        <v>243768748</v>
      </c>
      <c r="H20" s="119"/>
      <c r="I20" s="125">
        <v>4930597659.9069214</v>
      </c>
      <c r="J20" s="134">
        <v>7.0000000000000007E-2</v>
      </c>
      <c r="K20" s="135" t="s">
        <v>2560</v>
      </c>
      <c r="L20" s="119"/>
      <c r="M20" s="128">
        <f>ROUND(J20*I20,0)</f>
        <v>345141836</v>
      </c>
      <c r="N20" s="119"/>
      <c r="O20" s="128">
        <f>IF(AND(M20=0,NOT(G20=0)),0,M20-G20)</f>
        <v>101373088</v>
      </c>
      <c r="P20" s="128"/>
      <c r="Q20" s="130">
        <f>IF(C20=0,0,ROUND((M20-G20)/G20,9))</f>
        <v>0.41585760599999999</v>
      </c>
    </row>
    <row r="21" spans="1:17">
      <c r="A21" s="133" t="s">
        <v>2561</v>
      </c>
      <c r="B21" s="119"/>
      <c r="C21" s="125">
        <v>0</v>
      </c>
      <c r="D21" s="135">
        <v>5.5640000000000002E-2</v>
      </c>
      <c r="E21" s="135" t="s">
        <v>2560</v>
      </c>
      <c r="F21" s="135"/>
      <c r="G21" s="128">
        <f>ROUND(D21*C21,0)</f>
        <v>0</v>
      </c>
      <c r="H21" s="119"/>
      <c r="I21" s="125">
        <v>0</v>
      </c>
      <c r="J21" s="132">
        <v>8.5000000000000006E-2</v>
      </c>
      <c r="K21" s="135" t="s">
        <v>2560</v>
      </c>
      <c r="L21" s="135"/>
      <c r="M21" s="128">
        <f>ROUND(J21*I21,0)</f>
        <v>0</v>
      </c>
      <c r="N21" s="128"/>
      <c r="O21" s="128">
        <f>IF(AND(M21=0,NOT(G21=0)),0,M21-G21)</f>
        <v>0</v>
      </c>
      <c r="P21" s="128"/>
      <c r="Q21" s="130">
        <f>IF(C21=0,0,ROUND((M21-G21)/G21,9))</f>
        <v>0</v>
      </c>
    </row>
    <row r="22" spans="1:17" ht="13.5" thickBot="1">
      <c r="A22" s="136" t="s">
        <v>2562</v>
      </c>
      <c r="B22" s="137"/>
      <c r="C22" s="138">
        <f>SUM(C20:C21)</f>
        <v>4930597659.9069214</v>
      </c>
      <c r="D22" s="139"/>
      <c r="E22" s="139"/>
      <c r="F22" s="139"/>
      <c r="G22" s="140">
        <f>SUM(G17,G20,G21)</f>
        <v>299984716</v>
      </c>
      <c r="H22" s="137"/>
      <c r="I22" s="138">
        <f>SUM(I20:I21)</f>
        <v>4930597659.9069214</v>
      </c>
      <c r="J22" s="141"/>
      <c r="K22" s="139"/>
      <c r="L22" s="139"/>
      <c r="M22" s="140">
        <f>SUM(M17,M20,M21)</f>
        <v>555951716</v>
      </c>
      <c r="N22" s="140"/>
      <c r="O22" s="140">
        <f>IF(AND(M22=0,NOT(G22=0)),0,M22-G22)</f>
        <v>255967000</v>
      </c>
      <c r="P22" s="140"/>
      <c r="Q22" s="142">
        <f>IF(C22=0,0,ROUND((M22-G22)/G22,9))</f>
        <v>0.85326680399999999</v>
      </c>
    </row>
    <row r="23" spans="1:17" ht="13.5" thickTop="1">
      <c r="A23" s="119"/>
      <c r="B23" s="119"/>
      <c r="C23" s="119"/>
      <c r="D23" s="119"/>
      <c r="E23" s="119"/>
      <c r="F23" s="119"/>
      <c r="G23" s="119"/>
      <c r="H23" s="119"/>
      <c r="I23" s="119"/>
      <c r="J23" s="119"/>
      <c r="K23" s="119"/>
      <c r="L23" s="119"/>
      <c r="M23" s="119"/>
      <c r="N23" s="119"/>
      <c r="O23" s="119"/>
      <c r="P23" s="119"/>
      <c r="Q23" s="119"/>
    </row>
    <row r="24" spans="1:17" s="146" customFormat="1">
      <c r="A24" s="143" t="s">
        <v>2563</v>
      </c>
      <c r="B24" s="143"/>
      <c r="C24" s="144"/>
      <c r="D24" s="144"/>
      <c r="E24" s="144"/>
      <c r="F24" s="144"/>
      <c r="G24" s="144"/>
      <c r="H24" s="144"/>
      <c r="I24" s="145"/>
      <c r="J24" s="144"/>
      <c r="K24" s="144"/>
      <c r="L24" s="144"/>
      <c r="M24" s="144"/>
      <c r="N24" s="144"/>
      <c r="O24" s="144"/>
      <c r="P24" s="144"/>
      <c r="Q24" s="144"/>
    </row>
    <row r="25" spans="1:17" s="146" customFormat="1">
      <c r="A25" s="144"/>
      <c r="B25" s="144"/>
      <c r="C25" s="144"/>
      <c r="D25" s="144"/>
      <c r="E25" s="144"/>
      <c r="F25" s="144"/>
      <c r="G25" s="144"/>
      <c r="H25" s="144"/>
      <c r="I25" s="145"/>
      <c r="J25" s="144"/>
      <c r="K25" s="144"/>
      <c r="L25" s="144"/>
      <c r="M25" s="144"/>
      <c r="N25" s="144"/>
      <c r="O25" s="144"/>
      <c r="P25" s="144"/>
      <c r="Q25" s="144"/>
    </row>
    <row r="26" spans="1:17" s="146" customFormat="1">
      <c r="A26" s="144" t="s">
        <v>2556</v>
      </c>
      <c r="B26" s="144"/>
      <c r="C26" s="147">
        <v>156463</v>
      </c>
      <c r="D26" s="148">
        <v>3</v>
      </c>
      <c r="E26" s="144" t="s">
        <v>2557</v>
      </c>
      <c r="F26" s="149"/>
      <c r="G26" s="150">
        <f>ROUND(D26*C26*12,0)</f>
        <v>5632668</v>
      </c>
      <c r="H26" s="144"/>
      <c r="I26" s="151">
        <v>156463</v>
      </c>
      <c r="J26" s="148">
        <v>3</v>
      </c>
      <c r="K26" s="144" t="str">
        <f>E26</f>
        <v>per month</v>
      </c>
      <c r="L26" s="149"/>
      <c r="M26" s="150">
        <f>ROUND(J26*I26*12,0)</f>
        <v>5632668</v>
      </c>
      <c r="N26" s="150"/>
      <c r="O26" s="150">
        <f>IF(AND(M26=0,NOT(G26=0)),0,M26-G26)</f>
        <v>0</v>
      </c>
      <c r="P26" s="150"/>
      <c r="Q26" s="152">
        <f>IF(C26=0,0,ROUND((M26-G26)/G26,9))</f>
        <v>0</v>
      </c>
    </row>
    <row r="27" spans="1:17" s="146" customFormat="1">
      <c r="A27" s="144"/>
      <c r="B27" s="144"/>
      <c r="C27" s="153"/>
      <c r="D27" s="154"/>
      <c r="E27" s="144"/>
      <c r="F27" s="144"/>
      <c r="G27" s="144"/>
      <c r="H27" s="144"/>
      <c r="I27" s="153"/>
      <c r="J27" s="154"/>
      <c r="K27" s="144"/>
      <c r="L27" s="144"/>
      <c r="M27" s="144"/>
      <c r="N27" s="144"/>
      <c r="O27" s="144"/>
      <c r="P27" s="144"/>
      <c r="Q27" s="144"/>
    </row>
    <row r="28" spans="1:17" s="146" customFormat="1">
      <c r="A28" s="144" t="s">
        <v>2558</v>
      </c>
      <c r="B28" s="144"/>
      <c r="C28" s="147"/>
      <c r="D28" s="154"/>
      <c r="E28" s="144"/>
      <c r="F28" s="144"/>
      <c r="G28" s="150"/>
      <c r="H28" s="144"/>
      <c r="I28" s="153"/>
      <c r="J28" s="154"/>
      <c r="K28" s="144"/>
      <c r="L28" s="144"/>
      <c r="M28" s="144"/>
      <c r="N28" s="144"/>
      <c r="O28" s="144"/>
      <c r="P28" s="144"/>
      <c r="Q28" s="144"/>
    </row>
    <row r="29" spans="1:17" s="146" customFormat="1">
      <c r="A29" s="155" t="s">
        <v>2559</v>
      </c>
      <c r="B29" s="144"/>
      <c r="C29" s="147">
        <v>433527426.08210695</v>
      </c>
      <c r="D29" s="156">
        <v>2.0539999999999999E-2</v>
      </c>
      <c r="E29" s="157" t="s">
        <v>2560</v>
      </c>
      <c r="F29" s="144"/>
      <c r="G29" s="150">
        <f>ROUND(D29*C29,0)</f>
        <v>8904653</v>
      </c>
      <c r="H29" s="144"/>
      <c r="I29" s="147">
        <v>433527426.08210695</v>
      </c>
      <c r="J29" s="156">
        <v>2.7189999999999999E-2</v>
      </c>
      <c r="K29" s="157" t="s">
        <v>2560</v>
      </c>
      <c r="L29" s="144"/>
      <c r="M29" s="150">
        <f>ROUND(J29*I29,0)</f>
        <v>11787611</v>
      </c>
      <c r="N29" s="144"/>
      <c r="O29" s="150">
        <f>IF(AND(M29=0,NOT(G29=0)),0,M29-G29)</f>
        <v>2882958</v>
      </c>
      <c r="P29" s="150"/>
      <c r="Q29" s="152">
        <f>IF(C29=0,0,ROUND((M29-G29)/G29,9))</f>
        <v>0.32375860099999998</v>
      </c>
    </row>
    <row r="30" spans="1:17" s="146" customFormat="1">
      <c r="A30" s="155" t="s">
        <v>2561</v>
      </c>
      <c r="B30" s="144"/>
      <c r="C30" s="147">
        <v>55436313.900534429</v>
      </c>
      <c r="D30" s="157">
        <v>5.5640000000000002E-2</v>
      </c>
      <c r="E30" s="157" t="s">
        <v>2560</v>
      </c>
      <c r="F30" s="157"/>
      <c r="G30" s="150">
        <f>ROUND(D30*C30,0)</f>
        <v>3084477</v>
      </c>
      <c r="H30" s="144"/>
      <c r="I30" s="147">
        <v>55436313.900534429</v>
      </c>
      <c r="J30" s="154">
        <v>7.3669999999999999E-2</v>
      </c>
      <c r="K30" s="157" t="s">
        <v>2560</v>
      </c>
      <c r="L30" s="157"/>
      <c r="M30" s="150">
        <f>ROUND(J30*I30,0)</f>
        <v>4083993</v>
      </c>
      <c r="N30" s="150"/>
      <c r="O30" s="150">
        <f>IF(AND(M30=0,NOT(G30=0)),0,M30-G30)</f>
        <v>999516</v>
      </c>
      <c r="P30" s="150"/>
      <c r="Q30" s="152">
        <f>IF(C30=0,0,ROUND((M30-G30)/G30,9))</f>
        <v>0.324047156</v>
      </c>
    </row>
    <row r="31" spans="1:17" s="146" customFormat="1" ht="13.5" thickBot="1">
      <c r="A31" s="158" t="s">
        <v>2564</v>
      </c>
      <c r="B31" s="159"/>
      <c r="C31" s="160">
        <f>SUM(C29:C30)</f>
        <v>488963739.9826414</v>
      </c>
      <c r="D31" s="161"/>
      <c r="E31" s="161"/>
      <c r="F31" s="161"/>
      <c r="G31" s="162">
        <f>SUM(G26,G29,G30)</f>
        <v>17621798</v>
      </c>
      <c r="H31" s="159"/>
      <c r="I31" s="160">
        <f>SUM(I29:I30)</f>
        <v>488963739.9826414</v>
      </c>
      <c r="J31" s="163"/>
      <c r="K31" s="161"/>
      <c r="L31" s="161"/>
      <c r="M31" s="162">
        <f>SUM(M26,M29,M30)</f>
        <v>21504272</v>
      </c>
      <c r="N31" s="162"/>
      <c r="O31" s="162">
        <f>IF(AND(M31=0,NOT(G31=0)),0,M31-G31)</f>
        <v>3882474</v>
      </c>
      <c r="P31" s="162"/>
      <c r="Q31" s="164">
        <f>IF(C31=0,0,ROUND((M31-G31)/G31,9))</f>
        <v>0.22032224</v>
      </c>
    </row>
    <row r="32" spans="1:17" s="146" customFormat="1" ht="13.5" thickTop="1">
      <c r="A32" s="144"/>
      <c r="B32" s="144"/>
      <c r="C32" s="144"/>
      <c r="D32" s="144"/>
      <c r="E32" s="144"/>
      <c r="F32" s="144"/>
      <c r="G32" s="144"/>
      <c r="H32" s="144"/>
      <c r="I32" s="144"/>
      <c r="J32" s="144"/>
      <c r="K32" s="144"/>
      <c r="L32" s="144"/>
      <c r="M32" s="144"/>
      <c r="N32" s="144"/>
      <c r="O32" s="144"/>
      <c r="P32" s="144"/>
      <c r="Q32" s="144"/>
    </row>
    <row r="33" spans="1:17" s="146" customFormat="1">
      <c r="A33" s="143" t="s">
        <v>2565</v>
      </c>
      <c r="B33" s="143"/>
      <c r="C33" s="144"/>
      <c r="D33" s="144"/>
      <c r="E33" s="144"/>
      <c r="F33" s="144"/>
      <c r="G33" s="144"/>
      <c r="H33" s="144"/>
      <c r="I33" s="145"/>
      <c r="J33" s="144"/>
      <c r="K33" s="144"/>
      <c r="L33" s="144"/>
      <c r="M33" s="144"/>
      <c r="N33" s="144"/>
      <c r="O33" s="144"/>
      <c r="P33" s="144"/>
      <c r="Q33" s="144"/>
    </row>
    <row r="34" spans="1:17" s="146" customFormat="1">
      <c r="A34" s="144"/>
      <c r="B34" s="144"/>
      <c r="C34" s="144"/>
      <c r="D34" s="144"/>
      <c r="E34" s="144"/>
      <c r="F34" s="144"/>
      <c r="G34" s="144"/>
      <c r="H34" s="144"/>
      <c r="I34" s="145"/>
      <c r="J34" s="144"/>
      <c r="K34" s="144"/>
      <c r="L34" s="144"/>
      <c r="M34" s="144"/>
      <c r="N34" s="144"/>
      <c r="O34" s="144"/>
      <c r="P34" s="144"/>
      <c r="Q34" s="144"/>
    </row>
    <row r="35" spans="1:17" s="146" customFormat="1">
      <c r="A35" s="144" t="s">
        <v>2556</v>
      </c>
      <c r="B35" s="144"/>
      <c r="C35" s="147">
        <v>5169</v>
      </c>
      <c r="D35" s="148">
        <v>2</v>
      </c>
      <c r="E35" s="144" t="s">
        <v>2557</v>
      </c>
      <c r="F35" s="149"/>
      <c r="G35" s="150">
        <f>ROUND(D35*C35*12,0)</f>
        <v>124056</v>
      </c>
      <c r="H35" s="144"/>
      <c r="I35" s="151">
        <v>5169</v>
      </c>
      <c r="J35" s="148">
        <v>2</v>
      </c>
      <c r="K35" s="144" t="str">
        <f>E35</f>
        <v>per month</v>
      </c>
      <c r="L35" s="149"/>
      <c r="M35" s="150">
        <f>ROUND(J35*I35*12,0)</f>
        <v>124056</v>
      </c>
      <c r="N35" s="150"/>
      <c r="O35" s="150">
        <f>IF(AND(M35=0,NOT(G35=0)),0,M35-G35)</f>
        <v>0</v>
      </c>
      <c r="P35" s="150"/>
      <c r="Q35" s="152">
        <f>IF(C35=0,0,ROUND((M35-G35)/G35,9))</f>
        <v>0</v>
      </c>
    </row>
    <row r="36" spans="1:17" s="146" customFormat="1">
      <c r="A36" s="144"/>
      <c r="B36" s="144"/>
      <c r="C36" s="153"/>
      <c r="D36" s="154"/>
      <c r="E36" s="144"/>
      <c r="F36" s="144"/>
      <c r="G36" s="144"/>
      <c r="H36" s="144"/>
      <c r="I36" s="153"/>
      <c r="J36" s="154"/>
      <c r="K36" s="144"/>
      <c r="L36" s="144"/>
      <c r="M36" s="144"/>
      <c r="N36" s="144"/>
      <c r="O36" s="144"/>
      <c r="P36" s="144"/>
      <c r="Q36" s="144"/>
    </row>
    <row r="37" spans="1:17" s="146" customFormat="1">
      <c r="A37" s="144" t="s">
        <v>2558</v>
      </c>
      <c r="B37" s="144"/>
      <c r="C37" s="147"/>
      <c r="D37" s="154"/>
      <c r="E37" s="144"/>
      <c r="F37" s="144"/>
      <c r="G37" s="144"/>
      <c r="H37" s="144"/>
      <c r="I37" s="153"/>
      <c r="J37" s="154"/>
      <c r="K37" s="144"/>
      <c r="L37" s="144"/>
      <c r="M37" s="144"/>
      <c r="N37" s="144"/>
      <c r="O37" s="144"/>
      <c r="P37" s="144"/>
      <c r="Q37" s="144"/>
    </row>
    <row r="38" spans="1:17" s="146" customFormat="1">
      <c r="A38" s="155" t="s">
        <v>2559</v>
      </c>
      <c r="B38" s="144"/>
      <c r="C38" s="147">
        <v>14568400.214777408</v>
      </c>
      <c r="D38" s="156">
        <v>6.94E-3</v>
      </c>
      <c r="E38" s="157" t="s">
        <v>2560</v>
      </c>
      <c r="F38" s="144"/>
      <c r="G38" s="150">
        <f>ROUND(D38*C38,0)</f>
        <v>101105</v>
      </c>
      <c r="H38" s="144"/>
      <c r="I38" s="147">
        <v>14568400.214777408</v>
      </c>
      <c r="J38" s="156">
        <v>9.1900000000000003E-3</v>
      </c>
      <c r="K38" s="157" t="s">
        <v>2560</v>
      </c>
      <c r="L38" s="144"/>
      <c r="M38" s="150">
        <f>ROUND(J38*I38,0)</f>
        <v>133884</v>
      </c>
      <c r="N38" s="144"/>
      <c r="O38" s="150">
        <f>IF(AND(M38=0,NOT(G38=0)),0,M38-G38)</f>
        <v>32779</v>
      </c>
      <c r="P38" s="150"/>
      <c r="Q38" s="152">
        <f>IF(C38=0,0,ROUND((M38-G38)/G38,9))</f>
        <v>0.32420750700000001</v>
      </c>
    </row>
    <row r="39" spans="1:17" s="146" customFormat="1">
      <c r="A39" s="155" t="s">
        <v>2561</v>
      </c>
      <c r="B39" s="144"/>
      <c r="C39" s="147">
        <v>2259979.2152436795</v>
      </c>
      <c r="D39" s="157">
        <v>5.5640000000000002E-2</v>
      </c>
      <c r="E39" s="157" t="s">
        <v>2560</v>
      </c>
      <c r="F39" s="157"/>
      <c r="G39" s="150">
        <f>ROUND(D39*C39,0)</f>
        <v>125745</v>
      </c>
      <c r="H39" s="144"/>
      <c r="I39" s="147">
        <v>2259979.2152436795</v>
      </c>
      <c r="J39" s="154">
        <v>7.3669999999999999E-2</v>
      </c>
      <c r="K39" s="157" t="s">
        <v>2560</v>
      </c>
      <c r="L39" s="157"/>
      <c r="M39" s="150">
        <f>ROUND(J39*I39,0)</f>
        <v>166493</v>
      </c>
      <c r="N39" s="150"/>
      <c r="O39" s="150">
        <f>IF(AND(M39=0,NOT(G39=0)),0,M39-G39)</f>
        <v>40748</v>
      </c>
      <c r="P39" s="150"/>
      <c r="Q39" s="152">
        <f>IF(C39=0,0,ROUND((M39-G39)/G39,9))</f>
        <v>0.324052646</v>
      </c>
    </row>
    <row r="40" spans="1:17" s="146" customFormat="1" ht="13.5" thickBot="1">
      <c r="A40" s="158" t="s">
        <v>2566</v>
      </c>
      <c r="B40" s="159"/>
      <c r="C40" s="160">
        <f>SUM(C38:C39)</f>
        <v>16828379.430021089</v>
      </c>
      <c r="D40" s="161"/>
      <c r="E40" s="161"/>
      <c r="F40" s="161"/>
      <c r="G40" s="162">
        <f>SUM(G35,G38,G39)</f>
        <v>350906</v>
      </c>
      <c r="H40" s="159"/>
      <c r="I40" s="160">
        <f>SUM(I38:I39)</f>
        <v>16828379.430021089</v>
      </c>
      <c r="J40" s="163"/>
      <c r="K40" s="161"/>
      <c r="L40" s="161"/>
      <c r="M40" s="162">
        <f>SUM(M35,M38,M39)</f>
        <v>424433</v>
      </c>
      <c r="N40" s="162"/>
      <c r="O40" s="162">
        <f>IF(AND(M40=0,NOT(G40=0)),0,M40-G40)</f>
        <v>73527</v>
      </c>
      <c r="P40" s="162"/>
      <c r="Q40" s="164">
        <f>IF(C40=0,0,ROUND((M40-G40)/G40,9))</f>
        <v>0.20953474699999999</v>
      </c>
    </row>
    <row r="41" spans="1:17" s="146" customFormat="1" ht="13.5" thickTop="1">
      <c r="A41" s="144"/>
      <c r="B41" s="144"/>
      <c r="C41" s="144"/>
      <c r="D41" s="144"/>
      <c r="E41" s="144"/>
      <c r="F41" s="144"/>
      <c r="G41" s="144"/>
      <c r="H41" s="144"/>
      <c r="I41" s="144"/>
      <c r="J41" s="144"/>
      <c r="K41" s="144"/>
      <c r="L41" s="144"/>
      <c r="M41" s="144"/>
      <c r="N41" s="144"/>
      <c r="O41" s="144"/>
      <c r="P41" s="144"/>
      <c r="Q41" s="144"/>
    </row>
    <row r="42" spans="1:17" s="146" customFormat="1">
      <c r="A42" s="143" t="s">
        <v>2567</v>
      </c>
      <c r="B42" s="143"/>
      <c r="C42" s="144"/>
      <c r="D42" s="144"/>
      <c r="E42" s="144"/>
      <c r="F42" s="144"/>
      <c r="G42" s="144"/>
      <c r="H42" s="144"/>
      <c r="I42" s="145"/>
      <c r="J42" s="144"/>
      <c r="K42" s="144"/>
      <c r="L42" s="144"/>
      <c r="M42" s="144"/>
      <c r="N42" s="144"/>
      <c r="O42" s="144"/>
      <c r="P42" s="144"/>
      <c r="Q42" s="144"/>
    </row>
    <row r="43" spans="1:17" s="146" customFormat="1">
      <c r="A43" s="144"/>
      <c r="B43" s="144"/>
      <c r="C43" s="144"/>
      <c r="D43" s="144"/>
      <c r="E43" s="144"/>
      <c r="F43" s="144"/>
      <c r="G43" s="144"/>
      <c r="H43" s="144"/>
      <c r="I43" s="145"/>
      <c r="J43" s="144"/>
      <c r="K43" s="144"/>
      <c r="L43" s="144"/>
      <c r="M43" s="144"/>
      <c r="N43" s="144"/>
      <c r="O43" s="144"/>
      <c r="P43" s="144"/>
      <c r="Q43" s="144"/>
    </row>
    <row r="44" spans="1:17" s="146" customFormat="1">
      <c r="A44" s="144" t="s">
        <v>2556</v>
      </c>
      <c r="B44" s="144"/>
      <c r="C44" s="147"/>
      <c r="D44" s="148"/>
      <c r="E44" s="144"/>
      <c r="F44" s="149"/>
      <c r="G44" s="150"/>
      <c r="H44" s="144"/>
      <c r="I44" s="151"/>
      <c r="J44" s="148"/>
      <c r="K44" s="144"/>
      <c r="L44" s="149"/>
      <c r="M44" s="150"/>
      <c r="N44" s="150"/>
      <c r="O44" s="144"/>
      <c r="P44" s="144"/>
      <c r="Q44" s="144"/>
    </row>
    <row r="45" spans="1:17" s="146" customFormat="1">
      <c r="A45" s="155" t="s">
        <v>2568</v>
      </c>
      <c r="B45" s="144"/>
      <c r="C45" s="147">
        <v>7447</v>
      </c>
      <c r="D45" s="148">
        <v>30</v>
      </c>
      <c r="E45" s="144" t="s">
        <v>2557</v>
      </c>
      <c r="F45" s="149"/>
      <c r="G45" s="150">
        <f>ROUND(D45*C45*12,0)</f>
        <v>2680920</v>
      </c>
      <c r="H45" s="144"/>
      <c r="I45" s="151">
        <v>7447</v>
      </c>
      <c r="J45" s="148">
        <v>30</v>
      </c>
      <c r="K45" s="144" t="str">
        <f>E45</f>
        <v>per month</v>
      </c>
      <c r="L45" s="149"/>
      <c r="M45" s="150">
        <f>ROUND(J45*I45*12,0)</f>
        <v>2680920</v>
      </c>
      <c r="N45" s="150"/>
      <c r="O45" s="150">
        <f>IF(AND(M45=0,NOT(G45=0)),0,M45-G45)</f>
        <v>0</v>
      </c>
      <c r="P45" s="150"/>
      <c r="Q45" s="152">
        <f>IF(C45=0,0,ROUND((M45-G45)/G45,9))</f>
        <v>0</v>
      </c>
    </row>
    <row r="46" spans="1:17" s="146" customFormat="1">
      <c r="A46" s="155" t="s">
        <v>2569</v>
      </c>
      <c r="B46" s="144"/>
      <c r="C46" s="147">
        <v>34874</v>
      </c>
      <c r="D46" s="148">
        <v>40</v>
      </c>
      <c r="E46" s="144" t="s">
        <v>2557</v>
      </c>
      <c r="F46" s="149"/>
      <c r="G46" s="150">
        <f>ROUND(D46*C46*12,0)</f>
        <v>16739520</v>
      </c>
      <c r="H46" s="144"/>
      <c r="I46" s="151">
        <v>34874</v>
      </c>
      <c r="J46" s="148">
        <v>40</v>
      </c>
      <c r="K46" s="144" t="str">
        <f>E46</f>
        <v>per month</v>
      </c>
      <c r="L46" s="149"/>
      <c r="M46" s="150">
        <f>ROUND(J46*I46*12,0)</f>
        <v>16739520</v>
      </c>
      <c r="N46" s="150"/>
      <c r="O46" s="150">
        <f>IF(AND(M46=0,NOT(G46=0)),0,M46-G46)</f>
        <v>0</v>
      </c>
      <c r="P46" s="150"/>
      <c r="Q46" s="152">
        <f>IF(C46=0,0,ROUND((M46-G46)/G46,9))</f>
        <v>0</v>
      </c>
    </row>
    <row r="47" spans="1:17" s="146" customFormat="1">
      <c r="A47" s="155" t="s">
        <v>2570</v>
      </c>
      <c r="B47" s="144"/>
      <c r="C47" s="147">
        <v>3756</v>
      </c>
      <c r="D47" s="148">
        <v>50</v>
      </c>
      <c r="E47" s="144" t="s">
        <v>2557</v>
      </c>
      <c r="F47" s="149"/>
      <c r="G47" s="150">
        <f>ROUND(D47*C47*12,0)</f>
        <v>2253600</v>
      </c>
      <c r="H47" s="144"/>
      <c r="I47" s="151">
        <v>3756</v>
      </c>
      <c r="J47" s="148">
        <v>50</v>
      </c>
      <c r="K47" s="144" t="str">
        <f>E47</f>
        <v>per month</v>
      </c>
      <c r="L47" s="149"/>
      <c r="M47" s="150">
        <f>ROUND(J47*I47*12,0)</f>
        <v>2253600</v>
      </c>
      <c r="N47" s="150"/>
      <c r="O47" s="150">
        <f>IF(AND(M47=0,NOT(G47=0)),0,M47-G47)</f>
        <v>0</v>
      </c>
      <c r="P47" s="150"/>
      <c r="Q47" s="152">
        <f>IF(C47=0,0,ROUND((M47-G47)/G47,9))</f>
        <v>0</v>
      </c>
    </row>
    <row r="48" spans="1:17" s="146" customFormat="1">
      <c r="A48" s="144"/>
      <c r="B48" s="144"/>
      <c r="C48" s="153"/>
      <c r="D48" s="154"/>
      <c r="E48" s="144"/>
      <c r="F48" s="144"/>
      <c r="G48" s="144"/>
      <c r="H48" s="144"/>
      <c r="I48" s="153"/>
      <c r="J48" s="154"/>
      <c r="K48" s="144"/>
      <c r="L48" s="144"/>
      <c r="M48" s="144"/>
      <c r="N48" s="144"/>
      <c r="O48" s="144"/>
      <c r="P48" s="144"/>
      <c r="Q48" s="144"/>
    </row>
    <row r="49" spans="1:17" s="146" customFormat="1">
      <c r="A49" s="144" t="s">
        <v>2558</v>
      </c>
      <c r="B49" s="144"/>
      <c r="C49" s="147"/>
      <c r="D49" s="154"/>
      <c r="E49" s="144"/>
      <c r="F49" s="144"/>
      <c r="G49" s="150"/>
      <c r="H49" s="144"/>
      <c r="I49" s="153"/>
      <c r="J49" s="154"/>
      <c r="K49" s="144"/>
      <c r="L49" s="144"/>
      <c r="M49" s="144"/>
      <c r="N49" s="144"/>
      <c r="O49" s="144"/>
      <c r="P49" s="144"/>
      <c r="Q49" s="144"/>
    </row>
    <row r="50" spans="1:17" s="146" customFormat="1">
      <c r="A50" s="155" t="s">
        <v>2571</v>
      </c>
      <c r="B50" s="144"/>
      <c r="C50" s="147">
        <v>0</v>
      </c>
      <c r="D50" s="165">
        <v>5.5640000000000002E-2</v>
      </c>
      <c r="E50" s="157" t="s">
        <v>2560</v>
      </c>
      <c r="F50" s="144"/>
      <c r="G50" s="150">
        <f>ROUND(D50*C50,0)</f>
        <v>0</v>
      </c>
      <c r="H50" s="144"/>
      <c r="I50" s="147">
        <v>0</v>
      </c>
      <c r="J50" s="165">
        <v>8.5000000000000006E-2</v>
      </c>
      <c r="K50" s="157" t="s">
        <v>2560</v>
      </c>
      <c r="L50" s="144"/>
      <c r="M50" s="150">
        <f>ROUND(J50*I50,0)</f>
        <v>0</v>
      </c>
      <c r="N50" s="144"/>
      <c r="O50" s="150">
        <f>IF(AND(M50=0,NOT(G50=0)),0,M50-G50)</f>
        <v>0</v>
      </c>
      <c r="P50" s="150"/>
      <c r="Q50" s="152">
        <f>IF(C50=0,0,ROUND((M50-G50)/G50,9))</f>
        <v>0</v>
      </c>
    </row>
    <row r="51" spans="1:17" s="146" customFormat="1">
      <c r="A51" s="155" t="s">
        <v>2572</v>
      </c>
      <c r="B51" s="144"/>
      <c r="C51" s="147">
        <v>0</v>
      </c>
      <c r="D51" s="165">
        <v>5.5640000000000002E-2</v>
      </c>
      <c r="E51" s="157" t="s">
        <v>2560</v>
      </c>
      <c r="F51" s="157"/>
      <c r="G51" s="150">
        <f>ROUND(D51*C51,0)</f>
        <v>0</v>
      </c>
      <c r="H51" s="144"/>
      <c r="I51" s="147">
        <v>0</v>
      </c>
      <c r="J51" s="165">
        <v>8.5000000000000006E-2</v>
      </c>
      <c r="K51" s="157" t="s">
        <v>2560</v>
      </c>
      <c r="L51" s="157"/>
      <c r="M51" s="150">
        <f>ROUND(J51*I51,0)</f>
        <v>0</v>
      </c>
      <c r="N51" s="150"/>
      <c r="O51" s="150">
        <f>IF(AND(M51=0,NOT(G51=0)),0,M51-G51)</f>
        <v>0</v>
      </c>
      <c r="P51" s="150"/>
      <c r="Q51" s="152">
        <f>IF(C51=0,0,ROUND((M51-G51)/G51,9))</f>
        <v>0</v>
      </c>
    </row>
    <row r="52" spans="1:17" s="146" customFormat="1">
      <c r="A52" s="155" t="s">
        <v>2573</v>
      </c>
      <c r="B52" s="144"/>
      <c r="C52" s="147">
        <v>0</v>
      </c>
      <c r="D52" s="165">
        <v>5.5640000000000002E-2</v>
      </c>
      <c r="E52" s="157" t="s">
        <v>2560</v>
      </c>
      <c r="F52" s="157"/>
      <c r="G52" s="150">
        <f>ROUND(D52*C52,0)</f>
        <v>0</v>
      </c>
      <c r="H52" s="144"/>
      <c r="I52" s="147">
        <v>0</v>
      </c>
      <c r="J52" s="165">
        <v>8.5000000000000006E-2</v>
      </c>
      <c r="K52" s="157" t="s">
        <v>2560</v>
      </c>
      <c r="L52" s="157"/>
      <c r="M52" s="150">
        <f>ROUND(J52*I52,0)</f>
        <v>0</v>
      </c>
      <c r="N52" s="150"/>
      <c r="O52" s="150">
        <f>IF(AND(M52=0,NOT(G52=0)),0,M52-G52)</f>
        <v>0</v>
      </c>
      <c r="P52" s="150"/>
      <c r="Q52" s="152">
        <f>IF(C52=0,0,ROUND((M52-G52)/G52,9))</f>
        <v>0</v>
      </c>
    </row>
    <row r="53" spans="1:17" s="146" customFormat="1" ht="13.5" thickBot="1">
      <c r="A53" s="158" t="s">
        <v>2574</v>
      </c>
      <c r="B53" s="159"/>
      <c r="C53" s="160">
        <f>SUM(C50:C52)</f>
        <v>0</v>
      </c>
      <c r="D53" s="161"/>
      <c r="E53" s="161"/>
      <c r="F53" s="161"/>
      <c r="G53" s="162">
        <f>SUM(G45:G47,G50:G52)</f>
        <v>21674040</v>
      </c>
      <c r="H53" s="159"/>
      <c r="I53" s="160">
        <f>SUM(I50:I52)</f>
        <v>0</v>
      </c>
      <c r="J53" s="163"/>
      <c r="K53" s="161"/>
      <c r="L53" s="161"/>
      <c r="M53" s="162">
        <f>SUM(M45:M47,M50:M52)</f>
        <v>21674040</v>
      </c>
      <c r="N53" s="162"/>
      <c r="O53" s="162">
        <f>IF(AND(M53=0,NOT(G53=0)),0,M53-G53)</f>
        <v>0</v>
      </c>
      <c r="P53" s="162"/>
      <c r="Q53" s="164">
        <f>IF(C53=0,0,ROUND((M53-G53)/G53,9))</f>
        <v>0</v>
      </c>
    </row>
    <row r="54" spans="1:17" ht="13.5" thickTop="1">
      <c r="A54" s="166"/>
      <c r="B54" s="119"/>
      <c r="C54" s="125"/>
      <c r="D54" s="135"/>
      <c r="E54" s="135"/>
      <c r="F54" s="135"/>
      <c r="G54" s="128"/>
      <c r="H54" s="119"/>
      <c r="I54" s="125"/>
      <c r="J54" s="132"/>
      <c r="K54" s="135"/>
      <c r="L54" s="135"/>
      <c r="M54" s="128"/>
      <c r="N54" s="128"/>
      <c r="O54" s="128"/>
      <c r="P54" s="128"/>
      <c r="Q54" s="130"/>
    </row>
    <row r="55" spans="1:17">
      <c r="A55" s="123" t="s">
        <v>2575</v>
      </c>
      <c r="B55" s="123"/>
      <c r="C55" s="119"/>
      <c r="D55" s="119"/>
      <c r="E55" s="119"/>
      <c r="F55" s="119"/>
      <c r="G55" s="119"/>
      <c r="H55" s="119"/>
      <c r="I55" s="124"/>
      <c r="J55" s="119"/>
      <c r="K55" s="119"/>
      <c r="L55" s="119"/>
      <c r="M55" s="119"/>
      <c r="N55" s="119"/>
      <c r="O55" s="119"/>
      <c r="P55" s="119"/>
      <c r="Q55" s="119"/>
    </row>
    <row r="56" spans="1:17">
      <c r="A56" s="119"/>
      <c r="B56" s="119"/>
      <c r="C56" s="119"/>
      <c r="D56" s="119"/>
      <c r="E56" s="119"/>
      <c r="F56" s="119"/>
      <c r="G56" s="119"/>
      <c r="H56" s="119"/>
      <c r="I56" s="124"/>
      <c r="J56" s="119"/>
      <c r="K56" s="119"/>
      <c r="L56" s="119"/>
      <c r="M56" s="119"/>
      <c r="N56" s="119"/>
      <c r="O56" s="119"/>
      <c r="P56" s="119"/>
      <c r="Q56" s="119"/>
    </row>
    <row r="57" spans="1:17">
      <c r="A57" s="119" t="s">
        <v>2556</v>
      </c>
      <c r="B57" s="119"/>
      <c r="C57" s="125">
        <v>113937</v>
      </c>
      <c r="D57" s="126">
        <v>5</v>
      </c>
      <c r="E57" s="119" t="s">
        <v>2557</v>
      </c>
      <c r="F57" s="127"/>
      <c r="G57" s="128">
        <f>ROUND(D57*C57*12,0)</f>
        <v>6836220</v>
      </c>
      <c r="H57" s="119"/>
      <c r="I57" s="129">
        <v>113937</v>
      </c>
      <c r="J57" s="126">
        <v>21</v>
      </c>
      <c r="K57" s="119" t="str">
        <f>E57</f>
        <v>per month</v>
      </c>
      <c r="L57" s="127"/>
      <c r="M57" s="128">
        <f>ROUND(J57*I57*12,0)</f>
        <v>28712124</v>
      </c>
      <c r="N57" s="128"/>
      <c r="O57" s="128">
        <f>IF(AND(M57=0,NOT(G57=0)),0,M57-G57)</f>
        <v>21875904</v>
      </c>
      <c r="P57" s="128"/>
      <c r="Q57" s="130">
        <f>IF(C57=0,0,ROUND((M57-G57)/G57,9))</f>
        <v>3.2</v>
      </c>
    </row>
    <row r="58" spans="1:17">
      <c r="A58" s="119"/>
      <c r="B58" s="119"/>
      <c r="C58" s="131"/>
      <c r="D58" s="132"/>
      <c r="E58" s="119"/>
      <c r="F58" s="119"/>
      <c r="G58" s="119"/>
      <c r="H58" s="119"/>
      <c r="I58" s="131"/>
      <c r="J58" s="132"/>
      <c r="K58" s="119"/>
      <c r="L58" s="119"/>
      <c r="M58" s="119"/>
      <c r="N58" s="119"/>
      <c r="O58" s="119"/>
      <c r="P58" s="119"/>
      <c r="Q58" s="119"/>
    </row>
    <row r="59" spans="1:17">
      <c r="A59" s="119" t="s">
        <v>2558</v>
      </c>
      <c r="B59" s="119"/>
      <c r="C59" s="125"/>
      <c r="D59" s="132"/>
      <c r="E59" s="119"/>
      <c r="F59" s="119"/>
      <c r="G59" s="119"/>
      <c r="H59" s="119"/>
      <c r="I59" s="131"/>
      <c r="J59" s="132"/>
      <c r="K59" s="119"/>
      <c r="L59" s="119"/>
      <c r="M59" s="119"/>
      <c r="N59" s="119"/>
      <c r="O59" s="119"/>
      <c r="P59" s="119"/>
      <c r="Q59" s="119"/>
    </row>
    <row r="60" spans="1:17">
      <c r="A60" s="133" t="s">
        <v>912</v>
      </c>
      <c r="B60" s="119"/>
      <c r="C60" s="125">
        <v>1818171251.5977724</v>
      </c>
      <c r="D60" s="134">
        <v>8.4489999999999996E-2</v>
      </c>
      <c r="E60" s="135" t="s">
        <v>2560</v>
      </c>
      <c r="F60" s="119"/>
      <c r="G60" s="128">
        <f>ROUND(D60*C60,0)</f>
        <v>153617289</v>
      </c>
      <c r="H60" s="119"/>
      <c r="I60" s="125">
        <v>1818171251.5977724</v>
      </c>
      <c r="J60" s="134">
        <v>0.125</v>
      </c>
      <c r="K60" s="135" t="s">
        <v>2560</v>
      </c>
      <c r="L60" s="119"/>
      <c r="M60" s="128">
        <f>ROUND(J60*I60,0)</f>
        <v>227271406</v>
      </c>
      <c r="N60" s="119"/>
      <c r="O60" s="128">
        <f>IF(AND(M60=0,NOT(G60=0)),0,M60-G60)</f>
        <v>73654117</v>
      </c>
      <c r="P60" s="128"/>
      <c r="Q60" s="130">
        <f>IF(C60=0,0,ROUND((M60-G60)/G60,9))</f>
        <v>0.47946502299999999</v>
      </c>
    </row>
    <row r="61" spans="1:17" ht="13.5" thickBot="1">
      <c r="A61" s="136" t="s">
        <v>2576</v>
      </c>
      <c r="B61" s="137"/>
      <c r="C61" s="138">
        <f>C60</f>
        <v>1818171251.5977724</v>
      </c>
      <c r="D61" s="139"/>
      <c r="E61" s="139"/>
      <c r="F61" s="139"/>
      <c r="G61" s="140">
        <f>SUM(G57,G60)</f>
        <v>160453509</v>
      </c>
      <c r="H61" s="137"/>
      <c r="I61" s="138">
        <f>I60</f>
        <v>1818171251.5977724</v>
      </c>
      <c r="J61" s="141"/>
      <c r="K61" s="139"/>
      <c r="L61" s="139"/>
      <c r="M61" s="140">
        <f>SUM(M57,M60)</f>
        <v>255983530</v>
      </c>
      <c r="N61" s="140"/>
      <c r="O61" s="140">
        <f>IF(AND(M61=0,NOT(G61=0)),0,M61-G61)</f>
        <v>95530021</v>
      </c>
      <c r="P61" s="140"/>
      <c r="Q61" s="142">
        <f>IF(C61=0,0,ROUND((M61-G61)/G61,9))</f>
        <v>0.595375082</v>
      </c>
    </row>
    <row r="62" spans="1:17" ht="13.5" thickTop="1">
      <c r="A62" s="166"/>
      <c r="B62" s="119"/>
      <c r="C62" s="125"/>
      <c r="D62" s="135"/>
      <c r="E62" s="135"/>
      <c r="F62" s="135"/>
      <c r="G62" s="128"/>
      <c r="H62" s="119"/>
      <c r="I62" s="125"/>
      <c r="J62" s="132"/>
      <c r="K62" s="135"/>
      <c r="L62" s="135"/>
      <c r="M62" s="128"/>
      <c r="N62" s="128"/>
      <c r="O62" s="128"/>
      <c r="P62" s="128"/>
      <c r="Q62" s="130"/>
    </row>
    <row r="63" spans="1:17">
      <c r="A63" s="123" t="s">
        <v>2577</v>
      </c>
      <c r="B63" s="123"/>
      <c r="C63" s="119"/>
      <c r="D63" s="119"/>
      <c r="E63" s="119"/>
      <c r="F63" s="119"/>
      <c r="G63" s="119"/>
      <c r="H63" s="119"/>
      <c r="I63" s="124"/>
      <c r="J63" s="119"/>
      <c r="K63" s="119"/>
      <c r="L63" s="119"/>
      <c r="M63" s="119"/>
      <c r="N63" s="119"/>
      <c r="O63" s="119"/>
      <c r="P63" s="119"/>
      <c r="Q63" s="119"/>
    </row>
    <row r="64" spans="1:17">
      <c r="A64" s="119"/>
      <c r="B64" s="119"/>
      <c r="C64" s="119"/>
      <c r="D64" s="119"/>
      <c r="E64" s="119"/>
      <c r="F64" s="119"/>
      <c r="G64" s="119"/>
      <c r="H64" s="119"/>
      <c r="I64" s="124"/>
      <c r="J64" s="119"/>
      <c r="K64" s="119"/>
      <c r="L64" s="119"/>
      <c r="M64" s="119"/>
      <c r="N64" s="119"/>
      <c r="O64" s="119"/>
      <c r="P64" s="119"/>
      <c r="Q64" s="119"/>
    </row>
    <row r="65" spans="1:17">
      <c r="A65" s="119" t="s">
        <v>2556</v>
      </c>
      <c r="B65" s="119"/>
      <c r="C65" s="125">
        <v>10790</v>
      </c>
      <c r="D65" s="126">
        <v>200</v>
      </c>
      <c r="E65" s="119" t="s">
        <v>2557</v>
      </c>
      <c r="F65" s="127"/>
      <c r="G65" s="128">
        <f>ROUND(D65*C65*12,0)</f>
        <v>25896000</v>
      </c>
      <c r="H65" s="119"/>
      <c r="I65" s="129">
        <v>10790</v>
      </c>
      <c r="J65" s="126">
        <v>400</v>
      </c>
      <c r="K65" s="119" t="str">
        <f>E65</f>
        <v>per month</v>
      </c>
      <c r="L65" s="127"/>
      <c r="M65" s="128">
        <f>ROUND(J65*I65*12,0)</f>
        <v>51792000</v>
      </c>
      <c r="N65" s="128"/>
      <c r="O65" s="128">
        <f>IF(AND(M65=0,NOT(G65=0)),0,M65-G65)</f>
        <v>25896000</v>
      </c>
      <c r="P65" s="128"/>
      <c r="Q65" s="130">
        <f>IF(C65=0,0,ROUND((M65-G65)/G65,9))</f>
        <v>1</v>
      </c>
    </row>
    <row r="66" spans="1:17">
      <c r="A66" s="119"/>
      <c r="B66" s="119"/>
      <c r="C66" s="131"/>
      <c r="D66" s="132"/>
      <c r="E66" s="119"/>
      <c r="F66" s="119"/>
      <c r="G66" s="119"/>
      <c r="H66" s="119"/>
      <c r="I66" s="129"/>
      <c r="J66" s="132"/>
      <c r="K66" s="119"/>
      <c r="L66" s="119"/>
      <c r="M66" s="119"/>
      <c r="N66" s="119"/>
      <c r="O66" s="119"/>
      <c r="P66" s="119"/>
      <c r="Q66" s="119"/>
    </row>
    <row r="67" spans="1:17">
      <c r="A67" s="119" t="s">
        <v>2578</v>
      </c>
      <c r="B67" s="119"/>
      <c r="C67" s="131"/>
      <c r="D67" s="132"/>
      <c r="E67" s="119"/>
      <c r="F67" s="119"/>
      <c r="G67" s="119"/>
      <c r="H67" s="119"/>
      <c r="I67" s="129"/>
      <c r="J67" s="132"/>
      <c r="K67" s="119"/>
      <c r="L67" s="119"/>
      <c r="M67" s="119"/>
      <c r="N67" s="119"/>
      <c r="O67" s="119"/>
      <c r="P67" s="119"/>
      <c r="Q67" s="119"/>
    </row>
    <row r="68" spans="1:17">
      <c r="A68" s="133" t="s">
        <v>2579</v>
      </c>
      <c r="B68" s="119"/>
      <c r="C68" s="125">
        <v>17099772</v>
      </c>
      <c r="D68" s="127">
        <v>8.1</v>
      </c>
      <c r="E68" s="119" t="s">
        <v>2580</v>
      </c>
      <c r="F68" s="127"/>
      <c r="G68" s="128">
        <f>ROUND(D68*C68,0)</f>
        <v>138508153</v>
      </c>
      <c r="H68" s="119"/>
      <c r="I68" s="131">
        <v>17099772</v>
      </c>
      <c r="J68" s="127">
        <v>9</v>
      </c>
      <c r="K68" s="119" t="str">
        <f>E68</f>
        <v>per kW</v>
      </c>
      <c r="L68" s="127"/>
      <c r="M68" s="128">
        <f>ROUND(J68*I68,0)</f>
        <v>153897948</v>
      </c>
      <c r="N68" s="128"/>
      <c r="O68" s="128">
        <f>IF(AND(M68=0,NOT(G68=0)),0,M68-G68)</f>
        <v>15389795</v>
      </c>
      <c r="P68" s="128"/>
      <c r="Q68" s="130">
        <f>IF(C68=0,0,ROUND((M68-G68)/G68,9))</f>
        <v>0.111111113</v>
      </c>
    </row>
    <row r="69" spans="1:17">
      <c r="A69" s="133" t="s">
        <v>2581</v>
      </c>
      <c r="B69" s="119"/>
      <c r="C69" s="125">
        <v>0</v>
      </c>
      <c r="D69" s="127">
        <v>10</v>
      </c>
      <c r="E69" s="119" t="s">
        <v>2580</v>
      </c>
      <c r="F69" s="127"/>
      <c r="G69" s="128">
        <f>ROUND(D69*C69,0)</f>
        <v>0</v>
      </c>
      <c r="H69" s="119"/>
      <c r="I69" s="131">
        <v>0</v>
      </c>
      <c r="J69" s="127">
        <v>10</v>
      </c>
      <c r="K69" s="119" t="str">
        <f>E69</f>
        <v>per kW</v>
      </c>
      <c r="L69" s="127"/>
      <c r="M69" s="128">
        <f>ROUND(J69*I69,0)</f>
        <v>0</v>
      </c>
      <c r="N69" s="128"/>
      <c r="O69" s="128">
        <f>IF(AND(M69=0,NOT(G69=0)),0,M69-G69)</f>
        <v>0</v>
      </c>
      <c r="P69" s="128"/>
      <c r="Q69" s="130">
        <f>IF(C69=0,0,ROUND((M69-G69)/G69,9))</f>
        <v>0</v>
      </c>
    </row>
    <row r="70" spans="1:17">
      <c r="A70" s="133"/>
      <c r="B70" s="119"/>
      <c r="C70" s="125"/>
      <c r="D70" s="127"/>
      <c r="E70" s="119"/>
      <c r="F70" s="127"/>
      <c r="G70" s="128"/>
      <c r="H70" s="119"/>
      <c r="I70" s="125"/>
      <c r="J70" s="127"/>
      <c r="K70" s="119"/>
      <c r="L70" s="127"/>
      <c r="M70" s="128"/>
      <c r="N70" s="128"/>
      <c r="O70" s="119"/>
      <c r="P70" s="119"/>
      <c r="Q70" s="119"/>
    </row>
    <row r="71" spans="1:17">
      <c r="A71" s="119" t="s">
        <v>2558</v>
      </c>
      <c r="B71" s="119"/>
      <c r="C71" s="125"/>
      <c r="D71" s="132"/>
      <c r="E71" s="119"/>
      <c r="F71" s="119"/>
      <c r="G71" s="119"/>
      <c r="H71" s="119"/>
      <c r="I71" s="131"/>
      <c r="J71" s="132"/>
      <c r="K71" s="119"/>
      <c r="L71" s="119"/>
      <c r="M71" s="119"/>
      <c r="N71" s="119"/>
      <c r="O71" s="119"/>
      <c r="P71" s="119"/>
      <c r="Q71" s="119"/>
    </row>
    <row r="72" spans="1:17">
      <c r="A72" s="133" t="s">
        <v>2582</v>
      </c>
      <c r="B72" s="119"/>
      <c r="C72" s="125">
        <v>3559649918.1500192</v>
      </c>
      <c r="D72" s="134">
        <v>4.6940000000000003E-2</v>
      </c>
      <c r="E72" s="135" t="s">
        <v>2560</v>
      </c>
      <c r="F72" s="119"/>
      <c r="G72" s="128">
        <f>ROUND(D72*C72,0)</f>
        <v>167089967</v>
      </c>
      <c r="H72" s="119"/>
      <c r="I72" s="125">
        <v>3559649918.1500192</v>
      </c>
      <c r="J72" s="134">
        <v>6.7500000000000004E-2</v>
      </c>
      <c r="K72" s="135" t="s">
        <v>2560</v>
      </c>
      <c r="L72" s="119"/>
      <c r="M72" s="128">
        <f>ROUND(J72*I72,0)</f>
        <v>240276369</v>
      </c>
      <c r="N72" s="119"/>
      <c r="O72" s="128">
        <f>IF(AND(M72=0,NOT(G72=0)),0,M72-G72)</f>
        <v>73186402</v>
      </c>
      <c r="P72" s="128"/>
      <c r="Q72" s="130">
        <f>IF(C72=0,0,ROUND((M72-G72)/G72,9))</f>
        <v>0.43800596400000003</v>
      </c>
    </row>
    <row r="73" spans="1:17">
      <c r="A73" s="133" t="s">
        <v>2583</v>
      </c>
      <c r="B73" s="119"/>
      <c r="C73" s="125">
        <v>0</v>
      </c>
      <c r="D73" s="135">
        <v>3.8940000000000002E-2</v>
      </c>
      <c r="E73" s="135" t="s">
        <v>2560</v>
      </c>
      <c r="F73" s="135"/>
      <c r="G73" s="128">
        <f>ROUND(D73*C73,0)</f>
        <v>0</v>
      </c>
      <c r="H73" s="119"/>
      <c r="I73" s="125">
        <v>0</v>
      </c>
      <c r="J73" s="132">
        <v>5.5E-2</v>
      </c>
      <c r="K73" s="135" t="s">
        <v>2560</v>
      </c>
      <c r="L73" s="135"/>
      <c r="M73" s="128">
        <f>ROUND(J73*I73,0)</f>
        <v>0</v>
      </c>
      <c r="N73" s="128"/>
      <c r="O73" s="128">
        <f>IF(AND(M73=0,NOT(G73=0)),0,M73-G73)</f>
        <v>0</v>
      </c>
      <c r="P73" s="128"/>
      <c r="Q73" s="130">
        <f>IF(C73=0,0,ROUND((M73-G73)/G73,9))</f>
        <v>0</v>
      </c>
    </row>
    <row r="74" spans="1:17" ht="13.5" thickBot="1">
      <c r="A74" s="136" t="s">
        <v>2584</v>
      </c>
      <c r="B74" s="137"/>
      <c r="C74" s="138">
        <f>SUM(C72:C73)</f>
        <v>3559649918.1500192</v>
      </c>
      <c r="D74" s="139"/>
      <c r="E74" s="139"/>
      <c r="F74" s="139"/>
      <c r="G74" s="140">
        <f>SUM(G65,G68:G69,G72,G73)</f>
        <v>331494120</v>
      </c>
      <c r="H74" s="137"/>
      <c r="I74" s="138">
        <f>SUM(I72:I73)</f>
        <v>3559649918.1500192</v>
      </c>
      <c r="J74" s="141"/>
      <c r="K74" s="139"/>
      <c r="L74" s="139"/>
      <c r="M74" s="140">
        <f>SUM(M65, M68:M69,M72,M73)</f>
        <v>445966317</v>
      </c>
      <c r="N74" s="140"/>
      <c r="O74" s="140">
        <f>IF(AND(M74=0,NOT(G74=0)),0,M74-G74)</f>
        <v>114472197</v>
      </c>
      <c r="P74" s="140"/>
      <c r="Q74" s="142">
        <f>IF(C74=0,0,ROUND((M74-G74)/G74,9))</f>
        <v>0.34532195300000001</v>
      </c>
    </row>
    <row r="75" spans="1:17" ht="13.5" thickTop="1">
      <c r="A75" s="119"/>
      <c r="B75" s="119"/>
      <c r="C75" s="119"/>
      <c r="D75" s="119"/>
      <c r="E75" s="119"/>
      <c r="F75" s="119"/>
      <c r="G75" s="119"/>
      <c r="H75" s="119"/>
      <c r="I75" s="119"/>
      <c r="J75" s="119"/>
      <c r="K75" s="119"/>
      <c r="L75" s="119"/>
      <c r="M75" s="119"/>
      <c r="N75" s="119"/>
      <c r="O75" s="119"/>
      <c r="P75" s="119"/>
      <c r="Q75" s="119"/>
    </row>
    <row r="76" spans="1:17" s="146" customFormat="1">
      <c r="A76" s="143" t="s">
        <v>2585</v>
      </c>
      <c r="B76" s="143"/>
      <c r="C76" s="144"/>
      <c r="D76" s="144"/>
      <c r="E76" s="144"/>
      <c r="F76" s="144"/>
      <c r="G76" s="144"/>
      <c r="H76" s="144"/>
      <c r="I76" s="145"/>
      <c r="J76" s="144"/>
      <c r="K76" s="144"/>
      <c r="L76" s="144"/>
      <c r="M76" s="144"/>
      <c r="N76" s="144"/>
      <c r="O76" s="144"/>
      <c r="P76" s="144"/>
      <c r="Q76" s="144"/>
    </row>
    <row r="77" spans="1:17" s="146" customFormat="1">
      <c r="A77" s="144"/>
      <c r="B77" s="144"/>
      <c r="C77" s="144"/>
      <c r="D77" s="144"/>
      <c r="E77" s="144"/>
      <c r="F77" s="144"/>
      <c r="G77" s="144"/>
      <c r="H77" s="144"/>
      <c r="I77" s="145"/>
      <c r="J77" s="144"/>
      <c r="K77" s="144"/>
      <c r="L77" s="144"/>
      <c r="M77" s="144"/>
      <c r="N77" s="144"/>
      <c r="O77" s="144"/>
      <c r="P77" s="144"/>
      <c r="Q77" s="144"/>
    </row>
    <row r="78" spans="1:17" s="146" customFormat="1">
      <c r="A78" s="144" t="s">
        <v>2556</v>
      </c>
      <c r="B78" s="144"/>
      <c r="C78" s="147">
        <v>601</v>
      </c>
      <c r="D78" s="148">
        <v>450</v>
      </c>
      <c r="E78" s="144" t="s">
        <v>2557</v>
      </c>
      <c r="F78" s="149"/>
      <c r="G78" s="150">
        <f>ROUND(D78*C78*12,0)</f>
        <v>3245400</v>
      </c>
      <c r="H78" s="144"/>
      <c r="I78" s="151">
        <v>601</v>
      </c>
      <c r="J78" s="148">
        <v>1000</v>
      </c>
      <c r="K78" s="144" t="str">
        <f>E78</f>
        <v>per month</v>
      </c>
      <c r="L78" s="149"/>
      <c r="M78" s="150">
        <f>ROUND(J78*I78*12,0)</f>
        <v>7212000</v>
      </c>
      <c r="N78" s="150"/>
      <c r="O78" s="150">
        <f>IF(AND(M78=0,NOT(G78=0)),0,M78-G78)</f>
        <v>3966600</v>
      </c>
      <c r="P78" s="150"/>
      <c r="Q78" s="152">
        <f>IF(C78=0,0,ROUND((M78-G78)/G78,9))</f>
        <v>1.2222222220000001</v>
      </c>
    </row>
    <row r="79" spans="1:17" s="146" customFormat="1">
      <c r="A79" s="144"/>
      <c r="B79" s="144"/>
      <c r="C79" s="153"/>
      <c r="D79" s="154"/>
      <c r="E79" s="144"/>
      <c r="F79" s="144"/>
      <c r="G79" s="144"/>
      <c r="H79" s="144"/>
      <c r="I79" s="151"/>
      <c r="J79" s="154"/>
      <c r="K79" s="144"/>
      <c r="L79" s="144"/>
      <c r="M79" s="144"/>
      <c r="N79" s="144"/>
      <c r="O79" s="144"/>
      <c r="P79" s="144"/>
      <c r="Q79" s="144"/>
    </row>
    <row r="80" spans="1:17" s="146" customFormat="1">
      <c r="A80" s="144" t="s">
        <v>2578</v>
      </c>
      <c r="B80" s="144"/>
      <c r="C80" s="153"/>
      <c r="D80" s="154"/>
      <c r="E80" s="144"/>
      <c r="F80" s="144"/>
      <c r="G80" s="144"/>
      <c r="H80" s="144"/>
      <c r="I80" s="151"/>
      <c r="J80" s="154"/>
      <c r="K80" s="144"/>
      <c r="L80" s="144"/>
      <c r="M80" s="144"/>
      <c r="N80" s="144"/>
      <c r="O80" s="144"/>
      <c r="P80" s="144"/>
      <c r="Q80" s="144"/>
    </row>
    <row r="81" spans="1:17" s="146" customFormat="1">
      <c r="A81" s="155" t="s">
        <v>2579</v>
      </c>
      <c r="B81" s="144"/>
      <c r="C81" s="147">
        <v>6970845</v>
      </c>
      <c r="D81" s="149">
        <v>7.7</v>
      </c>
      <c r="E81" s="144" t="s">
        <v>2580</v>
      </c>
      <c r="F81" s="149"/>
      <c r="G81" s="150">
        <f>ROUND(D81*C81,0)</f>
        <v>53675507</v>
      </c>
      <c r="H81" s="144"/>
      <c r="I81" s="153">
        <v>6970845</v>
      </c>
      <c r="J81" s="149">
        <v>15</v>
      </c>
      <c r="K81" s="144" t="str">
        <f>E81</f>
        <v>per kW</v>
      </c>
      <c r="L81" s="149"/>
      <c r="M81" s="150">
        <f>ROUND(J81*I81,0)</f>
        <v>104562675</v>
      </c>
      <c r="N81" s="150"/>
      <c r="O81" s="150">
        <f>IF(AND(M81=0,NOT(G81=0)),0,M81-G81)</f>
        <v>50887168</v>
      </c>
      <c r="P81" s="150"/>
      <c r="Q81" s="152">
        <f>IF(C81=0,0,ROUND((M81-G81)/G81,9))</f>
        <v>0.94805192999999999</v>
      </c>
    </row>
    <row r="82" spans="1:17" s="146" customFormat="1">
      <c r="A82" s="155" t="s">
        <v>2581</v>
      </c>
      <c r="B82" s="144"/>
      <c r="C82" s="147">
        <v>0</v>
      </c>
      <c r="D82" s="149">
        <v>9.6</v>
      </c>
      <c r="E82" s="144" t="s">
        <v>2580</v>
      </c>
      <c r="F82" s="149"/>
      <c r="G82" s="150">
        <f>ROUND(D82*C82,0)</f>
        <v>0</v>
      </c>
      <c r="H82" s="144"/>
      <c r="I82" s="153">
        <v>0</v>
      </c>
      <c r="J82" s="149">
        <v>16</v>
      </c>
      <c r="K82" s="144" t="str">
        <f>E82</f>
        <v>per kW</v>
      </c>
      <c r="L82" s="149"/>
      <c r="M82" s="150">
        <f>ROUND(J82*I82,0)</f>
        <v>0</v>
      </c>
      <c r="N82" s="150"/>
      <c r="O82" s="150">
        <f>IF(AND(M82=0,NOT(G82=0)),0,M82-G82)</f>
        <v>0</v>
      </c>
      <c r="P82" s="150"/>
      <c r="Q82" s="152">
        <f>IF(C82=0,0,ROUND((M82-G82)/G82,9))</f>
        <v>0</v>
      </c>
    </row>
    <row r="83" spans="1:17" s="146" customFormat="1">
      <c r="A83" s="155"/>
      <c r="B83" s="144"/>
      <c r="C83" s="147"/>
      <c r="D83" s="149"/>
      <c r="E83" s="144"/>
      <c r="F83" s="149"/>
      <c r="G83" s="150"/>
      <c r="H83" s="144"/>
      <c r="I83" s="147"/>
      <c r="J83" s="149"/>
      <c r="K83" s="144"/>
      <c r="L83" s="149"/>
      <c r="M83" s="150"/>
      <c r="N83" s="150"/>
      <c r="O83" s="144"/>
      <c r="P83" s="144"/>
      <c r="Q83" s="144"/>
    </row>
    <row r="84" spans="1:17" s="146" customFormat="1">
      <c r="A84" s="144" t="s">
        <v>2558</v>
      </c>
      <c r="B84" s="144"/>
      <c r="C84" s="147"/>
      <c r="D84" s="154"/>
      <c r="E84" s="144"/>
      <c r="F84" s="144"/>
      <c r="G84" s="144"/>
      <c r="H84" s="144"/>
      <c r="I84" s="153"/>
      <c r="J84" s="154"/>
      <c r="K84" s="144"/>
      <c r="L84" s="144"/>
      <c r="M84" s="144"/>
      <c r="N84" s="144"/>
      <c r="O84" s="144"/>
      <c r="P84" s="144"/>
      <c r="Q84" s="144"/>
    </row>
    <row r="85" spans="1:17" s="146" customFormat="1">
      <c r="A85" s="155" t="s">
        <v>2582</v>
      </c>
      <c r="B85" s="144"/>
      <c r="C85" s="147">
        <v>1834520112.0000002</v>
      </c>
      <c r="D85" s="156">
        <v>3.6499999999999998E-2</v>
      </c>
      <c r="E85" s="157" t="s">
        <v>2560</v>
      </c>
      <c r="F85" s="144"/>
      <c r="G85" s="150">
        <f>ROUND(D85*C85,0)</f>
        <v>66959984</v>
      </c>
      <c r="H85" s="144"/>
      <c r="I85" s="147">
        <v>1834520112.0000002</v>
      </c>
      <c r="J85" s="156">
        <v>0.06</v>
      </c>
      <c r="K85" s="157" t="s">
        <v>2560</v>
      </c>
      <c r="L85" s="144"/>
      <c r="M85" s="150">
        <f>ROUND(J85*I85,0)</f>
        <v>110071207</v>
      </c>
      <c r="N85" s="144"/>
      <c r="O85" s="150">
        <f>IF(AND(M85=0,NOT(G85=0)),0,M85-G85)</f>
        <v>43111223</v>
      </c>
      <c r="P85" s="150"/>
      <c r="Q85" s="152">
        <f>IF(C85=0,0,ROUND((M85-G85)/G85,9))</f>
        <v>0.64383562299999997</v>
      </c>
    </row>
    <row r="86" spans="1:17" s="146" customFormat="1">
      <c r="A86" s="155" t="s">
        <v>2583</v>
      </c>
      <c r="B86" s="144"/>
      <c r="C86" s="147">
        <v>893974101.56693757</v>
      </c>
      <c r="D86" s="157">
        <v>3.2500000000000001E-2</v>
      </c>
      <c r="E86" s="157" t="s">
        <v>2560</v>
      </c>
      <c r="F86" s="157"/>
      <c r="G86" s="150">
        <f>ROUND(D86*C86,0)</f>
        <v>29054158</v>
      </c>
      <c r="H86" s="144"/>
      <c r="I86" s="147">
        <v>893974101.56693757</v>
      </c>
      <c r="J86" s="154">
        <v>4.7500000000000001E-2</v>
      </c>
      <c r="K86" s="157" t="s">
        <v>2560</v>
      </c>
      <c r="L86" s="157"/>
      <c r="M86" s="150">
        <f>ROUND(J86*I86,0)</f>
        <v>42463770</v>
      </c>
      <c r="N86" s="150"/>
      <c r="O86" s="150">
        <f>IF(AND(M86=0,NOT(G86=0)),0,M86-G86)</f>
        <v>13409612</v>
      </c>
      <c r="P86" s="150"/>
      <c r="Q86" s="152">
        <f>IF(C86=0,0,ROUND((M86-G86)/G86,9))</f>
        <v>0.461538483</v>
      </c>
    </row>
    <row r="87" spans="1:17" s="146" customFormat="1" ht="13.5" thickBot="1">
      <c r="A87" s="158" t="s">
        <v>2586</v>
      </c>
      <c r="B87" s="159"/>
      <c r="C87" s="160">
        <f>SUM(C85:C86)</f>
        <v>2728494213.5669379</v>
      </c>
      <c r="D87" s="161"/>
      <c r="E87" s="161"/>
      <c r="F87" s="161"/>
      <c r="G87" s="162">
        <f>SUM(G78,G81:G82,G85,G86)</f>
        <v>152935049</v>
      </c>
      <c r="H87" s="159"/>
      <c r="I87" s="160">
        <f>SUM(I85:I86)</f>
        <v>2728494213.5669379</v>
      </c>
      <c r="J87" s="163"/>
      <c r="K87" s="161"/>
      <c r="L87" s="161"/>
      <c r="M87" s="162">
        <f>SUM(M78, M81:M82,M85,M86)</f>
        <v>264309652</v>
      </c>
      <c r="N87" s="162"/>
      <c r="O87" s="162">
        <f>IF(AND(M87=0,NOT(G87=0)),0,M87-G87)</f>
        <v>111374603</v>
      </c>
      <c r="P87" s="162"/>
      <c r="Q87" s="164">
        <f>IF(C87=0,0,ROUND((M87-G87)/G87,9))</f>
        <v>0.72824773499999995</v>
      </c>
    </row>
    <row r="88" spans="1:17" ht="13.5" thickTop="1">
      <c r="A88" s="119"/>
      <c r="B88" s="119"/>
      <c r="C88" s="119"/>
      <c r="D88" s="119"/>
      <c r="E88" s="119"/>
      <c r="F88" s="119"/>
      <c r="G88" s="119"/>
      <c r="H88" s="119"/>
      <c r="I88" s="119"/>
      <c r="J88" s="119"/>
      <c r="K88" s="119"/>
      <c r="L88" s="119"/>
      <c r="M88" s="119"/>
      <c r="N88" s="119"/>
      <c r="O88" s="119"/>
      <c r="P88" s="119"/>
      <c r="Q88" s="119"/>
    </row>
    <row r="89" spans="1:17">
      <c r="A89" s="123" t="s">
        <v>2587</v>
      </c>
      <c r="B89" s="123"/>
      <c r="C89" s="119"/>
      <c r="D89" s="119"/>
      <c r="E89" s="119"/>
      <c r="F89" s="119"/>
      <c r="G89" s="119"/>
      <c r="H89" s="119"/>
      <c r="I89" s="124"/>
      <c r="J89" s="119"/>
      <c r="K89" s="119"/>
      <c r="L89" s="119"/>
      <c r="M89" s="119"/>
      <c r="N89" s="119"/>
      <c r="O89" s="119"/>
      <c r="P89" s="119"/>
      <c r="Q89" s="119"/>
    </row>
    <row r="90" spans="1:17">
      <c r="A90" s="119"/>
      <c r="B90" s="119"/>
      <c r="C90" s="119"/>
      <c r="D90" s="119"/>
      <c r="E90" s="119"/>
      <c r="F90" s="119"/>
      <c r="G90" s="119"/>
      <c r="H90" s="119"/>
      <c r="I90" s="124"/>
      <c r="J90" s="119"/>
      <c r="K90" s="119"/>
      <c r="L90" s="119"/>
      <c r="M90" s="119"/>
      <c r="N90" s="119"/>
      <c r="O90" s="119"/>
      <c r="P90" s="119"/>
      <c r="Q90" s="119"/>
    </row>
    <row r="91" spans="1:17">
      <c r="A91" s="119" t="s">
        <v>2556</v>
      </c>
      <c r="B91" s="119"/>
      <c r="C91" s="125">
        <v>1</v>
      </c>
      <c r="D91" s="126">
        <v>200</v>
      </c>
      <c r="E91" s="119" t="s">
        <v>2557</v>
      </c>
      <c r="F91" s="127"/>
      <c r="G91" s="128">
        <f>ROUND(D91*C91*12,0)</f>
        <v>2400</v>
      </c>
      <c r="H91" s="119"/>
      <c r="I91" s="129">
        <v>1</v>
      </c>
      <c r="J91" s="126">
        <v>400</v>
      </c>
      <c r="K91" s="119" t="str">
        <f>E91</f>
        <v>per month</v>
      </c>
      <c r="L91" s="127"/>
      <c r="M91" s="128">
        <f>ROUND(J91*I91*12,0)</f>
        <v>4800</v>
      </c>
      <c r="N91" s="128"/>
      <c r="O91" s="128">
        <f>IF(AND(M91=0,NOT(G91=0)),0,M91-G91)</f>
        <v>2400</v>
      </c>
      <c r="P91" s="128"/>
      <c r="Q91" s="130">
        <f>IF(C91=0,0,ROUND((M91-G91)/G91,9))</f>
        <v>1</v>
      </c>
    </row>
    <row r="92" spans="1:17">
      <c r="A92" s="119"/>
      <c r="B92" s="119"/>
      <c r="C92" s="131"/>
      <c r="D92" s="132"/>
      <c r="E92" s="119"/>
      <c r="F92" s="119"/>
      <c r="G92" s="119"/>
      <c r="H92" s="119"/>
      <c r="I92" s="129"/>
      <c r="J92" s="132"/>
      <c r="K92" s="119"/>
      <c r="L92" s="119"/>
      <c r="M92" s="119"/>
      <c r="N92" s="119"/>
      <c r="O92" s="119"/>
      <c r="P92" s="119"/>
      <c r="Q92" s="119"/>
    </row>
    <row r="93" spans="1:17">
      <c r="A93" s="119" t="s">
        <v>2578</v>
      </c>
      <c r="B93" s="119"/>
      <c r="C93" s="131"/>
      <c r="D93" s="132"/>
      <c r="E93" s="119"/>
      <c r="F93" s="119"/>
      <c r="G93" s="119"/>
      <c r="H93" s="119"/>
      <c r="I93" s="129"/>
      <c r="J93" s="132"/>
      <c r="K93" s="119"/>
      <c r="L93" s="119"/>
      <c r="M93" s="119"/>
      <c r="N93" s="119"/>
      <c r="O93" s="119"/>
      <c r="P93" s="119"/>
      <c r="Q93" s="119"/>
    </row>
    <row r="94" spans="1:17">
      <c r="A94" s="133" t="s">
        <v>2588</v>
      </c>
      <c r="B94" s="119"/>
      <c r="C94" s="125">
        <v>1512.67</v>
      </c>
      <c r="D94" s="127">
        <v>8.1</v>
      </c>
      <c r="E94" s="119" t="s">
        <v>2580</v>
      </c>
      <c r="F94" s="127"/>
      <c r="G94" s="128">
        <f>ROUND(D94*C94,0)</f>
        <v>12253</v>
      </c>
      <c r="H94" s="119"/>
      <c r="I94" s="131">
        <v>1512.67</v>
      </c>
      <c r="J94" s="127">
        <v>9</v>
      </c>
      <c r="K94" s="119" t="str">
        <f>E94</f>
        <v>per kW</v>
      </c>
      <c r="L94" s="127"/>
      <c r="M94" s="128">
        <f>ROUND(J94*I94,0)</f>
        <v>13614</v>
      </c>
      <c r="N94" s="128"/>
      <c r="O94" s="128">
        <f>IF(AND(M94=0,NOT(G94=0)),0,M94-G94)</f>
        <v>1361</v>
      </c>
      <c r="P94" s="128"/>
      <c r="Q94" s="130">
        <f>IF(C94=0,0,ROUND((M94-G94)/G94,9))</f>
        <v>0.11107483899999999</v>
      </c>
    </row>
    <row r="95" spans="1:17">
      <c r="A95" s="133" t="s">
        <v>2589</v>
      </c>
      <c r="B95" s="119"/>
      <c r="C95" s="125">
        <v>1560</v>
      </c>
      <c r="D95" s="127">
        <v>1.1000000000000001</v>
      </c>
      <c r="E95" s="119" t="s">
        <v>2580</v>
      </c>
      <c r="F95" s="127"/>
      <c r="G95" s="128">
        <f>ROUND(D95*C95,0)</f>
        <v>1716</v>
      </c>
      <c r="H95" s="119"/>
      <c r="I95" s="131">
        <v>1560</v>
      </c>
      <c r="J95" s="127">
        <v>1.1000000000000001</v>
      </c>
      <c r="K95" s="119" t="str">
        <f>E95</f>
        <v>per kW</v>
      </c>
      <c r="L95" s="127"/>
      <c r="M95" s="128">
        <f>ROUND(J95*I95,0)</f>
        <v>1716</v>
      </c>
      <c r="N95" s="128"/>
      <c r="O95" s="128">
        <f>IF(AND(M95=0,NOT(G95=0)),0,M95-G95)</f>
        <v>0</v>
      </c>
      <c r="P95" s="128"/>
      <c r="Q95" s="130">
        <f>IF(C95=0,0,ROUND((M95-G95)/G95,9))</f>
        <v>0</v>
      </c>
    </row>
    <row r="96" spans="1:17">
      <c r="A96" s="133"/>
      <c r="B96" s="119"/>
      <c r="C96" s="125"/>
      <c r="D96" s="127"/>
      <c r="E96" s="119"/>
      <c r="F96" s="127"/>
      <c r="G96" s="128"/>
      <c r="H96" s="119"/>
      <c r="I96" s="125"/>
      <c r="J96" s="127"/>
      <c r="K96" s="119"/>
      <c r="L96" s="127"/>
      <c r="M96" s="128"/>
      <c r="N96" s="128"/>
      <c r="O96" s="119"/>
      <c r="P96" s="119"/>
      <c r="Q96" s="119"/>
    </row>
    <row r="97" spans="1:17">
      <c r="A97" s="119" t="s">
        <v>2558</v>
      </c>
      <c r="B97" s="119"/>
      <c r="C97" s="125"/>
      <c r="D97" s="132"/>
      <c r="E97" s="119"/>
      <c r="F97" s="119"/>
      <c r="G97" s="119"/>
      <c r="H97" s="119"/>
      <c r="I97" s="131"/>
      <c r="J97" s="132"/>
      <c r="K97" s="119"/>
      <c r="L97" s="119"/>
      <c r="M97" s="119"/>
      <c r="N97" s="119"/>
      <c r="O97" s="119"/>
      <c r="P97" s="119"/>
      <c r="Q97" s="119"/>
    </row>
    <row r="98" spans="1:17">
      <c r="A98" s="133" t="s">
        <v>2590</v>
      </c>
      <c r="B98" s="119"/>
      <c r="C98" s="125">
        <v>2454965.4562663632</v>
      </c>
      <c r="D98" s="134">
        <v>5.7790000000000001E-2</v>
      </c>
      <c r="E98" s="135" t="s">
        <v>2560</v>
      </c>
      <c r="F98" s="119"/>
      <c r="G98" s="128">
        <f>ROUND(D98*C98,0)</f>
        <v>141872</v>
      </c>
      <c r="H98" s="119"/>
      <c r="I98" s="125">
        <v>2454965.4562663632</v>
      </c>
      <c r="J98" s="134">
        <v>9.7500000000000003E-2</v>
      </c>
      <c r="K98" s="135" t="s">
        <v>2560</v>
      </c>
      <c r="L98" s="119"/>
      <c r="M98" s="128">
        <f>ROUND(J98*I98,0)</f>
        <v>239359</v>
      </c>
      <c r="N98" s="119"/>
      <c r="O98" s="128">
        <f>IF(AND(M98=0,NOT(G98=0)),0,M98-G98)</f>
        <v>97487</v>
      </c>
      <c r="P98" s="128"/>
      <c r="Q98" s="130">
        <f>IF(C98=0,0,ROUND((M98-G98)/G98,9))</f>
        <v>0.68714757000000004</v>
      </c>
    </row>
    <row r="99" spans="1:17">
      <c r="A99" s="133" t="s">
        <v>2591</v>
      </c>
      <c r="B99" s="119"/>
      <c r="C99" s="125">
        <v>3212466.7747025588</v>
      </c>
      <c r="D99" s="135">
        <v>1.8790000000000001E-2</v>
      </c>
      <c r="E99" s="135" t="s">
        <v>2560</v>
      </c>
      <c r="F99" s="135"/>
      <c r="G99" s="128">
        <f>ROUND(D99*C99,0)</f>
        <v>60362</v>
      </c>
      <c r="H99" s="119"/>
      <c r="I99" s="125">
        <v>3212466.7747025588</v>
      </c>
      <c r="J99" s="132">
        <v>4.3499999999999997E-2</v>
      </c>
      <c r="K99" s="135" t="s">
        <v>2560</v>
      </c>
      <c r="L99" s="135"/>
      <c r="M99" s="128">
        <f>ROUND(J99*I99,0)</f>
        <v>139742</v>
      </c>
      <c r="N99" s="128"/>
      <c r="O99" s="128">
        <f>IF(AND(M99=0,NOT(G99=0)),0,M99-G99)</f>
        <v>79380</v>
      </c>
      <c r="P99" s="128"/>
      <c r="Q99" s="130">
        <f>IF(C99=0,0,ROUND((M99-G99)/G99,9))</f>
        <v>1.3150657699999999</v>
      </c>
    </row>
    <row r="100" spans="1:17" ht="13.5" thickBot="1">
      <c r="A100" s="136" t="s">
        <v>2592</v>
      </c>
      <c r="B100" s="137"/>
      <c r="C100" s="138">
        <f>SUM(C98:C99)</f>
        <v>5667432.2309689224</v>
      </c>
      <c r="D100" s="139"/>
      <c r="E100" s="139"/>
      <c r="F100" s="139"/>
      <c r="G100" s="140">
        <f>SUM(G91,G94:G95,G98,G99)</f>
        <v>218603</v>
      </c>
      <c r="H100" s="137"/>
      <c r="I100" s="138">
        <f>SUM(I98:I99)</f>
        <v>5667432.2309689224</v>
      </c>
      <c r="J100" s="141"/>
      <c r="K100" s="139"/>
      <c r="L100" s="139"/>
      <c r="M100" s="140">
        <f>SUM(M91, M94:M95,M98,M99)</f>
        <v>399231</v>
      </c>
      <c r="N100" s="140"/>
      <c r="O100" s="140">
        <f>IF(AND(M100=0,NOT(G100=0)),0,M100-G100)</f>
        <v>180628</v>
      </c>
      <c r="P100" s="140"/>
      <c r="Q100" s="142">
        <f>IF(C100=0,0,ROUND((M100-G100)/G100,9))</f>
        <v>0.82628326200000002</v>
      </c>
    </row>
    <row r="101" spans="1:17" ht="13.5" thickTop="1">
      <c r="A101" s="119"/>
      <c r="B101" s="119"/>
      <c r="C101" s="119"/>
      <c r="D101" s="119"/>
      <c r="E101" s="119"/>
      <c r="F101" s="119"/>
      <c r="G101" s="119"/>
      <c r="H101" s="119"/>
      <c r="I101" s="119"/>
      <c r="J101" s="119"/>
      <c r="K101" s="119"/>
      <c r="L101" s="119"/>
      <c r="M101" s="119"/>
      <c r="N101" s="119"/>
      <c r="O101" s="119"/>
      <c r="P101" s="119"/>
      <c r="Q101" s="119"/>
    </row>
    <row r="102" spans="1:17">
      <c r="A102" s="123" t="s">
        <v>2593</v>
      </c>
      <c r="B102" s="123"/>
      <c r="C102" s="119"/>
      <c r="D102" s="119"/>
      <c r="E102" s="119"/>
      <c r="F102" s="119"/>
      <c r="G102" s="119"/>
      <c r="H102" s="119"/>
      <c r="I102" s="124"/>
      <c r="J102" s="119"/>
      <c r="K102" s="119"/>
      <c r="L102" s="119"/>
      <c r="M102" s="119"/>
      <c r="N102" s="119"/>
      <c r="O102" s="119"/>
      <c r="P102" s="119"/>
      <c r="Q102" s="119"/>
    </row>
    <row r="103" spans="1:17">
      <c r="A103" s="119"/>
      <c r="B103" s="119"/>
      <c r="C103" s="119"/>
      <c r="D103" s="119"/>
      <c r="E103" s="119"/>
      <c r="F103" s="119"/>
      <c r="G103" s="119"/>
      <c r="H103" s="119"/>
      <c r="I103" s="124"/>
      <c r="J103" s="119"/>
      <c r="K103" s="119"/>
      <c r="L103" s="119"/>
      <c r="M103" s="119"/>
      <c r="N103" s="119"/>
      <c r="O103" s="119"/>
      <c r="P103" s="119"/>
      <c r="Q103" s="119"/>
    </row>
    <row r="104" spans="1:17">
      <c r="A104" s="119" t="s">
        <v>2556</v>
      </c>
      <c r="B104" s="119"/>
      <c r="C104" s="125">
        <v>17</v>
      </c>
      <c r="D104" s="126">
        <v>450</v>
      </c>
      <c r="E104" s="119" t="s">
        <v>2557</v>
      </c>
      <c r="F104" s="127"/>
      <c r="G104" s="128">
        <f>ROUND(D104*C104*12,0)</f>
        <v>91800</v>
      </c>
      <c r="H104" s="119"/>
      <c r="I104" s="129">
        <v>17</v>
      </c>
      <c r="J104" s="126">
        <v>1000</v>
      </c>
      <c r="K104" s="119" t="str">
        <f>E104</f>
        <v>per month</v>
      </c>
      <c r="L104" s="127"/>
      <c r="M104" s="128">
        <f>ROUND(J104*I104*12,0)</f>
        <v>204000</v>
      </c>
      <c r="N104" s="128"/>
      <c r="O104" s="128">
        <f>IF(AND(M104=0,NOT(G104=0)),0,M104-G104)</f>
        <v>112200</v>
      </c>
      <c r="P104" s="128"/>
      <c r="Q104" s="130">
        <f>IF(C104=0,0,ROUND((M104-G104)/G104,9))</f>
        <v>1.2222222220000001</v>
      </c>
    </row>
    <row r="105" spans="1:17">
      <c r="A105" s="119"/>
      <c r="B105" s="119"/>
      <c r="C105" s="131"/>
      <c r="D105" s="132"/>
      <c r="E105" s="119"/>
      <c r="F105" s="119"/>
      <c r="G105" s="119"/>
      <c r="H105" s="119"/>
      <c r="I105" s="129"/>
      <c r="J105" s="132"/>
      <c r="K105" s="119"/>
      <c r="L105" s="119"/>
      <c r="M105" s="119"/>
      <c r="N105" s="119"/>
      <c r="O105" s="119"/>
      <c r="P105" s="119"/>
      <c r="Q105" s="119"/>
    </row>
    <row r="106" spans="1:17">
      <c r="A106" s="119" t="s">
        <v>2578</v>
      </c>
      <c r="B106" s="119"/>
      <c r="C106" s="131"/>
      <c r="D106" s="132"/>
      <c r="E106" s="119"/>
      <c r="F106" s="119"/>
      <c r="G106" s="119"/>
      <c r="H106" s="119"/>
      <c r="I106" s="129"/>
      <c r="J106" s="132"/>
      <c r="K106" s="119"/>
      <c r="L106" s="119"/>
      <c r="M106" s="119"/>
      <c r="N106" s="119"/>
      <c r="O106" s="119"/>
      <c r="P106" s="119"/>
      <c r="Q106" s="119"/>
    </row>
    <row r="107" spans="1:17">
      <c r="A107" s="133" t="s">
        <v>2588</v>
      </c>
      <c r="B107" s="119"/>
      <c r="C107" s="125">
        <v>87298</v>
      </c>
      <c r="D107" s="127">
        <v>7.7</v>
      </c>
      <c r="E107" s="119" t="s">
        <v>2580</v>
      </c>
      <c r="F107" s="127"/>
      <c r="G107" s="128">
        <f>ROUND(D107*C107,0)</f>
        <v>672195</v>
      </c>
      <c r="H107" s="119"/>
      <c r="I107" s="131">
        <v>87298</v>
      </c>
      <c r="J107" s="127">
        <v>16</v>
      </c>
      <c r="K107" s="119" t="str">
        <f>E107</f>
        <v>per kW</v>
      </c>
      <c r="L107" s="127"/>
      <c r="M107" s="128">
        <f>ROUND(J107*I107,0)</f>
        <v>1396768</v>
      </c>
      <c r="N107" s="128"/>
      <c r="O107" s="128">
        <f>IF(AND(M107=0,NOT(G107=0)),0,M107-G107)</f>
        <v>724573</v>
      </c>
      <c r="P107" s="128"/>
      <c r="Q107" s="130">
        <f>IF(C107=0,0,ROUND((M107-G107)/G107,9))</f>
        <v>1.0779208410000001</v>
      </c>
    </row>
    <row r="108" spans="1:17">
      <c r="A108" s="133" t="s">
        <v>2589</v>
      </c>
      <c r="B108" s="119"/>
      <c r="C108" s="125">
        <v>86878.75</v>
      </c>
      <c r="D108" s="127">
        <v>1</v>
      </c>
      <c r="E108" s="119" t="s">
        <v>2580</v>
      </c>
      <c r="F108" s="127"/>
      <c r="G108" s="128">
        <f>ROUND(D108*C108,0)</f>
        <v>86879</v>
      </c>
      <c r="H108" s="119"/>
      <c r="I108" s="131">
        <v>86878.75</v>
      </c>
      <c r="J108" s="127">
        <v>2</v>
      </c>
      <c r="K108" s="119" t="str">
        <f>E108</f>
        <v>per kW</v>
      </c>
      <c r="L108" s="127"/>
      <c r="M108" s="128">
        <f>ROUND(J108*I108,0)</f>
        <v>173758</v>
      </c>
      <c r="N108" s="128"/>
      <c r="O108" s="128">
        <f>IF(AND(M108=0,NOT(G108=0)),0,M108-G108)</f>
        <v>86879</v>
      </c>
      <c r="P108" s="128"/>
      <c r="Q108" s="130">
        <f>IF(C108=0,0,ROUND((M108-G108)/G108,9))</f>
        <v>1</v>
      </c>
    </row>
    <row r="109" spans="1:17">
      <c r="A109" s="133"/>
      <c r="B109" s="119"/>
      <c r="C109" s="125"/>
      <c r="D109" s="127"/>
      <c r="E109" s="119"/>
      <c r="F109" s="127"/>
      <c r="G109" s="128"/>
      <c r="H109" s="119"/>
      <c r="I109" s="125"/>
      <c r="J109" s="127"/>
      <c r="K109" s="119"/>
      <c r="L109" s="127"/>
      <c r="M109" s="128"/>
      <c r="N109" s="128"/>
      <c r="O109" s="119"/>
      <c r="P109" s="119"/>
      <c r="Q109" s="119"/>
    </row>
    <row r="110" spans="1:17">
      <c r="A110" s="119" t="s">
        <v>2558</v>
      </c>
      <c r="B110" s="119"/>
      <c r="C110" s="125"/>
      <c r="D110" s="132"/>
      <c r="E110" s="119"/>
      <c r="F110" s="119"/>
      <c r="G110" s="119"/>
      <c r="H110" s="119"/>
      <c r="I110" s="131"/>
      <c r="J110" s="132"/>
      <c r="K110" s="119"/>
      <c r="L110" s="119"/>
      <c r="M110" s="119"/>
      <c r="N110" s="119"/>
      <c r="O110" s="119"/>
      <c r="P110" s="119"/>
      <c r="Q110" s="119"/>
    </row>
    <row r="111" spans="1:17">
      <c r="A111" s="133" t="s">
        <v>2590</v>
      </c>
      <c r="B111" s="119"/>
      <c r="C111" s="125">
        <v>174527299.71333742</v>
      </c>
      <c r="D111" s="134">
        <v>4.6789999999999998E-2</v>
      </c>
      <c r="E111" s="135" t="s">
        <v>2560</v>
      </c>
      <c r="F111" s="119"/>
      <c r="G111" s="128">
        <f>ROUND(D111*C111,0)</f>
        <v>8166132</v>
      </c>
      <c r="H111" s="119"/>
      <c r="I111" s="125">
        <v>174527299.71333742</v>
      </c>
      <c r="J111" s="134">
        <v>8.1000000000000003E-2</v>
      </c>
      <c r="K111" s="135" t="s">
        <v>2560</v>
      </c>
      <c r="L111" s="119"/>
      <c r="M111" s="128">
        <f>ROUND(J111*I111,0)</f>
        <v>14136711</v>
      </c>
      <c r="N111" s="119"/>
      <c r="O111" s="128">
        <f>IF(AND(M111=0,NOT(G111=0)),0,M111-G111)</f>
        <v>5970579</v>
      </c>
      <c r="P111" s="128"/>
      <c r="Q111" s="130">
        <f>IF(C111=0,0,ROUND((M111-G111)/G111,9))</f>
        <v>0.73113917299999998</v>
      </c>
    </row>
    <row r="112" spans="1:17">
      <c r="A112" s="133" t="s">
        <v>2591</v>
      </c>
      <c r="B112" s="119"/>
      <c r="C112" s="125">
        <v>281412745.91853565</v>
      </c>
      <c r="D112" s="135">
        <v>1.779E-2</v>
      </c>
      <c r="E112" s="135" t="s">
        <v>2560</v>
      </c>
      <c r="F112" s="135"/>
      <c r="G112" s="128">
        <f>ROUND(D112*C112,0)</f>
        <v>5006333</v>
      </c>
      <c r="H112" s="119"/>
      <c r="I112" s="125">
        <v>281412745.91853565</v>
      </c>
      <c r="J112" s="132">
        <v>0.04</v>
      </c>
      <c r="K112" s="135" t="s">
        <v>2560</v>
      </c>
      <c r="L112" s="135"/>
      <c r="M112" s="128">
        <f>ROUND(J112*I112,0)</f>
        <v>11256510</v>
      </c>
      <c r="N112" s="128"/>
      <c r="O112" s="128">
        <f>IF(AND(M112=0,NOT(G112=0)),0,M112-G112)</f>
        <v>6250177</v>
      </c>
      <c r="P112" s="128"/>
      <c r="Q112" s="130">
        <f>IF(C112=0,0,ROUND((M112-G112)/G112,9))</f>
        <v>1.248454108</v>
      </c>
    </row>
    <row r="113" spans="1:17" ht="13.5" thickBot="1">
      <c r="A113" s="136" t="s">
        <v>2594</v>
      </c>
      <c r="B113" s="137"/>
      <c r="C113" s="138">
        <f>SUM(C111:C112)</f>
        <v>455940045.63187307</v>
      </c>
      <c r="D113" s="139"/>
      <c r="E113" s="139"/>
      <c r="F113" s="139"/>
      <c r="G113" s="140">
        <f>SUM(G104,G107:G108,G111,G112)</f>
        <v>14023339</v>
      </c>
      <c r="H113" s="137"/>
      <c r="I113" s="138">
        <f>SUM(I111:I112)</f>
        <v>455940045.63187307</v>
      </c>
      <c r="J113" s="141"/>
      <c r="K113" s="139"/>
      <c r="L113" s="139"/>
      <c r="M113" s="140">
        <f>SUM(M104, M107:M108,M111,M112)</f>
        <v>27167747</v>
      </c>
      <c r="N113" s="140"/>
      <c r="O113" s="140">
        <f>IF(AND(M113=0,NOT(G113=0)),0,M113-G113)</f>
        <v>13144408</v>
      </c>
      <c r="P113" s="140"/>
      <c r="Q113" s="142">
        <f>IF(C113=0,0,ROUND((M113-G113)/G113,9))</f>
        <v>0.93732369999999998</v>
      </c>
    </row>
    <row r="114" spans="1:17" ht="13.5" thickTop="1">
      <c r="A114" s="119"/>
      <c r="B114" s="119"/>
      <c r="C114" s="119"/>
      <c r="D114" s="119"/>
      <c r="E114" s="119"/>
      <c r="F114" s="119"/>
      <c r="G114" s="119"/>
      <c r="H114" s="119"/>
      <c r="I114" s="119"/>
      <c r="J114" s="119"/>
      <c r="K114" s="119"/>
      <c r="L114" s="119"/>
      <c r="M114" s="119"/>
      <c r="N114" s="119"/>
      <c r="O114" s="119"/>
      <c r="P114" s="119"/>
      <c r="Q114" s="119"/>
    </row>
    <row r="115" spans="1:17">
      <c r="A115" s="123" t="s">
        <v>2595</v>
      </c>
      <c r="B115" s="123"/>
      <c r="C115" s="119"/>
      <c r="D115" s="119"/>
      <c r="E115" s="119"/>
      <c r="F115" s="119"/>
      <c r="G115" s="119"/>
      <c r="H115" s="119"/>
      <c r="I115" s="124"/>
      <c r="J115" s="119"/>
      <c r="K115" s="119"/>
      <c r="L115" s="119"/>
      <c r="M115" s="119"/>
      <c r="N115" s="119"/>
      <c r="O115" s="119"/>
      <c r="P115" s="119"/>
      <c r="Q115" s="119"/>
    </row>
    <row r="116" spans="1:17">
      <c r="A116" s="119"/>
      <c r="B116" s="119"/>
      <c r="C116" s="119"/>
      <c r="D116" s="119"/>
      <c r="E116" s="119"/>
      <c r="F116" s="119"/>
      <c r="G116" s="119"/>
      <c r="H116" s="119"/>
      <c r="I116" s="124"/>
      <c r="J116" s="119"/>
      <c r="K116" s="119"/>
      <c r="L116" s="119"/>
      <c r="M116" s="119"/>
      <c r="N116" s="119"/>
      <c r="O116" s="119"/>
      <c r="P116" s="119"/>
      <c r="Q116" s="119"/>
    </row>
    <row r="117" spans="1:17">
      <c r="A117" s="119" t="s">
        <v>2556</v>
      </c>
      <c r="B117" s="119"/>
      <c r="C117" s="125">
        <v>1</v>
      </c>
      <c r="D117" s="126">
        <v>450</v>
      </c>
      <c r="E117" s="119" t="s">
        <v>2557</v>
      </c>
      <c r="F117" s="127"/>
      <c r="G117" s="128">
        <f>ROUND(D117*C117*12,0)</f>
        <v>5400</v>
      </c>
      <c r="H117" s="119"/>
      <c r="I117" s="129">
        <v>1</v>
      </c>
      <c r="J117" s="126">
        <v>1000</v>
      </c>
      <c r="K117" s="119" t="str">
        <f>E117</f>
        <v>per month</v>
      </c>
      <c r="L117" s="127"/>
      <c r="M117" s="128">
        <f>ROUND(J117*I117*12,0)</f>
        <v>12000</v>
      </c>
      <c r="N117" s="128"/>
      <c r="O117" s="128">
        <f>IF(AND(M117=0,NOT(G117=0)),0,M117-G117)</f>
        <v>6600</v>
      </c>
      <c r="P117" s="128"/>
      <c r="Q117" s="130">
        <f>IF(C117=0,0,ROUND((M117-G117)/G117,9))</f>
        <v>1.2222222220000001</v>
      </c>
    </row>
    <row r="118" spans="1:17">
      <c r="A118" s="119"/>
      <c r="B118" s="119"/>
      <c r="C118" s="131"/>
      <c r="D118" s="132"/>
      <c r="E118" s="119"/>
      <c r="F118" s="119"/>
      <c r="G118" s="119"/>
      <c r="H118" s="119"/>
      <c r="I118" s="129"/>
      <c r="J118" s="132"/>
      <c r="K118" s="119"/>
      <c r="L118" s="119"/>
      <c r="M118" s="119"/>
      <c r="N118" s="119"/>
      <c r="O118" s="119"/>
      <c r="P118" s="119"/>
      <c r="Q118" s="119"/>
    </row>
    <row r="119" spans="1:17">
      <c r="A119" s="119" t="s">
        <v>2578</v>
      </c>
      <c r="B119" s="119"/>
      <c r="C119" s="131"/>
      <c r="D119" s="132"/>
      <c r="E119" s="119"/>
      <c r="F119" s="119"/>
      <c r="G119" s="119"/>
      <c r="H119" s="119"/>
      <c r="I119" s="129"/>
      <c r="J119" s="132"/>
      <c r="K119" s="119"/>
      <c r="L119" s="119"/>
      <c r="M119" s="119"/>
      <c r="N119" s="119"/>
      <c r="O119" s="119"/>
      <c r="P119" s="119"/>
      <c r="Q119" s="119"/>
    </row>
    <row r="120" spans="1:17">
      <c r="A120" s="133" t="s">
        <v>2596</v>
      </c>
      <c r="B120" s="119"/>
      <c r="C120" s="125">
        <v>191931</v>
      </c>
      <c r="D120" s="127">
        <v>6</v>
      </c>
      <c r="E120" s="119" t="s">
        <v>2580</v>
      </c>
      <c r="F120" s="127"/>
      <c r="G120" s="128">
        <f>ROUND(D120*C120,0)</f>
        <v>1151586</v>
      </c>
      <c r="H120" s="119"/>
      <c r="I120" s="131">
        <v>191931</v>
      </c>
      <c r="J120" s="127">
        <v>8.75</v>
      </c>
      <c r="K120" s="119" t="str">
        <f>E120</f>
        <v>per kW</v>
      </c>
      <c r="L120" s="127"/>
      <c r="M120" s="128">
        <f>ROUND(J120*I120,0)</f>
        <v>1679396</v>
      </c>
      <c r="N120" s="128"/>
      <c r="O120" s="128">
        <f>IF(AND(M120=0,NOT(G120=0)),0,M120-G120)</f>
        <v>527810</v>
      </c>
      <c r="P120" s="128"/>
      <c r="Q120" s="130">
        <f>IF(C120=0,0,ROUND((M120-G120)/G120,9))</f>
        <v>0.45833311599999998</v>
      </c>
    </row>
    <row r="121" spans="1:17">
      <c r="A121" s="133" t="s">
        <v>2581</v>
      </c>
      <c r="B121" s="119"/>
      <c r="C121" s="125">
        <v>0</v>
      </c>
      <c r="D121" s="127">
        <v>9.6</v>
      </c>
      <c r="E121" s="119" t="s">
        <v>2580</v>
      </c>
      <c r="F121" s="127"/>
      <c r="G121" s="128">
        <f>ROUND(D121*C121,0)</f>
        <v>0</v>
      </c>
      <c r="H121" s="119"/>
      <c r="I121" s="131">
        <v>0</v>
      </c>
      <c r="J121" s="127">
        <v>10</v>
      </c>
      <c r="K121" s="119" t="str">
        <f>E121</f>
        <v>per kW</v>
      </c>
      <c r="L121" s="127"/>
      <c r="M121" s="128">
        <f>ROUND(J121*I121,0)</f>
        <v>0</v>
      </c>
      <c r="N121" s="128"/>
      <c r="O121" s="128">
        <f>IF(AND(M121=0,NOT(G121=0)),0,M121-G121)</f>
        <v>0</v>
      </c>
      <c r="P121" s="128"/>
      <c r="Q121" s="130">
        <f>IF(C121=0,0,ROUND((M121-G121)/G121,9))</f>
        <v>0</v>
      </c>
    </row>
    <row r="122" spans="1:17">
      <c r="A122" s="133"/>
      <c r="B122" s="119"/>
      <c r="C122" s="125"/>
      <c r="D122" s="127"/>
      <c r="E122" s="119"/>
      <c r="F122" s="127"/>
      <c r="G122" s="128"/>
      <c r="H122" s="119"/>
      <c r="I122" s="125"/>
      <c r="J122" s="127"/>
      <c r="K122" s="119"/>
      <c r="L122" s="127"/>
      <c r="M122" s="128"/>
      <c r="N122" s="128"/>
      <c r="O122" s="119"/>
      <c r="P122" s="119"/>
      <c r="Q122" s="119"/>
    </row>
    <row r="123" spans="1:17">
      <c r="A123" s="119" t="s">
        <v>2558</v>
      </c>
      <c r="B123" s="119"/>
      <c r="C123" s="125"/>
      <c r="D123" s="132"/>
      <c r="E123" s="119"/>
      <c r="F123" s="119"/>
      <c r="G123" s="119"/>
      <c r="H123" s="119"/>
      <c r="I123" s="131"/>
      <c r="J123" s="132"/>
      <c r="K123" s="119"/>
      <c r="L123" s="119"/>
      <c r="M123" s="119"/>
      <c r="N123" s="119"/>
      <c r="O123" s="119"/>
      <c r="P123" s="119"/>
      <c r="Q123" s="119"/>
    </row>
    <row r="124" spans="1:17">
      <c r="A124" s="133" t="s">
        <v>2597</v>
      </c>
      <c r="B124" s="119"/>
      <c r="C124" s="125">
        <v>81329554.870816812</v>
      </c>
      <c r="D124" s="134">
        <v>2.496E-2</v>
      </c>
      <c r="E124" s="135" t="s">
        <v>2560</v>
      </c>
      <c r="F124" s="119"/>
      <c r="G124" s="128">
        <f>ROUND(D124*C124,0)</f>
        <v>2029986</v>
      </c>
      <c r="H124" s="119"/>
      <c r="I124" s="125">
        <v>81329554.870816812</v>
      </c>
      <c r="J124" s="134">
        <v>6.7500000000000004E-2</v>
      </c>
      <c r="K124" s="135" t="s">
        <v>2560</v>
      </c>
      <c r="L124" s="119"/>
      <c r="M124" s="128">
        <f>ROUND(J124*I124,0)</f>
        <v>5489745</v>
      </c>
      <c r="N124" s="119"/>
      <c r="O124" s="128">
        <f>IF(AND(M124=0,NOT(G124=0)),0,M124-G124)</f>
        <v>3459759</v>
      </c>
      <c r="P124" s="128"/>
      <c r="Q124" s="130">
        <f>IF(C124=0,0,ROUND((M124-G124)/G124,9))</f>
        <v>1.7043265320000001</v>
      </c>
    </row>
    <row r="125" spans="1:17">
      <c r="A125" s="133" t="s">
        <v>2598</v>
      </c>
      <c r="B125" s="119"/>
      <c r="C125" s="125">
        <v>0</v>
      </c>
      <c r="D125" s="135">
        <v>1.8960000000000001E-2</v>
      </c>
      <c r="E125" s="135" t="s">
        <v>2560</v>
      </c>
      <c r="F125" s="135"/>
      <c r="G125" s="128">
        <f>ROUND(D125*C125,0)</f>
        <v>0</v>
      </c>
      <c r="H125" s="119"/>
      <c r="I125" s="125">
        <v>0</v>
      </c>
      <c r="J125" s="132">
        <v>3.5000000000000003E-2</v>
      </c>
      <c r="K125" s="135" t="s">
        <v>2560</v>
      </c>
      <c r="L125" s="135"/>
      <c r="M125" s="128">
        <f>ROUND(J125*I125,0)</f>
        <v>0</v>
      </c>
      <c r="N125" s="128"/>
      <c r="O125" s="128">
        <f>IF(AND(M125=0,NOT(G125=0)),0,M125-G125)</f>
        <v>0</v>
      </c>
      <c r="P125" s="128"/>
      <c r="Q125" s="130">
        <f>IF(C125=0,0,ROUND((M125-G125)/G125,9))</f>
        <v>0</v>
      </c>
    </row>
    <row r="126" spans="1:17" ht="13.5" thickBot="1">
      <c r="A126" s="136" t="s">
        <v>2599</v>
      </c>
      <c r="B126" s="137"/>
      <c r="C126" s="138">
        <f>SUM(C124:C125)</f>
        <v>81329554.870816812</v>
      </c>
      <c r="D126" s="139"/>
      <c r="E126" s="139"/>
      <c r="F126" s="139"/>
      <c r="G126" s="140">
        <f>SUM(G117,G120:G121,G124,G125)</f>
        <v>3186972</v>
      </c>
      <c r="H126" s="137"/>
      <c r="I126" s="138">
        <f>SUM(I124:I125)</f>
        <v>81329554.870816812</v>
      </c>
      <c r="J126" s="141"/>
      <c r="K126" s="139"/>
      <c r="L126" s="139"/>
      <c r="M126" s="140">
        <f>SUM(M117, M120:M121,M124,M125)</f>
        <v>7181141</v>
      </c>
      <c r="N126" s="140"/>
      <c r="O126" s="140">
        <f>IF(AND(M126=0,NOT(G126=0)),0,M126-G126)</f>
        <v>3994169</v>
      </c>
      <c r="P126" s="140"/>
      <c r="Q126" s="142">
        <f>IF(C126=0,0,ROUND((M126-G126)/G126,9))</f>
        <v>1.2532802300000001</v>
      </c>
    </row>
    <row r="127" spans="1:17" ht="13.5" thickTop="1">
      <c r="A127" s="119"/>
      <c r="B127" s="119"/>
      <c r="C127" s="119"/>
      <c r="D127" s="119"/>
      <c r="E127" s="119"/>
      <c r="F127" s="119"/>
      <c r="G127" s="119"/>
      <c r="H127" s="119"/>
      <c r="I127" s="119"/>
      <c r="J127" s="119"/>
      <c r="K127" s="119"/>
      <c r="L127" s="119"/>
      <c r="M127" s="119"/>
      <c r="N127" s="119"/>
      <c r="O127" s="119"/>
      <c r="P127" s="119"/>
      <c r="Q127" s="119"/>
    </row>
    <row r="128" spans="1:17" s="146" customFormat="1">
      <c r="A128" s="143" t="s">
        <v>2600</v>
      </c>
      <c r="B128" s="143"/>
      <c r="C128" s="144"/>
      <c r="D128" s="144"/>
      <c r="E128" s="144"/>
      <c r="F128" s="144"/>
      <c r="G128" s="144"/>
      <c r="H128" s="144"/>
      <c r="I128" s="145"/>
      <c r="J128" s="144"/>
      <c r="K128" s="144"/>
      <c r="L128" s="144"/>
      <c r="M128" s="144"/>
      <c r="N128" s="144"/>
      <c r="O128" s="144"/>
      <c r="P128" s="144"/>
      <c r="Q128" s="144"/>
    </row>
    <row r="129" spans="1:17" s="146" customFormat="1">
      <c r="A129" s="144"/>
      <c r="B129" s="144"/>
      <c r="C129" s="144"/>
      <c r="D129" s="144"/>
      <c r="E129" s="144"/>
      <c r="F129" s="144"/>
      <c r="G129" s="144"/>
      <c r="H129" s="144"/>
      <c r="I129" s="145"/>
      <c r="J129" s="144"/>
      <c r="K129" s="144"/>
      <c r="L129" s="144"/>
      <c r="M129" s="144"/>
      <c r="N129" s="144"/>
      <c r="O129" s="144"/>
      <c r="P129" s="144"/>
      <c r="Q129" s="144"/>
    </row>
    <row r="130" spans="1:17" s="146" customFormat="1">
      <c r="A130" s="144" t="s">
        <v>2556</v>
      </c>
      <c r="B130" s="144"/>
      <c r="C130" s="147">
        <v>1103</v>
      </c>
      <c r="D130" s="148">
        <v>10</v>
      </c>
      <c r="E130" s="144" t="s">
        <v>2557</v>
      </c>
      <c r="F130" s="149"/>
      <c r="G130" s="150">
        <f>ROUND(D130*C130*12,0)</f>
        <v>132360</v>
      </c>
      <c r="H130" s="144"/>
      <c r="I130" s="151">
        <v>1103</v>
      </c>
      <c r="J130" s="148">
        <v>21</v>
      </c>
      <c r="K130" s="144" t="str">
        <f>E130</f>
        <v>per month</v>
      </c>
      <c r="L130" s="149"/>
      <c r="M130" s="150">
        <f>ROUND(J130*I130*12,0)</f>
        <v>277956</v>
      </c>
      <c r="N130" s="150"/>
      <c r="O130" s="150">
        <f>IF(AND(M130=0,NOT(G130=0)),0,M130-G130)</f>
        <v>145596</v>
      </c>
      <c r="P130" s="150"/>
      <c r="Q130" s="152">
        <f>IF(C130=0,0,ROUND((M130-G130)/G130,9))</f>
        <v>1.1000000000000001</v>
      </c>
    </row>
    <row r="131" spans="1:17" s="146" customFormat="1">
      <c r="A131" s="144"/>
      <c r="B131" s="144"/>
      <c r="C131" s="153"/>
      <c r="D131" s="154"/>
      <c r="E131" s="144"/>
      <c r="F131" s="144"/>
      <c r="G131" s="144"/>
      <c r="H131" s="144"/>
      <c r="I131" s="153"/>
      <c r="J131" s="154"/>
      <c r="K131" s="144"/>
      <c r="L131" s="144"/>
      <c r="M131" s="144"/>
      <c r="N131" s="144"/>
      <c r="O131" s="144"/>
      <c r="P131" s="144"/>
      <c r="Q131" s="144"/>
    </row>
    <row r="132" spans="1:17" s="146" customFormat="1">
      <c r="A132" s="144" t="s">
        <v>2558</v>
      </c>
      <c r="B132" s="144"/>
      <c r="C132" s="147"/>
      <c r="D132" s="154"/>
      <c r="E132" s="144"/>
      <c r="F132" s="144"/>
      <c r="G132" s="144"/>
      <c r="H132" s="144"/>
      <c r="I132" s="153"/>
      <c r="J132" s="154"/>
      <c r="K132" s="144"/>
      <c r="L132" s="144"/>
      <c r="M132" s="144"/>
      <c r="N132" s="144"/>
      <c r="O132" s="144"/>
      <c r="P132" s="144"/>
      <c r="Q132" s="144"/>
    </row>
    <row r="133" spans="1:17" s="146" customFormat="1">
      <c r="A133" s="155" t="s">
        <v>912</v>
      </c>
      <c r="B133" s="144"/>
      <c r="C133" s="147">
        <v>19515369.388357587</v>
      </c>
      <c r="D133" s="156">
        <v>6.1789999999999998E-2</v>
      </c>
      <c r="E133" s="157" t="s">
        <v>2560</v>
      </c>
      <c r="F133" s="144"/>
      <c r="G133" s="150">
        <f>ROUND(D133*C133,0)</f>
        <v>1205855</v>
      </c>
      <c r="H133" s="144"/>
      <c r="I133" s="147">
        <v>19515369.388357587</v>
      </c>
      <c r="J133" s="156">
        <v>8.5000000000000006E-2</v>
      </c>
      <c r="K133" s="157" t="s">
        <v>2560</v>
      </c>
      <c r="L133" s="144"/>
      <c r="M133" s="150">
        <f>ROUND(J133*I133,0)</f>
        <v>1658806</v>
      </c>
      <c r="N133" s="144"/>
      <c r="O133" s="150">
        <f>IF(AND(M133=0,NOT(G133=0)),0,M133-G133)</f>
        <v>452951</v>
      </c>
      <c r="P133" s="150"/>
      <c r="Q133" s="152">
        <f>IF(C133=0,0,ROUND((M133-G133)/G133,9))</f>
        <v>0.37562642299999999</v>
      </c>
    </row>
    <row r="134" spans="1:17" s="146" customFormat="1" ht="13.5" thickBot="1">
      <c r="A134" s="158" t="s">
        <v>2601</v>
      </c>
      <c r="B134" s="159"/>
      <c r="C134" s="160">
        <f>C133</f>
        <v>19515369.388357587</v>
      </c>
      <c r="D134" s="161"/>
      <c r="E134" s="161"/>
      <c r="F134" s="161"/>
      <c r="G134" s="162">
        <f>SUM(G130,G133)</f>
        <v>1338215</v>
      </c>
      <c r="H134" s="159"/>
      <c r="I134" s="160">
        <f>I133</f>
        <v>19515369.388357587</v>
      </c>
      <c r="J134" s="163"/>
      <c r="K134" s="161"/>
      <c r="L134" s="161"/>
      <c r="M134" s="162">
        <f>SUM(M130,M133)</f>
        <v>1936762</v>
      </c>
      <c r="N134" s="162"/>
      <c r="O134" s="162">
        <f>IF(AND(M134=0,NOT(G134=0)),0,M134-G134)</f>
        <v>598547</v>
      </c>
      <c r="P134" s="162"/>
      <c r="Q134" s="164">
        <f>IF(C134=0,0,ROUND((M134-G134)/G134,9))</f>
        <v>0.44727267300000001</v>
      </c>
    </row>
    <row r="135" spans="1:17" ht="13.5" thickTop="1">
      <c r="A135" s="166"/>
      <c r="B135" s="119"/>
      <c r="C135" s="125"/>
      <c r="D135" s="135"/>
      <c r="E135" s="135"/>
      <c r="F135" s="135"/>
      <c r="G135" s="128"/>
      <c r="H135" s="119"/>
      <c r="I135" s="125"/>
      <c r="J135" s="132"/>
      <c r="K135" s="135"/>
      <c r="L135" s="135"/>
      <c r="M135" s="128"/>
      <c r="N135" s="128"/>
      <c r="O135" s="128"/>
      <c r="P135" s="128"/>
      <c r="Q135" s="130"/>
    </row>
    <row r="136" spans="1:17">
      <c r="A136" s="123" t="s">
        <v>2602</v>
      </c>
      <c r="B136" s="123"/>
      <c r="C136" s="119"/>
      <c r="D136" s="119"/>
      <c r="E136" s="119"/>
      <c r="F136" s="119"/>
      <c r="G136" s="119"/>
      <c r="H136" s="119"/>
      <c r="I136" s="124"/>
      <c r="J136" s="119"/>
      <c r="K136" s="119"/>
      <c r="L136" s="119"/>
      <c r="M136" s="119"/>
      <c r="N136" s="119"/>
      <c r="O136" s="119"/>
      <c r="P136" s="119"/>
      <c r="Q136" s="119"/>
    </row>
    <row r="137" spans="1:17">
      <c r="A137" s="119"/>
      <c r="B137" s="119"/>
      <c r="C137" s="119"/>
      <c r="D137" s="119"/>
      <c r="E137" s="119"/>
      <c r="F137" s="119"/>
      <c r="G137" s="119"/>
      <c r="H137" s="119"/>
      <c r="I137" s="124"/>
      <c r="J137" s="119"/>
      <c r="K137" s="119"/>
      <c r="L137" s="119"/>
      <c r="M137" s="119"/>
      <c r="N137" s="119"/>
      <c r="O137" s="119"/>
      <c r="P137" s="119"/>
      <c r="Q137" s="119"/>
    </row>
    <row r="138" spans="1:17">
      <c r="A138" s="119" t="s">
        <v>2556</v>
      </c>
      <c r="B138" s="119"/>
      <c r="C138" s="125">
        <v>48</v>
      </c>
      <c r="D138" s="126">
        <v>5</v>
      </c>
      <c r="E138" s="119" t="s">
        <v>2557</v>
      </c>
      <c r="F138" s="127"/>
      <c r="G138" s="128">
        <f>ROUND(D138*C138*12,0)</f>
        <v>2880</v>
      </c>
      <c r="H138" s="119"/>
      <c r="I138" s="129">
        <v>48</v>
      </c>
      <c r="J138" s="126">
        <v>15</v>
      </c>
      <c r="K138" s="119" t="str">
        <f>E138</f>
        <v>per month</v>
      </c>
      <c r="L138" s="127"/>
      <c r="M138" s="128">
        <f>ROUND(J138*I138*12,0)</f>
        <v>8640</v>
      </c>
      <c r="N138" s="128"/>
      <c r="O138" s="128">
        <f>IF(AND(M138=0,NOT(G138=0)),0,M138-G138)</f>
        <v>5760</v>
      </c>
      <c r="P138" s="128"/>
      <c r="Q138" s="130">
        <f>IF(C138=0,0,ROUND((M138-G138)/G138,9))</f>
        <v>2</v>
      </c>
    </row>
    <row r="139" spans="1:17">
      <c r="A139" s="119"/>
      <c r="B139" s="119"/>
      <c r="C139" s="131"/>
      <c r="D139" s="132"/>
      <c r="E139" s="119"/>
      <c r="F139" s="119"/>
      <c r="G139" s="119"/>
      <c r="H139" s="119"/>
      <c r="I139" s="131"/>
      <c r="J139" s="132"/>
      <c r="K139" s="119"/>
      <c r="L139" s="119"/>
      <c r="M139" s="119"/>
      <c r="N139" s="119"/>
      <c r="O139" s="119"/>
      <c r="P139" s="119"/>
      <c r="Q139" s="119"/>
    </row>
    <row r="140" spans="1:17">
      <c r="A140" s="119" t="s">
        <v>2558</v>
      </c>
      <c r="B140" s="119"/>
      <c r="C140" s="125"/>
      <c r="D140" s="132"/>
      <c r="E140" s="119"/>
      <c r="F140" s="119"/>
      <c r="G140" s="119"/>
      <c r="H140" s="119"/>
      <c r="I140" s="131"/>
      <c r="J140" s="132"/>
      <c r="K140" s="119"/>
      <c r="L140" s="119"/>
      <c r="M140" s="119"/>
      <c r="N140" s="119"/>
      <c r="O140" s="119"/>
      <c r="P140" s="119"/>
      <c r="Q140" s="119"/>
    </row>
    <row r="141" spans="1:17">
      <c r="A141" s="133" t="s">
        <v>2603</v>
      </c>
      <c r="B141" s="119"/>
      <c r="C141" s="125">
        <v>0</v>
      </c>
      <c r="D141" s="134">
        <v>8.4489999999999996E-2</v>
      </c>
      <c r="E141" s="135" t="s">
        <v>2557</v>
      </c>
      <c r="F141" s="119"/>
      <c r="G141" s="128">
        <f>ROUND(D141*C141,0)</f>
        <v>0</v>
      </c>
      <c r="H141" s="119"/>
      <c r="I141" s="125">
        <v>0</v>
      </c>
      <c r="J141" s="134">
        <v>0.125</v>
      </c>
      <c r="K141" s="135" t="s">
        <v>2560</v>
      </c>
      <c r="L141" s="119"/>
      <c r="M141" s="128">
        <f>ROUND(J141*I141,0)</f>
        <v>0</v>
      </c>
      <c r="N141" s="119"/>
      <c r="O141" s="128">
        <f t="shared" ref="O141:O143" si="0">IF(AND(M141=0,NOT(G141=0)),0,M141-G141)</f>
        <v>0</v>
      </c>
      <c r="P141" s="128"/>
      <c r="Q141" s="130">
        <f t="shared" ref="Q141:Q143" si="1">IF(C141=0,0,ROUND((M141-G141)/G141,9))</f>
        <v>0</v>
      </c>
    </row>
    <row r="142" spans="1:17">
      <c r="A142" s="133" t="s">
        <v>2604</v>
      </c>
      <c r="B142" s="119"/>
      <c r="C142" s="125">
        <v>0</v>
      </c>
      <c r="D142" s="135">
        <v>0</v>
      </c>
      <c r="E142" s="135" t="s">
        <v>2557</v>
      </c>
      <c r="F142" s="135"/>
      <c r="G142" s="128">
        <f>ROUND(D142*C142,0)</f>
        <v>0</v>
      </c>
      <c r="H142" s="119"/>
      <c r="I142" s="125">
        <v>0</v>
      </c>
      <c r="J142" s="132">
        <v>0</v>
      </c>
      <c r="K142" s="135" t="s">
        <v>2560</v>
      </c>
      <c r="L142" s="135"/>
      <c r="M142" s="128">
        <f>ROUND(J142*I142,0)</f>
        <v>0</v>
      </c>
      <c r="N142" s="128"/>
      <c r="O142" s="128">
        <f t="shared" si="0"/>
        <v>0</v>
      </c>
      <c r="P142" s="128"/>
      <c r="Q142" s="130">
        <f t="shared" si="1"/>
        <v>0</v>
      </c>
    </row>
    <row r="143" spans="1:17">
      <c r="A143" s="133" t="s">
        <v>2605</v>
      </c>
      <c r="B143" s="119"/>
      <c r="C143" s="125">
        <v>16455131.999999998</v>
      </c>
      <c r="D143" s="135">
        <v>8.4489999999999996E-2</v>
      </c>
      <c r="E143" s="135" t="s">
        <v>2560</v>
      </c>
      <c r="F143" s="135"/>
      <c r="G143" s="128">
        <f>ROUND(D143*C143,0)</f>
        <v>1390294</v>
      </c>
      <c r="H143" s="119"/>
      <c r="I143" s="125">
        <v>16455131.999999998</v>
      </c>
      <c r="J143" s="132">
        <v>0.125</v>
      </c>
      <c r="K143" s="135" t="s">
        <v>2560</v>
      </c>
      <c r="L143" s="135"/>
      <c r="M143" s="128">
        <f>ROUND(J143*I143,0)</f>
        <v>2056892</v>
      </c>
      <c r="N143" s="128"/>
      <c r="O143" s="128">
        <f t="shared" si="0"/>
        <v>666598</v>
      </c>
      <c r="P143" s="128"/>
      <c r="Q143" s="130">
        <f t="shared" si="1"/>
        <v>0.47946549399999999</v>
      </c>
    </row>
    <row r="144" spans="1:17" ht="13.5" thickBot="1">
      <c r="A144" s="136" t="s">
        <v>2606</v>
      </c>
      <c r="B144" s="137"/>
      <c r="C144" s="138">
        <f>SUM(C141:C143)</f>
        <v>16455131.999999998</v>
      </c>
      <c r="D144" s="139"/>
      <c r="E144" s="139"/>
      <c r="F144" s="139"/>
      <c r="G144" s="140">
        <f>SUM(G138,G141,G142,G143)</f>
        <v>1393174</v>
      </c>
      <c r="H144" s="137"/>
      <c r="I144" s="138">
        <f>SUM(I141:I143)</f>
        <v>16455131.999999998</v>
      </c>
      <c r="J144" s="141"/>
      <c r="K144" s="139"/>
      <c r="L144" s="139"/>
      <c r="M144" s="140">
        <f>SUM(M138,M141,M142,M143)</f>
        <v>2065532</v>
      </c>
      <c r="N144" s="140"/>
      <c r="O144" s="140">
        <f>IF(AND(M144=0,NOT(G144=0)),0,M144-G144)</f>
        <v>672358</v>
      </c>
      <c r="P144" s="140"/>
      <c r="Q144" s="142">
        <f>IF(C144=0,0,ROUND((M144-G144)/G144,9))</f>
        <v>0.48260877699999999</v>
      </c>
    </row>
    <row r="145" spans="1:17" ht="13.5" thickTop="1">
      <c r="A145" s="119"/>
      <c r="B145" s="119"/>
      <c r="C145" s="119"/>
      <c r="D145" s="119"/>
      <c r="E145" s="119"/>
      <c r="F145" s="119"/>
      <c r="G145" s="119"/>
      <c r="H145" s="119"/>
      <c r="I145" s="124"/>
      <c r="J145" s="119"/>
      <c r="K145" s="119"/>
      <c r="L145" s="119"/>
      <c r="M145" s="119"/>
      <c r="N145" s="119"/>
      <c r="O145" s="119"/>
      <c r="P145" s="119"/>
      <c r="Q145" s="119"/>
    </row>
    <row r="146" spans="1:17">
      <c r="A146" s="123" t="s">
        <v>2607</v>
      </c>
      <c r="B146" s="123"/>
      <c r="C146" s="119"/>
      <c r="D146" s="119"/>
      <c r="E146" s="119"/>
      <c r="F146" s="119"/>
      <c r="G146" s="119"/>
      <c r="H146" s="119"/>
      <c r="I146" s="124"/>
      <c r="J146" s="119"/>
      <c r="K146" s="119"/>
      <c r="L146" s="119"/>
      <c r="M146" s="119"/>
      <c r="N146" s="119"/>
      <c r="O146" s="119"/>
      <c r="P146" s="119"/>
      <c r="Q146" s="119"/>
    </row>
    <row r="147" spans="1:17">
      <c r="A147" s="119"/>
      <c r="B147" s="119"/>
      <c r="C147" s="119"/>
      <c r="D147" s="119"/>
      <c r="E147" s="119"/>
      <c r="F147" s="119"/>
      <c r="G147" s="119"/>
      <c r="H147" s="119"/>
      <c r="I147" s="124"/>
      <c r="J147" s="119"/>
      <c r="K147" s="119"/>
      <c r="L147" s="119"/>
      <c r="M147" s="119"/>
      <c r="N147" s="119"/>
      <c r="O147" s="119"/>
      <c r="P147" s="119"/>
      <c r="Q147" s="119"/>
    </row>
    <row r="148" spans="1:17">
      <c r="A148" s="119" t="s">
        <v>2556</v>
      </c>
      <c r="B148" s="119"/>
      <c r="C148" s="125">
        <v>223</v>
      </c>
      <c r="D148" s="126">
        <v>4.5999999999999996</v>
      </c>
      <c r="E148" s="119" t="s">
        <v>2557</v>
      </c>
      <c r="F148" s="127"/>
      <c r="G148" s="128">
        <f>ROUND(D148*C148*12,0)</f>
        <v>12310</v>
      </c>
      <c r="H148" s="119"/>
      <c r="I148" s="129">
        <v>223</v>
      </c>
      <c r="J148" s="126">
        <v>15</v>
      </c>
      <c r="K148" s="119" t="str">
        <f>E148</f>
        <v>per month</v>
      </c>
      <c r="L148" s="127"/>
      <c r="M148" s="128">
        <f>ROUND(J148*I148*12,0)</f>
        <v>40140</v>
      </c>
      <c r="N148" s="128"/>
      <c r="O148" s="128">
        <f>IF(AND(M148=0,NOT(G148=0)),0,M148-G148)</f>
        <v>27830</v>
      </c>
      <c r="P148" s="128"/>
      <c r="Q148" s="130">
        <f>IF(C148=0,0,ROUND((M148-G148)/G148,9))</f>
        <v>2.2607636069999999</v>
      </c>
    </row>
    <row r="149" spans="1:17">
      <c r="A149" s="119"/>
      <c r="B149" s="119"/>
      <c r="C149" s="131"/>
      <c r="D149" s="132"/>
      <c r="E149" s="119"/>
      <c r="F149" s="119"/>
      <c r="G149" s="119"/>
      <c r="H149" s="119"/>
      <c r="I149" s="131"/>
      <c r="J149" s="132"/>
      <c r="K149" s="119"/>
      <c r="L149" s="119"/>
      <c r="M149" s="119"/>
      <c r="N149" s="119"/>
      <c r="O149" s="119"/>
      <c r="P149" s="119"/>
      <c r="Q149" s="119"/>
    </row>
    <row r="150" spans="1:17">
      <c r="A150" s="119" t="s">
        <v>2558</v>
      </c>
      <c r="B150" s="119"/>
      <c r="C150" s="125"/>
      <c r="D150" s="132"/>
      <c r="E150" s="119"/>
      <c r="F150" s="119"/>
      <c r="G150" s="119"/>
      <c r="H150" s="119"/>
      <c r="I150" s="131"/>
      <c r="J150" s="132"/>
      <c r="K150" s="119"/>
      <c r="L150" s="119"/>
      <c r="M150" s="119"/>
      <c r="N150" s="119"/>
      <c r="O150" s="119"/>
      <c r="P150" s="119"/>
      <c r="Q150" s="119"/>
    </row>
    <row r="151" spans="1:17">
      <c r="A151" s="133" t="s">
        <v>912</v>
      </c>
      <c r="B151" s="119"/>
      <c r="C151" s="125">
        <v>153660</v>
      </c>
      <c r="D151" s="134">
        <v>8.4489999999999996E-2</v>
      </c>
      <c r="E151" s="135" t="s">
        <v>2560</v>
      </c>
      <c r="F151" s="119"/>
      <c r="G151" s="128">
        <f>ROUND(D151*C151,0)</f>
        <v>12983</v>
      </c>
      <c r="H151" s="119"/>
      <c r="I151" s="125">
        <v>153660</v>
      </c>
      <c r="J151" s="134">
        <v>0.125</v>
      </c>
      <c r="K151" s="135" t="s">
        <v>2560</v>
      </c>
      <c r="L151" s="119"/>
      <c r="M151" s="128">
        <f>ROUND(J151*I151,0)</f>
        <v>19208</v>
      </c>
      <c r="N151" s="119"/>
      <c r="O151" s="128">
        <f>IF(AND(M151=0,NOT(G151=0)),0,M151-G151)</f>
        <v>6225</v>
      </c>
      <c r="P151" s="128"/>
      <c r="Q151" s="130">
        <f>IF(C151=0,0,ROUND((M151-G151)/G151,9))</f>
        <v>0.47947315699999998</v>
      </c>
    </row>
    <row r="152" spans="1:17" ht="13.5" thickBot="1">
      <c r="A152" s="136" t="s">
        <v>2608</v>
      </c>
      <c r="B152" s="137"/>
      <c r="C152" s="138">
        <f>C151</f>
        <v>153660</v>
      </c>
      <c r="D152" s="139"/>
      <c r="E152" s="139"/>
      <c r="F152" s="139"/>
      <c r="G152" s="167">
        <f>SUM(G148,G151)</f>
        <v>25293</v>
      </c>
      <c r="H152" s="137"/>
      <c r="I152" s="138">
        <f>I151</f>
        <v>153660</v>
      </c>
      <c r="J152" s="141"/>
      <c r="K152" s="139"/>
      <c r="L152" s="139"/>
      <c r="M152" s="140">
        <f>SUM(M148,M151)</f>
        <v>59348</v>
      </c>
      <c r="N152" s="140"/>
      <c r="O152" s="140">
        <f>IF(AND(M152=0,NOT(G152=0)),0,M152-G152)</f>
        <v>34055</v>
      </c>
      <c r="P152" s="140"/>
      <c r="Q152" s="142">
        <f>IF(C152=0,0,ROUND((M152-G152)/G152,9))</f>
        <v>1.346419958</v>
      </c>
    </row>
    <row r="153" spans="1:17" ht="13.5" thickTop="1">
      <c r="A153" s="166"/>
      <c r="B153" s="119"/>
      <c r="C153" s="125"/>
      <c r="D153" s="135"/>
      <c r="E153" s="135"/>
      <c r="F153" s="135"/>
      <c r="G153" s="128"/>
      <c r="H153" s="119"/>
      <c r="I153" s="125"/>
      <c r="J153" s="132"/>
      <c r="K153" s="135"/>
      <c r="L153" s="135"/>
      <c r="M153" s="128"/>
      <c r="N153" s="128"/>
      <c r="O153" s="128"/>
      <c r="P153" s="128"/>
      <c r="Q153" s="130"/>
    </row>
    <row r="154" spans="1:17">
      <c r="A154" s="123" t="s">
        <v>2609</v>
      </c>
      <c r="B154" s="123"/>
      <c r="C154" s="119"/>
      <c r="D154" s="119"/>
      <c r="E154" s="119"/>
      <c r="F154" s="119"/>
      <c r="G154" s="119"/>
      <c r="H154" s="119"/>
      <c r="I154" s="124"/>
      <c r="J154" s="119"/>
      <c r="K154" s="119"/>
      <c r="L154" s="119"/>
      <c r="M154" s="119"/>
      <c r="N154" s="119"/>
      <c r="O154" s="119"/>
      <c r="P154" s="119"/>
      <c r="Q154" s="119"/>
    </row>
    <row r="155" spans="1:17">
      <c r="A155" s="119"/>
      <c r="B155" s="119"/>
      <c r="C155" s="119"/>
      <c r="D155" s="119"/>
      <c r="E155" s="119"/>
      <c r="F155" s="119"/>
      <c r="G155" s="119"/>
      <c r="H155" s="119"/>
      <c r="I155" s="124"/>
      <c r="J155" s="119"/>
      <c r="K155" s="119"/>
      <c r="L155" s="119"/>
      <c r="M155" s="119"/>
      <c r="N155" s="119"/>
      <c r="O155" s="119"/>
      <c r="P155" s="119"/>
      <c r="Q155" s="119"/>
    </row>
    <row r="156" spans="1:17">
      <c r="A156" s="119" t="s">
        <v>2556</v>
      </c>
      <c r="B156" s="119"/>
      <c r="C156" s="125">
        <v>2</v>
      </c>
      <c r="D156" s="126">
        <v>521.67999999999995</v>
      </c>
      <c r="E156" s="119" t="s">
        <v>2557</v>
      </c>
      <c r="F156" s="127"/>
      <c r="G156" s="128">
        <f>ROUND(D156*C156*12,0)</f>
        <v>12520</v>
      </c>
      <c r="H156" s="119"/>
      <c r="I156" s="129">
        <v>2</v>
      </c>
      <c r="J156" s="126">
        <v>1750</v>
      </c>
      <c r="K156" s="119" t="str">
        <f>E156</f>
        <v>per month</v>
      </c>
      <c r="L156" s="127"/>
      <c r="M156" s="128">
        <f>ROUND(J156*I156*12,0)</f>
        <v>42000</v>
      </c>
      <c r="N156" s="128"/>
      <c r="O156" s="128">
        <f>IF(AND(M156=0,NOT(G156=0)),0,M156-G156)</f>
        <v>29480</v>
      </c>
      <c r="P156" s="128"/>
      <c r="Q156" s="130">
        <f>IF(C156=0,0,ROUND((M156-G156)/G156,9))</f>
        <v>2.3546325879999999</v>
      </c>
    </row>
    <row r="157" spans="1:17">
      <c r="A157" s="119"/>
      <c r="B157" s="119"/>
      <c r="C157" s="131"/>
      <c r="D157" s="132"/>
      <c r="E157" s="119"/>
      <c r="F157" s="119"/>
      <c r="G157" s="119"/>
      <c r="H157" s="119"/>
      <c r="I157" s="131"/>
      <c r="J157" s="132"/>
      <c r="K157" s="119"/>
      <c r="L157" s="119"/>
      <c r="M157" s="119"/>
      <c r="N157" s="119"/>
      <c r="O157" s="119"/>
      <c r="P157" s="119"/>
      <c r="Q157" s="119"/>
    </row>
    <row r="158" spans="1:17">
      <c r="A158" s="119" t="s">
        <v>2578</v>
      </c>
      <c r="B158" s="119"/>
      <c r="C158" s="131"/>
      <c r="D158" s="132"/>
      <c r="E158" s="119"/>
      <c r="F158" s="119"/>
      <c r="G158" s="119"/>
      <c r="H158" s="119"/>
      <c r="I158" s="129"/>
      <c r="J158" s="132"/>
      <c r="K158" s="119"/>
      <c r="L158" s="119"/>
      <c r="M158" s="119"/>
      <c r="N158" s="119"/>
      <c r="O158" s="119"/>
      <c r="P158" s="119"/>
      <c r="Q158" s="119"/>
    </row>
    <row r="159" spans="1:17">
      <c r="A159" s="133" t="s">
        <v>2579</v>
      </c>
      <c r="B159" s="119"/>
      <c r="C159" s="125">
        <v>0</v>
      </c>
      <c r="D159" s="127">
        <v>8.58</v>
      </c>
      <c r="E159" s="119" t="s">
        <v>2580</v>
      </c>
      <c r="F159" s="127"/>
      <c r="G159" s="128">
        <f>ROUND(D159*C159,0)</f>
        <v>0</v>
      </c>
      <c r="H159" s="119"/>
      <c r="I159" s="131">
        <v>0</v>
      </c>
      <c r="J159" s="127">
        <v>8.58</v>
      </c>
      <c r="K159" s="119" t="str">
        <f>E159</f>
        <v>per kW</v>
      </c>
      <c r="L159" s="127"/>
      <c r="M159" s="128">
        <f>ROUND(J159*I159,0)</f>
        <v>0</v>
      </c>
      <c r="N159" s="128"/>
      <c r="O159" s="128">
        <f t="shared" ref="O159:O160" si="2">IF(AND(M159=0,NOT(G159=0)),0,M159-G159)</f>
        <v>0</v>
      </c>
      <c r="P159" s="128"/>
      <c r="Q159" s="130">
        <f t="shared" ref="Q159:Q160" si="3">IF(C159=0,0,ROUND((M159-G159)/G159,9))</f>
        <v>0</v>
      </c>
    </row>
    <row r="160" spans="1:17">
      <c r="A160" s="133" t="s">
        <v>2581</v>
      </c>
      <c r="B160" s="119"/>
      <c r="C160" s="125">
        <v>0</v>
      </c>
      <c r="D160" s="127">
        <v>11.59</v>
      </c>
      <c r="E160" s="119" t="s">
        <v>2580</v>
      </c>
      <c r="F160" s="127"/>
      <c r="G160" s="128">
        <f>ROUND(D160*C160,0)</f>
        <v>0</v>
      </c>
      <c r="H160" s="119"/>
      <c r="I160" s="131">
        <v>0</v>
      </c>
      <c r="J160" s="127">
        <v>11.59</v>
      </c>
      <c r="K160" s="119" t="str">
        <f>E160</f>
        <v>per kW</v>
      </c>
      <c r="L160" s="127"/>
      <c r="M160" s="128">
        <f>ROUND(J160*I160,0)</f>
        <v>0</v>
      </c>
      <c r="N160" s="128"/>
      <c r="O160" s="128">
        <f t="shared" si="2"/>
        <v>0</v>
      </c>
      <c r="P160" s="128"/>
      <c r="Q160" s="130">
        <f t="shared" si="3"/>
        <v>0</v>
      </c>
    </row>
    <row r="161" spans="1:17">
      <c r="A161" s="133"/>
      <c r="B161" s="119"/>
      <c r="C161" s="125"/>
      <c r="D161" s="127"/>
      <c r="E161" s="119"/>
      <c r="F161" s="127"/>
      <c r="G161" s="128"/>
      <c r="H161" s="119"/>
      <c r="I161" s="125"/>
      <c r="J161" s="127"/>
      <c r="K161" s="119"/>
      <c r="L161" s="127"/>
      <c r="M161" s="128"/>
      <c r="N161" s="128"/>
      <c r="O161" s="119"/>
      <c r="P161" s="119"/>
      <c r="Q161" s="119"/>
    </row>
    <row r="162" spans="1:17">
      <c r="A162" s="119" t="s">
        <v>2558</v>
      </c>
      <c r="B162" s="119"/>
      <c r="C162" s="125"/>
      <c r="D162" s="132"/>
      <c r="E162" s="119"/>
      <c r="F162" s="119"/>
      <c r="G162" s="119"/>
      <c r="H162" s="119"/>
      <c r="I162" s="131"/>
      <c r="J162" s="132"/>
      <c r="K162" s="119"/>
      <c r="L162" s="119"/>
      <c r="M162" s="119"/>
      <c r="N162" s="119"/>
      <c r="O162" s="119"/>
      <c r="P162" s="119"/>
      <c r="Q162" s="119"/>
    </row>
    <row r="163" spans="1:17">
      <c r="A163" s="133" t="s">
        <v>912</v>
      </c>
      <c r="B163" s="119"/>
      <c r="C163" s="125">
        <v>698242.00885200687</v>
      </c>
      <c r="D163" s="134">
        <v>2.811E-2</v>
      </c>
      <c r="E163" s="135" t="s">
        <v>2560</v>
      </c>
      <c r="F163" s="119"/>
      <c r="G163" s="128">
        <f>ROUND(D163*C163,0)</f>
        <v>19628</v>
      </c>
      <c r="H163" s="119"/>
      <c r="I163" s="125">
        <v>698242.00885200687</v>
      </c>
      <c r="J163" s="134">
        <v>4.5999999999999999E-2</v>
      </c>
      <c r="K163" s="135" t="s">
        <v>2560</v>
      </c>
      <c r="L163" s="119"/>
      <c r="M163" s="128">
        <f>ROUND(J163*I163,0)</f>
        <v>32119</v>
      </c>
      <c r="N163" s="119"/>
      <c r="O163" s="128">
        <f>IF(AND(M163=0,NOT(G163=0)),0,M163-G163)</f>
        <v>12491</v>
      </c>
      <c r="P163" s="128"/>
      <c r="Q163" s="130">
        <f>IF(C163=0,0,ROUND((M163-G163)/G163,9))</f>
        <v>0.63638679399999998</v>
      </c>
    </row>
    <row r="164" spans="1:17" ht="13.5" thickBot="1">
      <c r="A164" s="136" t="s">
        <v>2610</v>
      </c>
      <c r="B164" s="137"/>
      <c r="C164" s="138">
        <f>C163</f>
        <v>698242.00885200687</v>
      </c>
      <c r="D164" s="139"/>
      <c r="E164" s="139"/>
      <c r="F164" s="139"/>
      <c r="G164" s="140">
        <f>SUM(G156, G159:G160,G163)</f>
        <v>32148</v>
      </c>
      <c r="H164" s="137"/>
      <c r="I164" s="138">
        <f>I163</f>
        <v>698242.00885200687</v>
      </c>
      <c r="J164" s="141"/>
      <c r="K164" s="139"/>
      <c r="L164" s="139"/>
      <c r="M164" s="140">
        <f>SUM(M156, M159:M160,M163)</f>
        <v>74119</v>
      </c>
      <c r="N164" s="140"/>
      <c r="O164" s="140">
        <f>IF(AND(M164=0,NOT(G164=0)),0,M164-G164)</f>
        <v>41971</v>
      </c>
      <c r="P164" s="140"/>
      <c r="Q164" s="142">
        <f>IF(C164=0,0,ROUND((M164-G164)/G164,9))</f>
        <v>1.3055555560000001</v>
      </c>
    </row>
    <row r="165" spans="1:17" ht="13.5" thickTop="1"/>
    <row r="166" spans="1:17">
      <c r="A166" s="115" t="s">
        <v>2611</v>
      </c>
      <c r="C166" s="168">
        <f>SUM(C164,C152,C144,C134,C126,C113,C100,C87,C74,C61,C53,C40,C31,C22,)</f>
        <v>14122464598.765182</v>
      </c>
      <c r="G166" s="169">
        <f>SUM(G164,G152,G144,G134,G126,G113,G100,G87,G74,G61,G53,G40,G31,G22,)</f>
        <v>1004731882</v>
      </c>
      <c r="M166" s="169">
        <f>SUM(M164,M152,M144,M134,M126,M113,M100,M87,M74,M61,M53,M40,M31,M22,)</f>
        <v>1604697840</v>
      </c>
      <c r="O166" s="169">
        <f>G166-M166</f>
        <v>-599965958</v>
      </c>
    </row>
    <row r="168" spans="1:17">
      <c r="G168" s="169"/>
    </row>
  </sheetData>
  <conditionalFormatting sqref="I15:I16">
    <cfRule type="cellIs" dxfId="71" priority="70" operator="equal">
      <formula>C15</formula>
    </cfRule>
  </conditionalFormatting>
  <conditionalFormatting sqref="I24:I25">
    <cfRule type="cellIs" dxfId="70" priority="68" operator="equal">
      <formula>C24</formula>
    </cfRule>
  </conditionalFormatting>
  <conditionalFormatting sqref="I33:I34">
    <cfRule type="cellIs" dxfId="69" priority="66" operator="equal">
      <formula>C33</formula>
    </cfRule>
  </conditionalFormatting>
  <conditionalFormatting sqref="I42:I43">
    <cfRule type="cellIs" dxfId="68" priority="64" operator="equal">
      <formula>C42</formula>
    </cfRule>
  </conditionalFormatting>
  <conditionalFormatting sqref="I55:I56">
    <cfRule type="cellIs" dxfId="67" priority="60" operator="equal">
      <formula>C55</formula>
    </cfRule>
  </conditionalFormatting>
  <conditionalFormatting sqref="I63:I64">
    <cfRule type="cellIs" dxfId="66" priority="58" operator="equal">
      <formula>C63</formula>
    </cfRule>
  </conditionalFormatting>
  <conditionalFormatting sqref="I70">
    <cfRule type="cellIs" dxfId="65" priority="72" operator="equal">
      <formula>C70</formula>
    </cfRule>
  </conditionalFormatting>
  <conditionalFormatting sqref="I76:I77">
    <cfRule type="cellIs" dxfId="64" priority="55" operator="equal">
      <formula>C76</formula>
    </cfRule>
  </conditionalFormatting>
  <conditionalFormatting sqref="I83">
    <cfRule type="cellIs" dxfId="63" priority="57" operator="equal">
      <formula>C83</formula>
    </cfRule>
  </conditionalFormatting>
  <conditionalFormatting sqref="I89:I90">
    <cfRule type="cellIs" dxfId="62" priority="52" operator="equal">
      <formula>C89</formula>
    </cfRule>
  </conditionalFormatting>
  <conditionalFormatting sqref="I96">
    <cfRule type="cellIs" dxfId="61" priority="54" operator="equal">
      <formula>C96</formula>
    </cfRule>
  </conditionalFormatting>
  <conditionalFormatting sqref="I102:I103">
    <cfRule type="cellIs" dxfId="60" priority="49" operator="equal">
      <formula>C102</formula>
    </cfRule>
  </conditionalFormatting>
  <conditionalFormatting sqref="I109">
    <cfRule type="cellIs" dxfId="59" priority="51" operator="equal">
      <formula>C109</formula>
    </cfRule>
  </conditionalFormatting>
  <conditionalFormatting sqref="I115:I116">
    <cfRule type="cellIs" dxfId="58" priority="46" operator="equal">
      <formula>C115</formula>
    </cfRule>
  </conditionalFormatting>
  <conditionalFormatting sqref="I122">
    <cfRule type="cellIs" dxfId="57" priority="48" operator="equal">
      <formula>C122</formula>
    </cfRule>
  </conditionalFormatting>
  <conditionalFormatting sqref="I128:I129">
    <cfRule type="cellIs" dxfId="56" priority="43" operator="equal">
      <formula>C128</formula>
    </cfRule>
  </conditionalFormatting>
  <conditionalFormatting sqref="I136:I137">
    <cfRule type="cellIs" dxfId="55" priority="40" operator="equal">
      <formula>C136</formula>
    </cfRule>
  </conditionalFormatting>
  <conditionalFormatting sqref="I145:I147">
    <cfRule type="cellIs" dxfId="54" priority="35" operator="equal">
      <formula>C145</formula>
    </cfRule>
  </conditionalFormatting>
  <conditionalFormatting sqref="I154:I155">
    <cfRule type="cellIs" dxfId="53" priority="32" operator="equal">
      <formula>C154</formula>
    </cfRule>
  </conditionalFormatting>
  <conditionalFormatting sqref="I161">
    <cfRule type="cellIs" dxfId="52" priority="30" operator="equal">
      <formula>C161</formula>
    </cfRule>
  </conditionalFormatting>
  <conditionalFormatting sqref="I45:L47">
    <cfRule type="expression" dxfId="51" priority="63">
      <formula>HideProposed</formula>
    </cfRule>
  </conditionalFormatting>
  <conditionalFormatting sqref="I50:L52">
    <cfRule type="expression" dxfId="50" priority="62">
      <formula>HideProposed</formula>
    </cfRule>
  </conditionalFormatting>
  <conditionalFormatting sqref="I57:L57">
    <cfRule type="expression" dxfId="49" priority="59">
      <formula>HideProposed</formula>
    </cfRule>
  </conditionalFormatting>
  <conditionalFormatting sqref="I130:L130">
    <cfRule type="expression" dxfId="48" priority="42">
      <formula>HideProposed</formula>
    </cfRule>
  </conditionalFormatting>
  <conditionalFormatting sqref="I141:L143">
    <cfRule type="expression" dxfId="47" priority="39">
      <formula>HideProposed</formula>
    </cfRule>
  </conditionalFormatting>
  <conditionalFormatting sqref="I148:L148">
    <cfRule type="expression" dxfId="46" priority="37">
      <formula>HideProposed</formula>
    </cfRule>
  </conditionalFormatting>
  <conditionalFormatting sqref="I156:L156">
    <cfRule type="expression" dxfId="45" priority="31">
      <formula>HideProposed</formula>
    </cfRule>
  </conditionalFormatting>
  <conditionalFormatting sqref="I163:L163 J164:L164">
    <cfRule type="expression" dxfId="44" priority="34">
      <formula>HideProposed</formula>
    </cfRule>
  </conditionalFormatting>
  <conditionalFormatting sqref="I14:Q16 I17:L17 N17:Q17 I18:Q19 I20:L21 N20:Q21 J22:Q22 I58:Q59 I60:L60 N60:Q61 J61:L61 I62:Q64 I65:L65 N65:Q65 I66:Q67 I68:L69 N68:Q69 I70:Q71 I72:L73 N72:Q73 J74:Q74">
    <cfRule type="expression" dxfId="43" priority="71">
      <formula>HideProposed</formula>
    </cfRule>
  </conditionalFormatting>
  <conditionalFormatting sqref="I23:Q25 I26:L26 I27:Q28 I29:L30 J31:Q31">
    <cfRule type="expression" dxfId="42" priority="69">
      <formula>HideProposed</formula>
    </cfRule>
  </conditionalFormatting>
  <conditionalFormatting sqref="I32:Q34 I35:L35 I36:Q37 I38:L39 J40:Q40">
    <cfRule type="expression" dxfId="41" priority="67">
      <formula>HideProposed</formula>
    </cfRule>
  </conditionalFormatting>
  <conditionalFormatting sqref="I41:Q44 I48:Q49 J53:L53">
    <cfRule type="expression" dxfId="40" priority="65">
      <formula>HideProposed</formula>
    </cfRule>
  </conditionalFormatting>
  <conditionalFormatting sqref="I54:Q56">
    <cfRule type="expression" dxfId="39" priority="61">
      <formula>HideProposed</formula>
    </cfRule>
  </conditionalFormatting>
  <conditionalFormatting sqref="I75:Q77 I78:L78 I79:Q80 I81:L82 I83:Q84 I85:L86 J87:Q87">
    <cfRule type="expression" dxfId="38" priority="56">
      <formula>HideProposed</formula>
    </cfRule>
  </conditionalFormatting>
  <conditionalFormatting sqref="I88:Q90 I91:L91 I92:Q93 I94:L95 I96:Q97 I98:L99 J100:Q100">
    <cfRule type="expression" dxfId="37" priority="53">
      <formula>HideProposed</formula>
    </cfRule>
  </conditionalFormatting>
  <conditionalFormatting sqref="I101:Q103 I104:L104 I105:Q106 I107:L108 I109:Q110 I111:L112 J113:Q113">
    <cfRule type="expression" dxfId="36" priority="50">
      <formula>HideProposed</formula>
    </cfRule>
  </conditionalFormatting>
  <conditionalFormatting sqref="I114:Q116 I117:L117 I118:Q119 I120:L121 I122:Q123 I124:L125 J126:Q126">
    <cfRule type="expression" dxfId="35" priority="47">
      <formula>HideProposed</formula>
    </cfRule>
  </conditionalFormatting>
  <conditionalFormatting sqref="I127:Q129">
    <cfRule type="expression" dxfId="34" priority="44">
      <formula>HideProposed</formula>
    </cfRule>
  </conditionalFormatting>
  <conditionalFormatting sqref="I131:Q132 I133:L133 J134:L134">
    <cfRule type="expression" dxfId="33" priority="45">
      <formula>HideProposed</formula>
    </cfRule>
  </conditionalFormatting>
  <conditionalFormatting sqref="I135:Q137 I138:L138 I139:Q140 J144:L144">
    <cfRule type="expression" dxfId="32" priority="41">
      <formula>HideProposed</formula>
    </cfRule>
  </conditionalFormatting>
  <conditionalFormatting sqref="I145:Q147">
    <cfRule type="expression" dxfId="31" priority="36">
      <formula>HideProposed</formula>
    </cfRule>
  </conditionalFormatting>
  <conditionalFormatting sqref="I149:Q150 I151:L151 J152:L152">
    <cfRule type="expression" dxfId="30" priority="38">
      <formula>HideProposed</formula>
    </cfRule>
  </conditionalFormatting>
  <conditionalFormatting sqref="I153:Q155">
    <cfRule type="expression" dxfId="29" priority="33">
      <formula>HideProposed</formula>
    </cfRule>
  </conditionalFormatting>
  <conditionalFormatting sqref="I157:Q158 I159:L160 I161:Q162">
    <cfRule type="expression" dxfId="28" priority="29">
      <formula>HideProposed</formula>
    </cfRule>
  </conditionalFormatting>
  <conditionalFormatting sqref="N26:Q26">
    <cfRule type="expression" dxfId="27" priority="28">
      <formula>HideProposed</formula>
    </cfRule>
  </conditionalFormatting>
  <conditionalFormatting sqref="N29:Q30">
    <cfRule type="expression" dxfId="26" priority="27">
      <formula>HideProposed</formula>
    </cfRule>
  </conditionalFormatting>
  <conditionalFormatting sqref="N35:Q35">
    <cfRule type="expression" dxfId="25" priority="26">
      <formula>HideProposed</formula>
    </cfRule>
  </conditionalFormatting>
  <conditionalFormatting sqref="N38:Q39">
    <cfRule type="expression" dxfId="24" priority="25">
      <formula>HideProposed</formula>
    </cfRule>
  </conditionalFormatting>
  <conditionalFormatting sqref="N45:Q47">
    <cfRule type="expression" dxfId="23" priority="24">
      <formula>HideProposed</formula>
    </cfRule>
  </conditionalFormatting>
  <conditionalFormatting sqref="N50:Q53">
    <cfRule type="expression" dxfId="22" priority="23">
      <formula>HideProposed</formula>
    </cfRule>
  </conditionalFormatting>
  <conditionalFormatting sqref="N57:Q57">
    <cfRule type="expression" dxfId="21" priority="22">
      <formula>HideProposed</formula>
    </cfRule>
  </conditionalFormatting>
  <conditionalFormatting sqref="N78:Q78">
    <cfRule type="expression" dxfId="20" priority="21">
      <formula>HideProposed</formula>
    </cfRule>
  </conditionalFormatting>
  <conditionalFormatting sqref="N81:Q82">
    <cfRule type="expression" dxfId="19" priority="20">
      <formula>HideProposed</formula>
    </cfRule>
  </conditionalFormatting>
  <conditionalFormatting sqref="N85:Q86">
    <cfRule type="expression" dxfId="18" priority="19">
      <formula>HideProposed</formula>
    </cfRule>
  </conditionalFormatting>
  <conditionalFormatting sqref="N91:Q91">
    <cfRule type="expression" dxfId="17" priority="18">
      <formula>HideProposed</formula>
    </cfRule>
  </conditionalFormatting>
  <conditionalFormatting sqref="N94:Q95">
    <cfRule type="expression" dxfId="16" priority="17">
      <formula>HideProposed</formula>
    </cfRule>
  </conditionalFormatting>
  <conditionalFormatting sqref="N98:Q99">
    <cfRule type="expression" dxfId="15" priority="16">
      <formula>HideProposed</formula>
    </cfRule>
  </conditionalFormatting>
  <conditionalFormatting sqref="N104:Q104">
    <cfRule type="expression" dxfId="14" priority="15">
      <formula>HideProposed</formula>
    </cfRule>
  </conditionalFormatting>
  <conditionalFormatting sqref="N107:Q108">
    <cfRule type="expression" dxfId="13" priority="14">
      <formula>HideProposed</formula>
    </cfRule>
  </conditionalFormatting>
  <conditionalFormatting sqref="N111:Q112">
    <cfRule type="expression" dxfId="12" priority="13">
      <formula>HideProposed</formula>
    </cfRule>
  </conditionalFormatting>
  <conditionalFormatting sqref="N117:Q117">
    <cfRule type="expression" dxfId="11" priority="12">
      <formula>HideProposed</formula>
    </cfRule>
  </conditionalFormatting>
  <conditionalFormatting sqref="N120:Q121">
    <cfRule type="expression" dxfId="10" priority="11">
      <formula>HideProposed</formula>
    </cfRule>
  </conditionalFormatting>
  <conditionalFormatting sqref="N124:Q125">
    <cfRule type="expression" dxfId="9" priority="10">
      <formula>HideProposed</formula>
    </cfRule>
  </conditionalFormatting>
  <conditionalFormatting sqref="N130:Q130">
    <cfRule type="expression" dxfId="8" priority="9">
      <formula>HideProposed</formula>
    </cfRule>
  </conditionalFormatting>
  <conditionalFormatting sqref="N133:Q134">
    <cfRule type="expression" dxfId="7" priority="8">
      <formula>HideProposed</formula>
    </cfRule>
  </conditionalFormatting>
  <conditionalFormatting sqref="N138:Q138">
    <cfRule type="expression" dxfId="6" priority="7">
      <formula>HideProposed</formula>
    </cfRule>
  </conditionalFormatting>
  <conditionalFormatting sqref="N141:Q144">
    <cfRule type="expression" dxfId="5" priority="6">
      <formula>HideProposed</formula>
    </cfRule>
  </conditionalFormatting>
  <conditionalFormatting sqref="N148:Q148">
    <cfRule type="expression" dxfId="4" priority="5">
      <formula>HideProposed</formula>
    </cfRule>
  </conditionalFormatting>
  <conditionalFormatting sqref="N151:Q152">
    <cfRule type="expression" dxfId="3" priority="4">
      <formula>HideProposed</formula>
    </cfRule>
  </conditionalFormatting>
  <conditionalFormatting sqref="N156:Q156">
    <cfRule type="expression" dxfId="2" priority="3">
      <formula>HideProposed</formula>
    </cfRule>
  </conditionalFormatting>
  <conditionalFormatting sqref="N159:Q160">
    <cfRule type="expression" dxfId="1" priority="2">
      <formula>HideProposed</formula>
    </cfRule>
  </conditionalFormatting>
  <conditionalFormatting sqref="N163:Q164">
    <cfRule type="expression" dxfId="0" priority="1">
      <formula>HideProposed</formula>
    </cfRule>
  </conditionalFormatting>
  <dataValidations disablePrompts="1" count="1">
    <dataValidation type="list" showInputMessage="1" showErrorMessage="1" sqref="B4" xr:uid="{9D6667A6-DDA5-4F19-B145-9C087951F936}">
      <formula1>SheetConfig</formula1>
    </dataValidation>
  </dataValidations>
  <pageMargins left="0.7" right="0.7" top="0.75" bottom="0.75" header="0.3" footer="0.3"/>
  <pageSetup scale="46" fitToHeight="0" orientation="portrait" blackAndWhite="1" r:id="rId1"/>
  <headerFooter scaleWithDoc="0">
    <oddHeader>&amp;R&amp;R&amp;"Times New Roman,Regular"&amp;10Docket 5820-UR-114
Witness: Sam Shannon
Schedule 3
Page &amp;P of &amp;N&amp;L&amp;"Calibri"&amp;10&amp;K0000FFTRADING PARTNER&amp;1#</oddHeader>
    <oddFooter>&amp;C&amp;C&amp;"Times New Roman,Regular"&amp;10Ex-PSC-Shannon-5&amp;R&amp;R&amp;"Times New Roman,Regular"&amp;8Rendered: &amp;D &amp;T</oddFooter>
  </headerFooter>
  <rowBreaks count="1" manualBreakCount="1">
    <brk id="64" max="16383" man="1"/>
  </rowBreaks>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03354-6BBE-4604-B91F-56A328CFB516}">
  <dimension ref="A1:U148"/>
  <sheetViews>
    <sheetView workbookViewId="0"/>
    <sheetView workbookViewId="1"/>
    <sheetView workbookViewId="2"/>
  </sheetViews>
  <sheetFormatPr defaultRowHeight="15"/>
  <cols>
    <col min="1" max="1" width="79" customWidth="1"/>
  </cols>
  <sheetData>
    <row r="1" spans="1:21">
      <c r="A1" s="256" t="s">
        <v>2777</v>
      </c>
      <c r="B1" s="1299">
        <v>5</v>
      </c>
      <c r="C1" s="1299"/>
      <c r="D1" s="257"/>
      <c r="E1" s="257"/>
      <c r="F1" s="1246"/>
      <c r="G1" s="1246"/>
      <c r="H1" s="1246"/>
      <c r="I1" s="1246"/>
      <c r="J1" s="257"/>
      <c r="K1" s="257"/>
      <c r="L1" s="1246"/>
      <c r="M1" s="1246"/>
      <c r="N1" s="1246"/>
      <c r="O1" s="1246"/>
      <c r="P1" s="1246"/>
      <c r="Q1" s="1246"/>
      <c r="R1" s="1246"/>
      <c r="S1" s="1246"/>
      <c r="T1" s="257"/>
      <c r="U1" s="257"/>
    </row>
    <row r="2" spans="1:21">
      <c r="A2" s="256" t="s">
        <v>2778</v>
      </c>
      <c r="B2" s="1299">
        <v>3</v>
      </c>
      <c r="C2" s="1299"/>
      <c r="D2" s="257"/>
      <c r="E2" s="257"/>
      <c r="F2" s="1246"/>
      <c r="G2" s="1246"/>
      <c r="H2" s="1246"/>
      <c r="I2" s="1246"/>
      <c r="J2" s="257"/>
      <c r="K2" s="257"/>
      <c r="L2" s="1246"/>
      <c r="M2" s="1246"/>
      <c r="N2" s="1246"/>
      <c r="O2" s="1246"/>
      <c r="P2" s="1246"/>
      <c r="Q2" s="1246"/>
      <c r="R2" s="1246"/>
      <c r="S2" s="1246"/>
      <c r="T2" s="257"/>
      <c r="U2" s="257"/>
    </row>
    <row r="3" spans="1:21">
      <c r="A3" s="258" t="s">
        <v>2779</v>
      </c>
      <c r="B3" s="1299"/>
      <c r="C3" s="1299"/>
      <c r="D3" s="259"/>
      <c r="E3" s="259"/>
      <c r="F3" s="1298"/>
      <c r="G3" s="1298"/>
      <c r="H3" s="1246"/>
      <c r="I3" s="1246"/>
      <c r="J3" s="257"/>
      <c r="K3" s="257"/>
      <c r="L3" s="1246"/>
      <c r="M3" s="1246"/>
      <c r="N3" s="1246"/>
      <c r="O3" s="1246"/>
      <c r="P3" s="1246"/>
      <c r="Q3" s="1246"/>
      <c r="R3" s="1246"/>
      <c r="S3" s="1246"/>
      <c r="T3" s="257"/>
      <c r="U3" s="257"/>
    </row>
    <row r="4" spans="1:21">
      <c r="A4" s="258" t="s">
        <v>2780</v>
      </c>
      <c r="B4" s="1297" t="s">
        <v>2781</v>
      </c>
      <c r="C4" s="1297"/>
      <c r="D4" s="259"/>
      <c r="E4" s="259"/>
      <c r="F4" s="1298"/>
      <c r="G4" s="1298"/>
      <c r="H4" s="1246"/>
      <c r="I4" s="1246"/>
      <c r="J4" s="257"/>
      <c r="K4" s="257"/>
      <c r="L4" s="1246"/>
      <c r="M4" s="1246"/>
      <c r="N4" s="1246"/>
      <c r="O4" s="1246"/>
      <c r="P4" s="1246"/>
      <c r="Q4" s="1246"/>
      <c r="R4" s="1246"/>
      <c r="S4" s="1246"/>
      <c r="T4" s="257"/>
      <c r="U4" s="257"/>
    </row>
    <row r="5" spans="1:21">
      <c r="A5" s="257" t="s">
        <v>3</v>
      </c>
      <c r="B5" s="260"/>
      <c r="C5" s="260"/>
      <c r="D5" s="260"/>
      <c r="E5" s="260"/>
      <c r="F5" s="260"/>
      <c r="G5" s="260"/>
      <c r="H5" s="260"/>
      <c r="I5" s="260"/>
      <c r="J5" s="260"/>
      <c r="K5" s="260"/>
      <c r="L5" s="260"/>
      <c r="M5" s="260"/>
      <c r="N5" s="260"/>
      <c r="O5" s="260"/>
      <c r="P5" s="260"/>
      <c r="Q5" s="260"/>
      <c r="R5" s="1246"/>
      <c r="S5" s="1246"/>
      <c r="T5" s="257"/>
      <c r="U5" s="257"/>
    </row>
    <row r="6" spans="1:21">
      <c r="A6" s="257" t="s">
        <v>2782</v>
      </c>
      <c r="B6" s="260"/>
      <c r="C6" s="260"/>
      <c r="D6" s="260"/>
      <c r="E6" s="260"/>
      <c r="F6" s="260"/>
      <c r="G6" s="260"/>
      <c r="H6" s="260"/>
      <c r="I6" s="260"/>
      <c r="J6" s="260"/>
      <c r="K6" s="260"/>
      <c r="L6" s="260"/>
      <c r="M6" s="260"/>
      <c r="N6" s="260"/>
      <c r="O6" s="260"/>
      <c r="P6" s="260"/>
      <c r="Q6" s="260"/>
      <c r="R6" s="1246"/>
      <c r="S6" s="1246"/>
      <c r="T6" s="257"/>
      <c r="U6" s="257"/>
    </row>
    <row r="7" spans="1:21">
      <c r="A7" s="257" t="s">
        <v>2783</v>
      </c>
      <c r="B7" s="260"/>
      <c r="C7" s="260"/>
      <c r="D7" s="260"/>
      <c r="E7" s="260"/>
      <c r="F7" s="260"/>
      <c r="G7" s="260"/>
      <c r="H7" s="260"/>
      <c r="I7" s="260"/>
      <c r="J7" s="260"/>
      <c r="K7" s="260"/>
      <c r="L7" s="260"/>
      <c r="M7" s="260"/>
      <c r="N7" s="260"/>
      <c r="O7" s="260"/>
      <c r="P7" s="260"/>
      <c r="Q7" s="260"/>
      <c r="R7" s="1246"/>
      <c r="S7" s="1246"/>
      <c r="T7" s="257"/>
      <c r="U7" s="257"/>
    </row>
    <row r="8" spans="1:21">
      <c r="A8" s="262"/>
      <c r="B8" s="260"/>
      <c r="C8" s="260"/>
      <c r="D8" s="260"/>
      <c r="E8" s="260"/>
      <c r="F8" s="260"/>
      <c r="G8" s="260"/>
      <c r="H8" s="260"/>
      <c r="I8" s="260"/>
      <c r="J8" s="260"/>
      <c r="K8" s="260"/>
      <c r="L8" s="260"/>
      <c r="M8" s="260"/>
      <c r="N8" s="260"/>
      <c r="O8" s="260"/>
      <c r="P8" s="260"/>
      <c r="Q8" s="260"/>
      <c r="R8" s="1246"/>
      <c r="S8" s="1246"/>
      <c r="T8" s="257"/>
      <c r="U8" s="257"/>
    </row>
    <row r="9" spans="1:21">
      <c r="A9" s="262"/>
      <c r="B9" s="260"/>
      <c r="C9" s="260"/>
      <c r="D9" s="260"/>
      <c r="E9" s="260"/>
      <c r="F9" s="260"/>
      <c r="G9" s="260"/>
      <c r="H9" s="260"/>
      <c r="I9" s="260"/>
      <c r="J9" s="260"/>
      <c r="K9" s="260"/>
      <c r="L9" s="260"/>
      <c r="M9" s="260"/>
      <c r="N9" s="260"/>
      <c r="O9" s="260"/>
      <c r="P9" s="260"/>
      <c r="Q9" s="260"/>
      <c r="R9" s="1246"/>
      <c r="S9" s="1246"/>
      <c r="T9" s="257"/>
      <c r="U9" s="257"/>
    </row>
    <row r="10" spans="1:21">
      <c r="A10" s="262"/>
      <c r="B10" s="260"/>
      <c r="C10" s="260"/>
      <c r="D10" s="260"/>
      <c r="E10" s="260"/>
      <c r="F10" s="260"/>
      <c r="G10" s="260"/>
      <c r="H10" s="260"/>
      <c r="I10" s="260"/>
      <c r="J10" s="260"/>
      <c r="K10" s="260"/>
      <c r="L10" s="260"/>
      <c r="M10" s="260"/>
      <c r="N10" s="260"/>
      <c r="O10" s="260"/>
      <c r="P10" s="260"/>
      <c r="Q10" s="260"/>
      <c r="R10" s="1246"/>
      <c r="S10" s="1246"/>
      <c r="T10" s="257"/>
      <c r="U10" s="257"/>
    </row>
    <row r="11" spans="1:21">
      <c r="A11" s="257"/>
      <c r="B11" s="1246"/>
      <c r="C11" s="1246"/>
      <c r="D11" s="257"/>
      <c r="E11" s="257"/>
      <c r="F11" s="1246"/>
      <c r="G11" s="1246"/>
      <c r="H11" s="1246"/>
      <c r="I11" s="1246"/>
      <c r="J11" s="257"/>
      <c r="K11" s="257"/>
      <c r="L11" s="1246"/>
      <c r="M11" s="1246"/>
      <c r="N11" s="1246"/>
      <c r="O11" s="1246"/>
      <c r="P11" s="1246"/>
      <c r="Q11" s="1246"/>
      <c r="R11" s="1246"/>
      <c r="S11" s="1246"/>
      <c r="T11" s="257"/>
      <c r="U11" s="257"/>
    </row>
    <row r="12" spans="1:21">
      <c r="A12" s="257"/>
      <c r="B12" s="257"/>
      <c r="C12" s="263" t="s">
        <v>2612</v>
      </c>
      <c r="D12" s="257"/>
      <c r="E12" s="257"/>
      <c r="F12" s="1246"/>
      <c r="G12" s="1246"/>
      <c r="H12" s="257"/>
      <c r="I12" s="263" t="s">
        <v>2613</v>
      </c>
      <c r="J12" s="257"/>
      <c r="K12" s="257"/>
      <c r="L12" s="1246"/>
      <c r="M12" s="1246"/>
      <c r="N12" s="257"/>
      <c r="O12" s="1296" t="s">
        <v>2547</v>
      </c>
      <c r="P12" s="1296"/>
      <c r="Q12" s="1296"/>
      <c r="R12" s="1246"/>
      <c r="S12" s="1246"/>
      <c r="T12" s="257"/>
      <c r="U12" s="257"/>
    </row>
    <row r="13" spans="1:21">
      <c r="A13" s="257"/>
      <c r="B13" s="263"/>
      <c r="C13" s="263" t="s">
        <v>2548</v>
      </c>
      <c r="D13" s="263" t="s">
        <v>2503</v>
      </c>
      <c r="E13" s="263"/>
      <c r="F13" s="263"/>
      <c r="G13" s="263" t="s">
        <v>2503</v>
      </c>
      <c r="H13" s="263"/>
      <c r="I13" s="263" t="s">
        <v>2548</v>
      </c>
      <c r="J13" s="263" t="s">
        <v>2546</v>
      </c>
      <c r="K13" s="263"/>
      <c r="L13" s="263"/>
      <c r="M13" s="263" t="s">
        <v>2546</v>
      </c>
      <c r="N13" s="263"/>
      <c r="O13" s="1296" t="s">
        <v>2549</v>
      </c>
      <c r="P13" s="1296"/>
      <c r="Q13" s="1296"/>
      <c r="R13" s="1246"/>
      <c r="S13" s="1246"/>
      <c r="T13" s="257"/>
      <c r="U13" s="257"/>
    </row>
    <row r="14" spans="1:21">
      <c r="A14" s="264" t="s">
        <v>2550</v>
      </c>
      <c r="B14" s="265"/>
      <c r="C14" s="265" t="s">
        <v>2551</v>
      </c>
      <c r="D14" s="265" t="s">
        <v>2552</v>
      </c>
      <c r="E14" s="265"/>
      <c r="F14" s="265"/>
      <c r="G14" s="265" t="s">
        <v>2506</v>
      </c>
      <c r="H14" s="265"/>
      <c r="I14" s="265" t="s">
        <v>2551</v>
      </c>
      <c r="J14" s="265" t="s">
        <v>2552</v>
      </c>
      <c r="K14" s="265"/>
      <c r="L14" s="265"/>
      <c r="M14" s="265" t="s">
        <v>2506</v>
      </c>
      <c r="N14" s="265"/>
      <c r="O14" s="265" t="s">
        <v>2553</v>
      </c>
      <c r="P14" s="265"/>
      <c r="Q14" s="265" t="s">
        <v>2554</v>
      </c>
      <c r="R14" s="1246"/>
      <c r="S14" s="1246"/>
      <c r="T14" s="257"/>
      <c r="U14" s="257"/>
    </row>
    <row r="15" spans="1:21">
      <c r="A15" s="257"/>
      <c r="B15" s="263"/>
      <c r="C15" s="263"/>
      <c r="D15" s="263"/>
      <c r="E15" s="263"/>
      <c r="F15" s="263"/>
      <c r="G15" s="263"/>
      <c r="H15" s="263"/>
      <c r="I15" s="263"/>
      <c r="J15" s="263"/>
      <c r="K15" s="263"/>
      <c r="L15" s="263"/>
      <c r="M15" s="263"/>
      <c r="N15" s="263"/>
      <c r="O15" s="263"/>
      <c r="P15" s="263"/>
      <c r="Q15" s="263"/>
      <c r="R15" s="1246"/>
      <c r="S15" s="1246"/>
      <c r="T15" s="257"/>
      <c r="U15" s="257"/>
    </row>
    <row r="16" spans="1:21" ht="26.25">
      <c r="A16" s="304" t="s">
        <v>882</v>
      </c>
      <c r="B16" s="1295"/>
      <c r="C16" s="1295"/>
      <c r="D16" s="257"/>
      <c r="E16" s="257"/>
      <c r="F16" s="1246"/>
      <c r="G16" s="1246"/>
      <c r="H16" s="1246"/>
      <c r="I16" s="1246"/>
      <c r="J16" s="257"/>
      <c r="K16" s="257"/>
      <c r="L16" s="1246"/>
      <c r="M16" s="1246"/>
      <c r="N16" s="1246"/>
      <c r="O16" s="1246"/>
      <c r="P16" s="1246"/>
      <c r="Q16" s="1246"/>
      <c r="R16" s="1246"/>
      <c r="S16" s="1246"/>
      <c r="T16" s="257"/>
      <c r="U16" s="257"/>
    </row>
    <row r="17" spans="1:21">
      <c r="A17" s="257"/>
      <c r="B17" s="1246"/>
      <c r="C17" s="1246"/>
      <c r="D17" s="257"/>
      <c r="E17" s="257"/>
      <c r="F17" s="1246"/>
      <c r="G17" s="1246"/>
      <c r="H17" s="1246"/>
      <c r="I17" s="1246"/>
      <c r="J17" s="257"/>
      <c r="K17" s="257"/>
      <c r="L17" s="1246"/>
      <c r="M17" s="1246"/>
      <c r="N17" s="1246"/>
      <c r="O17" s="1246"/>
      <c r="P17" s="1246"/>
      <c r="Q17" s="1246"/>
      <c r="R17" s="1246"/>
      <c r="S17" s="1246"/>
      <c r="T17" s="257"/>
      <c r="U17" s="257"/>
    </row>
    <row r="18" spans="1:21">
      <c r="A18" s="267" t="s">
        <v>2558</v>
      </c>
      <c r="B18" s="1246"/>
      <c r="C18" s="1246"/>
      <c r="D18" s="257"/>
      <c r="E18" s="257"/>
      <c r="F18" s="1246"/>
      <c r="G18" s="1246"/>
      <c r="H18" s="1246"/>
      <c r="I18" s="1246"/>
      <c r="J18" s="257"/>
      <c r="K18" s="257"/>
      <c r="L18" s="1246"/>
      <c r="M18" s="1246"/>
      <c r="N18" s="1246"/>
      <c r="O18" s="1246"/>
      <c r="P18" s="1246"/>
      <c r="Q18" s="1246"/>
      <c r="R18" s="1246"/>
      <c r="S18" s="1246"/>
      <c r="T18" s="257"/>
      <c r="U18" s="257"/>
    </row>
    <row r="19" spans="1:21">
      <c r="A19" s="268" t="s">
        <v>883</v>
      </c>
      <c r="B19" s="257"/>
      <c r="C19" s="269">
        <v>3155301</v>
      </c>
      <c r="D19" s="270">
        <v>9.7799999999999998E-2</v>
      </c>
      <c r="E19" s="257" t="s">
        <v>2560</v>
      </c>
      <c r="F19" s="257"/>
      <c r="G19" s="271">
        <v>308557</v>
      </c>
      <c r="H19" s="257"/>
      <c r="I19" s="269">
        <v>3155301</v>
      </c>
      <c r="J19" s="270">
        <v>0.1</v>
      </c>
      <c r="K19" s="257" t="s">
        <v>2560</v>
      </c>
      <c r="L19" s="257"/>
      <c r="M19" s="271">
        <v>315530</v>
      </c>
      <c r="N19" s="257"/>
      <c r="O19" s="271">
        <v>6973</v>
      </c>
      <c r="P19" s="257"/>
      <c r="Q19" s="272">
        <v>2.2599999999999999E-2</v>
      </c>
      <c r="R19" s="1246"/>
      <c r="S19" s="1246"/>
      <c r="T19" s="257"/>
      <c r="U19" s="257"/>
    </row>
    <row r="20" spans="1:21" ht="15.75" thickBot="1">
      <c r="A20" s="273" t="s">
        <v>884</v>
      </c>
      <c r="B20" s="274"/>
      <c r="C20" s="274">
        <v>0</v>
      </c>
      <c r="D20" s="275">
        <v>8.7800000000000003E-2</v>
      </c>
      <c r="E20" s="274" t="s">
        <v>2560</v>
      </c>
      <c r="F20" s="274"/>
      <c r="G20" s="276">
        <v>0</v>
      </c>
      <c r="H20" s="274"/>
      <c r="I20" s="274">
        <v>0</v>
      </c>
      <c r="J20" s="275">
        <v>9.5000000000000001E-2</v>
      </c>
      <c r="K20" s="274" t="s">
        <v>2560</v>
      </c>
      <c r="L20" s="274"/>
      <c r="M20" s="276">
        <v>0</v>
      </c>
      <c r="N20" s="274"/>
      <c r="O20" s="276">
        <v>0</v>
      </c>
      <c r="P20" s="274"/>
      <c r="Q20" s="277">
        <v>0</v>
      </c>
      <c r="R20" s="1246"/>
      <c r="S20" s="1246"/>
      <c r="T20" s="257"/>
      <c r="U20" s="257"/>
    </row>
    <row r="21" spans="1:21" ht="16.5" thickTop="1" thickBot="1">
      <c r="A21" s="278" t="s">
        <v>885</v>
      </c>
      <c r="B21" s="274"/>
      <c r="C21" s="279">
        <v>3155301</v>
      </c>
      <c r="D21" s="274"/>
      <c r="E21" s="274"/>
      <c r="F21" s="274"/>
      <c r="G21" s="275">
        <v>308557</v>
      </c>
      <c r="H21" s="274"/>
      <c r="I21" s="279">
        <v>3155301</v>
      </c>
      <c r="J21" s="274"/>
      <c r="K21" s="274"/>
      <c r="L21" s="274"/>
      <c r="M21" s="276">
        <v>315530</v>
      </c>
      <c r="N21" s="274"/>
      <c r="O21" s="276">
        <v>6973</v>
      </c>
      <c r="P21" s="274"/>
      <c r="Q21" s="277">
        <v>2.2599999999999999E-2</v>
      </c>
      <c r="R21" s="1246"/>
      <c r="S21" s="1246"/>
      <c r="T21" s="257"/>
      <c r="U21" s="257"/>
    </row>
    <row r="22" spans="1:21" ht="15.75" thickTop="1">
      <c r="A22" s="280"/>
      <c r="B22" s="1248"/>
      <c r="C22" s="1248"/>
      <c r="D22" s="257"/>
      <c r="E22" s="257"/>
      <c r="F22" s="1248"/>
      <c r="G22" s="1248"/>
      <c r="H22" s="1248"/>
      <c r="I22" s="1248"/>
      <c r="J22" s="257"/>
      <c r="K22" s="257"/>
      <c r="L22" s="1248"/>
      <c r="M22" s="1248"/>
      <c r="N22" s="1248"/>
      <c r="O22" s="1248"/>
      <c r="P22" s="1248"/>
      <c r="Q22" s="1248"/>
      <c r="R22" s="1246"/>
      <c r="S22" s="1246"/>
      <c r="T22" s="257"/>
      <c r="U22" s="257"/>
    </row>
    <row r="23" spans="1:21">
      <c r="A23" s="257"/>
      <c r="B23" s="1246"/>
      <c r="C23" s="1246"/>
      <c r="D23" s="257"/>
      <c r="E23" s="257"/>
      <c r="F23" s="1246"/>
      <c r="G23" s="1246"/>
      <c r="H23" s="1246"/>
      <c r="I23" s="1246"/>
      <c r="J23" s="257"/>
      <c r="K23" s="257"/>
      <c r="L23" s="1246"/>
      <c r="M23" s="1246"/>
      <c r="N23" s="1246"/>
      <c r="O23" s="1246"/>
      <c r="P23" s="1246"/>
      <c r="Q23" s="1246"/>
      <c r="R23" s="1246"/>
      <c r="S23" s="1246"/>
      <c r="T23" s="257"/>
      <c r="U23" s="257"/>
    </row>
    <row r="24" spans="1:21">
      <c r="A24" s="266" t="s">
        <v>2614</v>
      </c>
      <c r="B24" s="1246"/>
      <c r="C24" s="1246"/>
      <c r="D24" s="257"/>
      <c r="E24" s="257"/>
      <c r="F24" s="1246"/>
      <c r="G24" s="1246"/>
      <c r="H24" s="1246"/>
      <c r="I24" s="1246"/>
      <c r="J24" s="257"/>
      <c r="K24" s="257"/>
      <c r="L24" s="1246"/>
      <c r="M24" s="1246"/>
      <c r="N24" s="1246"/>
      <c r="O24" s="1246"/>
      <c r="P24" s="1246"/>
      <c r="Q24" s="1246"/>
      <c r="R24" s="1246"/>
      <c r="S24" s="1246"/>
      <c r="T24" s="257"/>
      <c r="U24" s="257"/>
    </row>
    <row r="25" spans="1:21">
      <c r="A25" s="266"/>
      <c r="B25" s="1246"/>
      <c r="C25" s="1246"/>
      <c r="D25" s="257"/>
      <c r="E25" s="257"/>
      <c r="F25" s="1246"/>
      <c r="G25" s="1246"/>
      <c r="H25" s="1246"/>
      <c r="I25" s="1246"/>
      <c r="J25" s="257"/>
      <c r="K25" s="257"/>
      <c r="L25" s="1246"/>
      <c r="M25" s="1246"/>
      <c r="N25" s="1246"/>
      <c r="O25" s="1246"/>
      <c r="P25" s="1246"/>
      <c r="Q25" s="1246"/>
      <c r="R25" s="1246"/>
      <c r="S25" s="1246"/>
      <c r="T25" s="257"/>
      <c r="U25" s="257"/>
    </row>
    <row r="26" spans="1:21">
      <c r="A26" s="281" t="s">
        <v>887</v>
      </c>
      <c r="B26" s="1246"/>
      <c r="C26" s="1246"/>
      <c r="D26" s="257"/>
      <c r="E26" s="257"/>
      <c r="F26" s="1246"/>
      <c r="G26" s="1246"/>
      <c r="H26" s="1246"/>
      <c r="I26" s="1246"/>
      <c r="J26" s="257"/>
      <c r="K26" s="257"/>
      <c r="L26" s="1246"/>
      <c r="M26" s="1246"/>
      <c r="N26" s="1246"/>
      <c r="O26" s="1246"/>
      <c r="P26" s="1246"/>
      <c r="Q26" s="1246"/>
      <c r="R26" s="1246"/>
      <c r="S26" s="1246"/>
      <c r="T26" s="257"/>
      <c r="U26" s="257"/>
    </row>
    <row r="27" spans="1:21">
      <c r="A27" s="266"/>
      <c r="B27" s="1246"/>
      <c r="C27" s="1246"/>
      <c r="D27" s="257"/>
      <c r="E27" s="257"/>
      <c r="F27" s="1246"/>
      <c r="G27" s="1246"/>
      <c r="H27" s="1246"/>
      <c r="I27" s="1246"/>
      <c r="J27" s="257"/>
      <c r="K27" s="257"/>
      <c r="L27" s="1246"/>
      <c r="M27" s="1246"/>
      <c r="N27" s="1246"/>
      <c r="O27" s="1246"/>
      <c r="P27" s="1246"/>
      <c r="Q27" s="1246"/>
      <c r="R27" s="1246"/>
      <c r="S27" s="1246"/>
      <c r="T27" s="257"/>
      <c r="U27" s="257"/>
    </row>
    <row r="28" spans="1:21">
      <c r="A28" s="282" t="s">
        <v>888</v>
      </c>
      <c r="B28" s="1246"/>
      <c r="C28" s="1246"/>
      <c r="D28" s="257"/>
      <c r="E28" s="257"/>
      <c r="F28" s="1246"/>
      <c r="G28" s="1246"/>
      <c r="H28" s="1246"/>
      <c r="I28" s="1246"/>
      <c r="J28" s="257"/>
      <c r="K28" s="257"/>
      <c r="L28" s="1246"/>
      <c r="M28" s="1246"/>
      <c r="N28" s="1246"/>
      <c r="O28" s="1246"/>
      <c r="P28" s="1246"/>
      <c r="Q28" s="1246"/>
      <c r="R28" s="1246"/>
      <c r="S28" s="1246"/>
      <c r="T28" s="257"/>
      <c r="U28" s="257"/>
    </row>
    <row r="29" spans="1:21">
      <c r="A29" s="267" t="s">
        <v>2615</v>
      </c>
      <c r="B29" s="1246"/>
      <c r="C29" s="1246"/>
      <c r="D29" s="257"/>
      <c r="E29" s="257"/>
      <c r="F29" s="1246"/>
      <c r="G29" s="1246"/>
      <c r="H29" s="1246"/>
      <c r="I29" s="1246"/>
      <c r="J29" s="257"/>
      <c r="K29" s="257"/>
      <c r="L29" s="1246"/>
      <c r="M29" s="1246"/>
      <c r="N29" s="1246"/>
      <c r="O29" s="1246"/>
      <c r="P29" s="1246"/>
      <c r="Q29" s="1246"/>
      <c r="R29" s="1246"/>
      <c r="S29" s="1246"/>
      <c r="T29" s="257"/>
      <c r="U29" s="257"/>
    </row>
    <row r="30" spans="1:21">
      <c r="A30" s="268" t="s">
        <v>890</v>
      </c>
      <c r="B30" s="257"/>
      <c r="C30" s="257">
        <v>11</v>
      </c>
      <c r="D30" s="283">
        <v>5.9</v>
      </c>
      <c r="E30" s="257" t="s">
        <v>2557</v>
      </c>
      <c r="F30" s="257"/>
      <c r="G30" s="283">
        <v>778.8</v>
      </c>
      <c r="H30" s="257"/>
      <c r="I30" s="257">
        <v>11</v>
      </c>
      <c r="J30" s="283">
        <v>6.79</v>
      </c>
      <c r="K30" s="258" t="s">
        <v>2557</v>
      </c>
      <c r="L30" s="257"/>
      <c r="M30" s="283">
        <v>896.28</v>
      </c>
      <c r="N30" s="257"/>
      <c r="O30" s="271">
        <v>117</v>
      </c>
      <c r="P30" s="257"/>
      <c r="Q30" s="272">
        <v>0.15079999999999999</v>
      </c>
      <c r="R30" s="1246"/>
      <c r="S30" s="1246"/>
      <c r="T30" s="257"/>
      <c r="U30" s="257"/>
    </row>
    <row r="31" spans="1:21">
      <c r="A31" s="268" t="s">
        <v>891</v>
      </c>
      <c r="B31" s="257"/>
      <c r="C31" s="269">
        <v>10656</v>
      </c>
      <c r="D31" s="283">
        <v>6.32</v>
      </c>
      <c r="E31" s="257" t="s">
        <v>2557</v>
      </c>
      <c r="F31" s="257"/>
      <c r="G31" s="283">
        <v>808151.04000000004</v>
      </c>
      <c r="H31" s="257"/>
      <c r="I31" s="269">
        <v>10656</v>
      </c>
      <c r="J31" s="283">
        <v>7.27</v>
      </c>
      <c r="K31" s="258" t="s">
        <v>2557</v>
      </c>
      <c r="L31" s="257"/>
      <c r="M31" s="283">
        <v>929629.44</v>
      </c>
      <c r="N31" s="257"/>
      <c r="O31" s="271">
        <v>121478</v>
      </c>
      <c r="P31" s="257"/>
      <c r="Q31" s="272">
        <v>0.15029999999999999</v>
      </c>
      <c r="R31" s="1246"/>
      <c r="S31" s="1246"/>
      <c r="T31" s="257"/>
      <c r="U31" s="257"/>
    </row>
    <row r="32" spans="1:21">
      <c r="A32" s="268" t="s">
        <v>892</v>
      </c>
      <c r="B32" s="257"/>
      <c r="C32" s="269">
        <v>74372</v>
      </c>
      <c r="D32" s="283">
        <v>7.05</v>
      </c>
      <c r="E32" s="257" t="s">
        <v>2557</v>
      </c>
      <c r="F32" s="257"/>
      <c r="G32" s="283">
        <v>6291871.2000000002</v>
      </c>
      <c r="H32" s="257"/>
      <c r="I32" s="269">
        <v>74372</v>
      </c>
      <c r="J32" s="283">
        <v>8.11</v>
      </c>
      <c r="K32" s="258" t="s">
        <v>2557</v>
      </c>
      <c r="L32" s="257"/>
      <c r="M32" s="283">
        <v>7237883.04</v>
      </c>
      <c r="N32" s="257"/>
      <c r="O32" s="271">
        <v>946012</v>
      </c>
      <c r="P32" s="257"/>
      <c r="Q32" s="272">
        <v>0.15040000000000001</v>
      </c>
      <c r="R32" s="1246"/>
      <c r="S32" s="1246"/>
      <c r="T32" s="257"/>
      <c r="U32" s="257"/>
    </row>
    <row r="33" spans="1:21">
      <c r="A33" s="268" t="s">
        <v>893</v>
      </c>
      <c r="B33" s="257"/>
      <c r="C33" s="257">
        <v>610</v>
      </c>
      <c r="D33" s="283">
        <v>7.89</v>
      </c>
      <c r="E33" s="257" t="s">
        <v>2557</v>
      </c>
      <c r="F33" s="257"/>
      <c r="G33" s="283">
        <v>57754.8</v>
      </c>
      <c r="H33" s="257"/>
      <c r="I33" s="257">
        <v>610</v>
      </c>
      <c r="J33" s="283">
        <v>9.07</v>
      </c>
      <c r="K33" s="258" t="s">
        <v>2557</v>
      </c>
      <c r="L33" s="257"/>
      <c r="M33" s="283">
        <v>66392.399999999994</v>
      </c>
      <c r="N33" s="257"/>
      <c r="O33" s="271">
        <v>8638</v>
      </c>
      <c r="P33" s="257"/>
      <c r="Q33" s="272">
        <v>0.14960000000000001</v>
      </c>
      <c r="R33" s="1246"/>
      <c r="S33" s="1246"/>
      <c r="T33" s="257"/>
      <c r="U33" s="257"/>
    </row>
    <row r="34" spans="1:21">
      <c r="A34" s="268" t="s">
        <v>894</v>
      </c>
      <c r="B34" s="257"/>
      <c r="C34" s="269">
        <v>18474</v>
      </c>
      <c r="D34" s="283">
        <v>12.16</v>
      </c>
      <c r="E34" s="257" t="s">
        <v>2557</v>
      </c>
      <c r="F34" s="257"/>
      <c r="G34" s="283">
        <v>2695726.08</v>
      </c>
      <c r="H34" s="257"/>
      <c r="I34" s="269">
        <v>18474</v>
      </c>
      <c r="J34" s="283">
        <v>13.98</v>
      </c>
      <c r="K34" s="258" t="s">
        <v>2557</v>
      </c>
      <c r="L34" s="257"/>
      <c r="M34" s="283">
        <v>3099198.24</v>
      </c>
      <c r="N34" s="257"/>
      <c r="O34" s="271">
        <v>403472</v>
      </c>
      <c r="P34" s="257"/>
      <c r="Q34" s="272">
        <v>0.1497</v>
      </c>
      <c r="R34" s="1246"/>
      <c r="S34" s="1246"/>
      <c r="T34" s="257"/>
      <c r="U34" s="257"/>
    </row>
    <row r="35" spans="1:21">
      <c r="A35" s="268" t="s">
        <v>895</v>
      </c>
      <c r="B35" s="257"/>
      <c r="C35" s="257">
        <v>746</v>
      </c>
      <c r="D35" s="283">
        <v>13.32</v>
      </c>
      <c r="E35" s="257" t="s">
        <v>2557</v>
      </c>
      <c r="F35" s="257"/>
      <c r="G35" s="283">
        <v>119240.64</v>
      </c>
      <c r="H35" s="257"/>
      <c r="I35" s="257">
        <v>746</v>
      </c>
      <c r="J35" s="283">
        <v>15.32</v>
      </c>
      <c r="K35" s="258" t="s">
        <v>2557</v>
      </c>
      <c r="L35" s="257"/>
      <c r="M35" s="283">
        <v>137144.64000000001</v>
      </c>
      <c r="N35" s="257"/>
      <c r="O35" s="271">
        <v>17904</v>
      </c>
      <c r="P35" s="257"/>
      <c r="Q35" s="272">
        <v>0.1502</v>
      </c>
      <c r="R35" s="1246"/>
      <c r="S35" s="1246"/>
      <c r="T35" s="257"/>
      <c r="U35" s="257"/>
    </row>
    <row r="36" spans="1:21">
      <c r="A36" s="268" t="s">
        <v>896</v>
      </c>
      <c r="B36" s="257"/>
      <c r="C36" s="269">
        <v>1136</v>
      </c>
      <c r="D36" s="283">
        <v>18.16</v>
      </c>
      <c r="E36" s="257" t="s">
        <v>2557</v>
      </c>
      <c r="F36" s="257"/>
      <c r="G36" s="283">
        <v>247557.12</v>
      </c>
      <c r="H36" s="257"/>
      <c r="I36" s="269">
        <v>1136</v>
      </c>
      <c r="J36" s="283">
        <v>20.88</v>
      </c>
      <c r="K36" s="258" t="s">
        <v>2557</v>
      </c>
      <c r="L36" s="257"/>
      <c r="M36" s="283">
        <v>284636.15999999997</v>
      </c>
      <c r="N36" s="257"/>
      <c r="O36" s="271">
        <v>37079</v>
      </c>
      <c r="P36" s="257"/>
      <c r="Q36" s="272">
        <v>0.14979999999999999</v>
      </c>
      <c r="R36" s="1246"/>
      <c r="S36" s="1246"/>
      <c r="T36" s="257"/>
      <c r="U36" s="257"/>
    </row>
    <row r="37" spans="1:21">
      <c r="A37" s="284"/>
      <c r="B37" s="1246"/>
      <c r="C37" s="1246"/>
      <c r="D37" s="258"/>
      <c r="E37" s="280"/>
      <c r="F37" s="1246"/>
      <c r="G37" s="1246"/>
      <c r="H37" s="1246"/>
      <c r="I37" s="1246"/>
      <c r="J37" s="258"/>
      <c r="K37" s="280"/>
      <c r="L37" s="1246"/>
      <c r="M37" s="1246"/>
      <c r="N37" s="1246"/>
      <c r="O37" s="1246"/>
      <c r="P37" s="1246"/>
      <c r="Q37" s="1246"/>
      <c r="R37" s="1246"/>
      <c r="S37" s="1246"/>
      <c r="T37" s="257"/>
      <c r="U37" s="257"/>
    </row>
    <row r="38" spans="1:21">
      <c r="A38" s="282" t="s">
        <v>897</v>
      </c>
      <c r="B38" s="1246"/>
      <c r="C38" s="1246"/>
      <c r="D38" s="258"/>
      <c r="E38" s="280"/>
      <c r="F38" s="1246"/>
      <c r="G38" s="1246"/>
      <c r="H38" s="1246"/>
      <c r="I38" s="1246"/>
      <c r="J38" s="258"/>
      <c r="K38" s="280"/>
      <c r="L38" s="1246"/>
      <c r="M38" s="1246"/>
      <c r="N38" s="1246"/>
      <c r="O38" s="1246"/>
      <c r="P38" s="1246"/>
      <c r="Q38" s="1246"/>
      <c r="R38" s="1246"/>
      <c r="S38" s="1246"/>
      <c r="T38" s="257"/>
      <c r="U38" s="257"/>
    </row>
    <row r="39" spans="1:21">
      <c r="A39" s="267" t="s">
        <v>2615</v>
      </c>
      <c r="B39" s="1246"/>
      <c r="C39" s="1246"/>
      <c r="D39" s="258"/>
      <c r="E39" s="280"/>
      <c r="F39" s="1246"/>
      <c r="G39" s="1246"/>
      <c r="H39" s="1246"/>
      <c r="I39" s="1246"/>
      <c r="J39" s="258"/>
      <c r="K39" s="280"/>
      <c r="L39" s="1246"/>
      <c r="M39" s="1246"/>
      <c r="N39" s="1246"/>
      <c r="O39" s="1246"/>
      <c r="P39" s="1246"/>
      <c r="Q39" s="1246"/>
      <c r="R39" s="1246"/>
      <c r="S39" s="1246"/>
      <c r="T39" s="257"/>
      <c r="U39" s="257"/>
    </row>
    <row r="40" spans="1:21">
      <c r="A40" s="268" t="s">
        <v>890</v>
      </c>
      <c r="B40" s="257"/>
      <c r="C40" s="258">
        <v>35</v>
      </c>
      <c r="D40" s="283">
        <v>8.9499999999999993</v>
      </c>
      <c r="E40" s="258" t="s">
        <v>2557</v>
      </c>
      <c r="F40" s="257"/>
      <c r="G40" s="283">
        <v>3759</v>
      </c>
      <c r="H40" s="257"/>
      <c r="I40" s="257">
        <v>35</v>
      </c>
      <c r="J40" s="283">
        <v>10.29</v>
      </c>
      <c r="K40" s="258" t="s">
        <v>2557</v>
      </c>
      <c r="L40" s="257"/>
      <c r="M40" s="283">
        <v>4321.8</v>
      </c>
      <c r="N40" s="257"/>
      <c r="O40" s="271">
        <v>563</v>
      </c>
      <c r="P40" s="257"/>
      <c r="Q40" s="272">
        <v>0.1497</v>
      </c>
      <c r="R40" s="1246"/>
      <c r="S40" s="1246"/>
      <c r="T40" s="257"/>
      <c r="U40" s="257"/>
    </row>
    <row r="41" spans="1:21">
      <c r="A41" s="268" t="s">
        <v>891</v>
      </c>
      <c r="B41" s="257"/>
      <c r="C41" s="285">
        <v>58238</v>
      </c>
      <c r="D41" s="283">
        <v>9.32</v>
      </c>
      <c r="E41" s="258" t="s">
        <v>2557</v>
      </c>
      <c r="F41" s="257"/>
      <c r="G41" s="283">
        <v>6513337.9199999999</v>
      </c>
      <c r="H41" s="257"/>
      <c r="I41" s="269">
        <v>48238</v>
      </c>
      <c r="J41" s="283">
        <v>10.72</v>
      </c>
      <c r="K41" s="258" t="s">
        <v>2557</v>
      </c>
      <c r="L41" s="257"/>
      <c r="M41" s="283">
        <v>6205336.3200000003</v>
      </c>
      <c r="N41" s="257"/>
      <c r="O41" s="271">
        <v>-308002</v>
      </c>
      <c r="P41" s="257"/>
      <c r="Q41" s="272">
        <v>-4.7300000000000002E-2</v>
      </c>
      <c r="R41" s="1246"/>
      <c r="S41" s="1246"/>
      <c r="T41" s="257"/>
      <c r="U41" s="257"/>
    </row>
    <row r="42" spans="1:21">
      <c r="A42" s="268" t="s">
        <v>892</v>
      </c>
      <c r="B42" s="257"/>
      <c r="C42" s="285">
        <v>269243</v>
      </c>
      <c r="D42" s="283">
        <v>10.1</v>
      </c>
      <c r="E42" s="258" t="s">
        <v>2557</v>
      </c>
      <c r="F42" s="257"/>
      <c r="G42" s="283">
        <v>32632251.600000001</v>
      </c>
      <c r="H42" s="257"/>
      <c r="I42" s="269">
        <v>239243</v>
      </c>
      <c r="J42" s="283">
        <v>11.62</v>
      </c>
      <c r="K42" s="258" t="s">
        <v>2557</v>
      </c>
      <c r="L42" s="257"/>
      <c r="M42" s="283">
        <v>33360043.920000002</v>
      </c>
      <c r="N42" s="257"/>
      <c r="O42" s="271">
        <v>727792</v>
      </c>
      <c r="P42" s="257"/>
      <c r="Q42" s="272">
        <v>2.23E-2</v>
      </c>
      <c r="R42" s="1246"/>
      <c r="S42" s="1246"/>
      <c r="T42" s="257"/>
      <c r="U42" s="257"/>
    </row>
    <row r="43" spans="1:21">
      <c r="A43" s="268" t="s">
        <v>893</v>
      </c>
      <c r="B43" s="257"/>
      <c r="C43" s="258">
        <v>736</v>
      </c>
      <c r="D43" s="283">
        <v>10.89</v>
      </c>
      <c r="E43" s="258" t="s">
        <v>2557</v>
      </c>
      <c r="F43" s="257"/>
      <c r="G43" s="283">
        <v>96180.479999999996</v>
      </c>
      <c r="H43" s="257"/>
      <c r="I43" s="257">
        <v>736</v>
      </c>
      <c r="J43" s="283">
        <v>12.52</v>
      </c>
      <c r="K43" s="258" t="s">
        <v>2557</v>
      </c>
      <c r="L43" s="257"/>
      <c r="M43" s="283">
        <v>110576.64</v>
      </c>
      <c r="N43" s="257"/>
      <c r="O43" s="271">
        <v>14396</v>
      </c>
      <c r="P43" s="257"/>
      <c r="Q43" s="272">
        <v>0.1497</v>
      </c>
      <c r="R43" s="1246"/>
      <c r="S43" s="1246"/>
      <c r="T43" s="257"/>
      <c r="U43" s="257"/>
    </row>
    <row r="44" spans="1:21">
      <c r="A44" s="268" t="s">
        <v>894</v>
      </c>
      <c r="B44" s="257"/>
      <c r="C44" s="285">
        <v>37430</v>
      </c>
      <c r="D44" s="283">
        <v>13.16</v>
      </c>
      <c r="E44" s="258" t="s">
        <v>2557</v>
      </c>
      <c r="F44" s="257"/>
      <c r="G44" s="283">
        <v>5910945.5999999996</v>
      </c>
      <c r="H44" s="257"/>
      <c r="I44" s="269">
        <v>37430</v>
      </c>
      <c r="J44" s="283">
        <v>15.13</v>
      </c>
      <c r="K44" s="258" t="s">
        <v>2557</v>
      </c>
      <c r="L44" s="257"/>
      <c r="M44" s="283">
        <v>6795790.7999999998</v>
      </c>
      <c r="N44" s="257"/>
      <c r="O44" s="271">
        <v>884845</v>
      </c>
      <c r="P44" s="257"/>
      <c r="Q44" s="272">
        <v>0.1497</v>
      </c>
      <c r="R44" s="1246"/>
      <c r="S44" s="1246"/>
      <c r="T44" s="257"/>
      <c r="U44" s="257"/>
    </row>
    <row r="45" spans="1:21">
      <c r="A45" s="268" t="s">
        <v>895</v>
      </c>
      <c r="B45" s="257"/>
      <c r="C45" s="258">
        <v>90</v>
      </c>
      <c r="D45" s="283">
        <v>14.32</v>
      </c>
      <c r="E45" s="258" t="s">
        <v>2557</v>
      </c>
      <c r="F45" s="257"/>
      <c r="G45" s="283">
        <v>15465.6</v>
      </c>
      <c r="H45" s="257"/>
      <c r="I45" s="257">
        <v>90</v>
      </c>
      <c r="J45" s="283">
        <v>16.47</v>
      </c>
      <c r="K45" s="258" t="s">
        <v>2557</v>
      </c>
      <c r="L45" s="257"/>
      <c r="M45" s="283">
        <v>17787.599999999999</v>
      </c>
      <c r="N45" s="257"/>
      <c r="O45" s="271">
        <v>2322</v>
      </c>
      <c r="P45" s="257"/>
      <c r="Q45" s="272">
        <v>0.15010000000000001</v>
      </c>
      <c r="R45" s="1246"/>
      <c r="S45" s="1246"/>
      <c r="T45" s="257"/>
      <c r="U45" s="257"/>
    </row>
    <row r="46" spans="1:21">
      <c r="A46" s="268"/>
      <c r="B46" s="1246"/>
      <c r="C46" s="1246"/>
      <c r="D46" s="258"/>
      <c r="E46" s="258"/>
      <c r="F46" s="1246"/>
      <c r="G46" s="1246"/>
      <c r="H46" s="1246"/>
      <c r="I46" s="1246"/>
      <c r="J46" s="258"/>
      <c r="K46" s="258"/>
      <c r="L46" s="1246"/>
      <c r="M46" s="1246"/>
      <c r="N46" s="1246"/>
      <c r="O46" s="1246"/>
      <c r="P46" s="1246"/>
      <c r="Q46" s="1246"/>
      <c r="R46" s="1246"/>
      <c r="S46" s="1246"/>
      <c r="T46" s="257"/>
      <c r="U46" s="257"/>
    </row>
    <row r="47" spans="1:21">
      <c r="A47" s="282" t="s">
        <v>2616</v>
      </c>
      <c r="B47" s="1246"/>
      <c r="C47" s="1246"/>
      <c r="D47" s="258"/>
      <c r="E47" s="280"/>
      <c r="F47" s="1246"/>
      <c r="G47" s="1246"/>
      <c r="H47" s="1246"/>
      <c r="I47" s="1246"/>
      <c r="J47" s="258"/>
      <c r="K47" s="280"/>
      <c r="L47" s="1246"/>
      <c r="M47" s="1246"/>
      <c r="N47" s="1246"/>
      <c r="O47" s="1246"/>
      <c r="P47" s="1246"/>
      <c r="Q47" s="1246"/>
      <c r="R47" s="1246"/>
      <c r="S47" s="1246"/>
      <c r="T47" s="257"/>
      <c r="U47" s="257"/>
    </row>
    <row r="48" spans="1:21">
      <c r="A48" s="267" t="s">
        <v>2615</v>
      </c>
      <c r="B48" s="1246"/>
      <c r="C48" s="1246"/>
      <c r="D48" s="257"/>
      <c r="E48" s="257"/>
      <c r="F48" s="1246"/>
      <c r="G48" s="1246"/>
      <c r="H48" s="1246"/>
      <c r="I48" s="1246"/>
      <c r="J48" s="257"/>
      <c r="K48" s="257"/>
      <c r="L48" s="1246"/>
      <c r="M48" s="1246"/>
      <c r="N48" s="1246"/>
      <c r="O48" s="1246"/>
      <c r="P48" s="1246"/>
      <c r="Q48" s="1246"/>
      <c r="R48" s="1246"/>
      <c r="S48" s="1246"/>
      <c r="T48" s="257"/>
      <c r="U48" s="257"/>
    </row>
    <row r="49" spans="1:21">
      <c r="A49" s="267" t="s">
        <v>899</v>
      </c>
      <c r="B49" s="257"/>
      <c r="C49" s="257">
        <v>0</v>
      </c>
      <c r="D49" s="270">
        <v>0</v>
      </c>
      <c r="E49" s="257" t="s">
        <v>2557</v>
      </c>
      <c r="F49" s="257"/>
      <c r="G49" s="271">
        <v>0</v>
      </c>
      <c r="H49" s="257"/>
      <c r="I49" s="269">
        <v>16982</v>
      </c>
      <c r="J49" s="270">
        <v>5.25</v>
      </c>
      <c r="K49" s="257" t="s">
        <v>2557</v>
      </c>
      <c r="L49" s="257"/>
      <c r="M49" s="271">
        <v>89156</v>
      </c>
      <c r="N49" s="257"/>
      <c r="O49" s="271">
        <v>89156</v>
      </c>
      <c r="P49" s="257"/>
      <c r="Q49" s="272">
        <v>0</v>
      </c>
      <c r="R49" s="1246"/>
      <c r="S49" s="1246"/>
      <c r="T49" s="257"/>
      <c r="U49" s="257"/>
    </row>
    <row r="50" spans="1:21">
      <c r="A50" s="267" t="s">
        <v>900</v>
      </c>
      <c r="B50" s="257"/>
      <c r="C50" s="257">
        <v>0</v>
      </c>
      <c r="D50" s="270">
        <v>0</v>
      </c>
      <c r="E50" s="257" t="s">
        <v>2557</v>
      </c>
      <c r="F50" s="257"/>
      <c r="G50" s="271">
        <v>0</v>
      </c>
      <c r="H50" s="257"/>
      <c r="I50" s="269">
        <v>25000</v>
      </c>
      <c r="J50" s="270">
        <v>7</v>
      </c>
      <c r="K50" s="257" t="s">
        <v>2557</v>
      </c>
      <c r="L50" s="257"/>
      <c r="M50" s="271">
        <v>175000</v>
      </c>
      <c r="N50" s="257"/>
      <c r="O50" s="271">
        <v>175000</v>
      </c>
      <c r="P50" s="257"/>
      <c r="Q50" s="272">
        <v>0</v>
      </c>
      <c r="R50" s="1246"/>
      <c r="S50" s="1246"/>
      <c r="T50" s="257"/>
      <c r="U50" s="257"/>
    </row>
    <row r="51" spans="1:21">
      <c r="A51" s="267" t="s">
        <v>901</v>
      </c>
      <c r="B51" s="257"/>
      <c r="C51" s="257">
        <v>0</v>
      </c>
      <c r="D51" s="270">
        <v>0</v>
      </c>
      <c r="E51" s="257" t="s">
        <v>2557</v>
      </c>
      <c r="F51" s="257"/>
      <c r="G51" s="271">
        <v>0</v>
      </c>
      <c r="H51" s="257"/>
      <c r="I51" s="269">
        <v>75000</v>
      </c>
      <c r="J51" s="270">
        <v>8.35</v>
      </c>
      <c r="K51" s="257" t="s">
        <v>2557</v>
      </c>
      <c r="L51" s="257"/>
      <c r="M51" s="271">
        <v>626250</v>
      </c>
      <c r="N51" s="257"/>
      <c r="O51" s="271">
        <v>626250</v>
      </c>
      <c r="P51" s="257"/>
      <c r="Q51" s="272">
        <v>0</v>
      </c>
      <c r="R51" s="1246"/>
      <c r="S51" s="1246"/>
      <c r="T51" s="257"/>
      <c r="U51" s="257"/>
    </row>
    <row r="52" spans="1:21">
      <c r="A52" s="267"/>
      <c r="B52" s="1246"/>
      <c r="C52" s="1246"/>
      <c r="D52" s="270">
        <v>0</v>
      </c>
      <c r="E52" s="257" t="s">
        <v>2557</v>
      </c>
      <c r="F52" s="257"/>
      <c r="G52" s="271">
        <v>0</v>
      </c>
      <c r="H52" s="1246"/>
      <c r="I52" s="1246"/>
      <c r="J52" s="270">
        <v>0</v>
      </c>
      <c r="K52" s="257" t="s">
        <v>2557</v>
      </c>
      <c r="L52" s="257"/>
      <c r="M52" s="271">
        <v>0</v>
      </c>
      <c r="N52" s="257"/>
      <c r="O52" s="271">
        <v>0</v>
      </c>
      <c r="P52" s="257"/>
      <c r="Q52" s="272">
        <v>0</v>
      </c>
      <c r="R52" s="1246"/>
      <c r="S52" s="1246"/>
      <c r="T52" s="257"/>
      <c r="U52" s="257"/>
    </row>
    <row r="53" spans="1:21">
      <c r="A53" s="267"/>
      <c r="B53" s="1246"/>
      <c r="C53" s="1246"/>
      <c r="D53" s="270">
        <v>0</v>
      </c>
      <c r="E53" s="257" t="s">
        <v>2557</v>
      </c>
      <c r="F53" s="257"/>
      <c r="G53" s="271">
        <v>0</v>
      </c>
      <c r="H53" s="1246"/>
      <c r="I53" s="1246"/>
      <c r="J53" s="270">
        <v>0</v>
      </c>
      <c r="K53" s="257" t="s">
        <v>2557</v>
      </c>
      <c r="L53" s="257"/>
      <c r="M53" s="271">
        <v>0</v>
      </c>
      <c r="N53" s="257"/>
      <c r="O53" s="271">
        <v>0</v>
      </c>
      <c r="P53" s="257"/>
      <c r="Q53" s="272">
        <v>0</v>
      </c>
      <c r="R53" s="1246"/>
      <c r="S53" s="1246"/>
      <c r="T53" s="257"/>
      <c r="U53" s="257"/>
    </row>
    <row r="54" spans="1:21">
      <c r="A54" s="268"/>
      <c r="B54" s="1246"/>
      <c r="C54" s="1246"/>
      <c r="D54" s="258"/>
      <c r="E54" s="280"/>
      <c r="F54" s="1246"/>
      <c r="G54" s="1246"/>
      <c r="H54" s="1246"/>
      <c r="I54" s="1246"/>
      <c r="J54" s="258"/>
      <c r="K54" s="280"/>
      <c r="L54" s="1246"/>
      <c r="M54" s="1246"/>
      <c r="N54" s="1246"/>
      <c r="O54" s="1246"/>
      <c r="P54" s="1246"/>
      <c r="Q54" s="1246"/>
      <c r="R54" s="1246"/>
      <c r="S54" s="1246"/>
      <c r="T54" s="257"/>
      <c r="U54" s="257"/>
    </row>
    <row r="55" spans="1:21">
      <c r="A55" s="282" t="s">
        <v>902</v>
      </c>
      <c r="B55" s="1246"/>
      <c r="C55" s="1246"/>
      <c r="D55" s="258"/>
      <c r="E55" s="280"/>
      <c r="F55" s="1246"/>
      <c r="G55" s="1246"/>
      <c r="H55" s="1246"/>
      <c r="I55" s="1246"/>
      <c r="J55" s="258"/>
      <c r="K55" s="280"/>
      <c r="L55" s="1246"/>
      <c r="M55" s="1246"/>
      <c r="N55" s="1246"/>
      <c r="O55" s="1246"/>
      <c r="P55" s="1246"/>
      <c r="Q55" s="1246"/>
      <c r="R55" s="1246"/>
      <c r="S55" s="1246"/>
      <c r="T55" s="257"/>
      <c r="U55" s="257"/>
    </row>
    <row r="56" spans="1:21">
      <c r="A56" s="267" t="s">
        <v>2617</v>
      </c>
      <c r="B56" s="1246"/>
      <c r="C56" s="1246"/>
      <c r="D56" s="258"/>
      <c r="E56" s="280"/>
      <c r="F56" s="1246"/>
      <c r="G56" s="1246"/>
      <c r="H56" s="1246"/>
      <c r="I56" s="1246"/>
      <c r="J56" s="258"/>
      <c r="K56" s="280"/>
      <c r="L56" s="1246"/>
      <c r="M56" s="1246"/>
      <c r="N56" s="1246"/>
      <c r="O56" s="1246"/>
      <c r="P56" s="1246"/>
      <c r="Q56" s="1246"/>
      <c r="R56" s="1246"/>
      <c r="S56" s="1246"/>
      <c r="T56" s="257"/>
      <c r="U56" s="257"/>
    </row>
    <row r="57" spans="1:21">
      <c r="A57" s="268" t="s">
        <v>904</v>
      </c>
      <c r="B57" s="257"/>
      <c r="C57" s="258">
        <v>731</v>
      </c>
      <c r="D57" s="283">
        <v>5.82</v>
      </c>
      <c r="E57" s="258" t="s">
        <v>2557</v>
      </c>
      <c r="F57" s="257"/>
      <c r="G57" s="283">
        <v>51053.04</v>
      </c>
      <c r="H57" s="257"/>
      <c r="I57" s="257">
        <v>0</v>
      </c>
      <c r="J57" s="283">
        <v>6.69</v>
      </c>
      <c r="K57" s="258" t="s">
        <v>2557</v>
      </c>
      <c r="L57" s="257"/>
      <c r="M57" s="283">
        <v>0</v>
      </c>
      <c r="N57" s="257"/>
      <c r="O57" s="271">
        <v>0</v>
      </c>
      <c r="P57" s="257"/>
      <c r="Q57" s="272">
        <v>-1</v>
      </c>
      <c r="R57" s="1246"/>
      <c r="S57" s="1246"/>
      <c r="T57" s="257"/>
      <c r="U57" s="257"/>
    </row>
    <row r="58" spans="1:21">
      <c r="A58" s="268" t="s">
        <v>905</v>
      </c>
      <c r="B58" s="257"/>
      <c r="C58" s="285">
        <v>25816</v>
      </c>
      <c r="D58" s="283">
        <v>7.83</v>
      </c>
      <c r="E58" s="258" t="s">
        <v>2557</v>
      </c>
      <c r="F58" s="257"/>
      <c r="G58" s="283">
        <v>2425671.36</v>
      </c>
      <c r="H58" s="257"/>
      <c r="I58" s="269">
        <v>4275</v>
      </c>
      <c r="J58" s="283">
        <v>9</v>
      </c>
      <c r="K58" s="258" t="s">
        <v>2557</v>
      </c>
      <c r="L58" s="257"/>
      <c r="M58" s="283">
        <v>461700</v>
      </c>
      <c r="N58" s="257"/>
      <c r="O58" s="271">
        <v>-1963971</v>
      </c>
      <c r="P58" s="257"/>
      <c r="Q58" s="272">
        <v>-0.80969999999999998</v>
      </c>
      <c r="R58" s="1246"/>
      <c r="S58" s="1246"/>
      <c r="T58" s="257"/>
      <c r="U58" s="257"/>
    </row>
    <row r="59" spans="1:21">
      <c r="A59" s="268" t="s">
        <v>906</v>
      </c>
      <c r="B59" s="257"/>
      <c r="C59" s="285">
        <v>3380</v>
      </c>
      <c r="D59" s="283">
        <v>13.41</v>
      </c>
      <c r="E59" s="258" t="s">
        <v>2557</v>
      </c>
      <c r="F59" s="257"/>
      <c r="G59" s="283">
        <v>543909.6</v>
      </c>
      <c r="H59" s="257"/>
      <c r="I59" s="269">
        <v>1380</v>
      </c>
      <c r="J59" s="283">
        <v>15.42</v>
      </c>
      <c r="K59" s="258" t="s">
        <v>2557</v>
      </c>
      <c r="L59" s="257"/>
      <c r="M59" s="283">
        <v>255355.2</v>
      </c>
      <c r="N59" s="257"/>
      <c r="O59" s="271">
        <v>-288554</v>
      </c>
      <c r="P59" s="257"/>
      <c r="Q59" s="272">
        <v>-0.53049999999999997</v>
      </c>
      <c r="R59" s="1246"/>
      <c r="S59" s="1246"/>
      <c r="T59" s="257"/>
      <c r="U59" s="257"/>
    </row>
    <row r="60" spans="1:21">
      <c r="A60" s="268" t="s">
        <v>907</v>
      </c>
      <c r="B60" s="257"/>
      <c r="C60" s="285">
        <v>2223</v>
      </c>
      <c r="D60" s="283">
        <v>28.03</v>
      </c>
      <c r="E60" s="258" t="s">
        <v>2557</v>
      </c>
      <c r="F60" s="257"/>
      <c r="G60" s="283">
        <v>747728.28</v>
      </c>
      <c r="H60" s="257"/>
      <c r="I60" s="257">
        <v>523</v>
      </c>
      <c r="J60" s="283">
        <v>32.229999999999997</v>
      </c>
      <c r="K60" s="258" t="s">
        <v>2557</v>
      </c>
      <c r="L60" s="257"/>
      <c r="M60" s="283">
        <v>202275.48</v>
      </c>
      <c r="N60" s="257"/>
      <c r="O60" s="271">
        <v>-545453</v>
      </c>
      <c r="P60" s="257"/>
      <c r="Q60" s="272">
        <v>-0.72950000000000004</v>
      </c>
      <c r="R60" s="1246"/>
      <c r="S60" s="1246"/>
      <c r="T60" s="257"/>
      <c r="U60" s="257"/>
    </row>
    <row r="61" spans="1:21">
      <c r="A61" s="268" t="s">
        <v>908</v>
      </c>
      <c r="B61" s="257"/>
      <c r="C61" s="258">
        <v>4</v>
      </c>
      <c r="D61" s="283">
        <v>25.03</v>
      </c>
      <c r="E61" s="258" t="s">
        <v>2557</v>
      </c>
      <c r="F61" s="257"/>
      <c r="G61" s="283">
        <v>1201.44</v>
      </c>
      <c r="H61" s="257"/>
      <c r="I61" s="257">
        <v>4</v>
      </c>
      <c r="J61" s="283">
        <v>28.78</v>
      </c>
      <c r="K61" s="258" t="s">
        <v>2557</v>
      </c>
      <c r="L61" s="257"/>
      <c r="M61" s="283">
        <v>1381.44</v>
      </c>
      <c r="N61" s="257"/>
      <c r="O61" s="271">
        <v>180</v>
      </c>
      <c r="P61" s="257"/>
      <c r="Q61" s="272">
        <v>0.14979999999999999</v>
      </c>
      <c r="R61" s="1246"/>
      <c r="S61" s="1246"/>
      <c r="T61" s="257"/>
      <c r="U61" s="257"/>
    </row>
    <row r="62" spans="1:21">
      <c r="A62" s="268"/>
      <c r="B62" s="1246"/>
      <c r="C62" s="1246"/>
      <c r="D62" s="258"/>
      <c r="E62" s="280"/>
      <c r="F62" s="1246"/>
      <c r="G62" s="1246"/>
      <c r="H62" s="1246"/>
      <c r="I62" s="1246"/>
      <c r="J62" s="258"/>
      <c r="K62" s="280"/>
      <c r="L62" s="1246"/>
      <c r="M62" s="1246"/>
      <c r="N62" s="1246"/>
      <c r="O62" s="1246"/>
      <c r="P62" s="1246"/>
      <c r="Q62" s="1246"/>
      <c r="R62" s="1246"/>
      <c r="S62" s="1246"/>
      <c r="T62" s="257"/>
      <c r="U62" s="257"/>
    </row>
    <row r="63" spans="1:21">
      <c r="A63" s="267" t="s">
        <v>2618</v>
      </c>
      <c r="B63" s="1246"/>
      <c r="C63" s="1246"/>
      <c r="D63" s="258"/>
      <c r="E63" s="280"/>
      <c r="F63" s="1246"/>
      <c r="G63" s="1246"/>
      <c r="H63" s="1246"/>
      <c r="I63" s="1246"/>
      <c r="J63" s="258"/>
      <c r="K63" s="280"/>
      <c r="L63" s="1246"/>
      <c r="M63" s="1246"/>
      <c r="N63" s="1246"/>
      <c r="O63" s="1246"/>
      <c r="P63" s="1246"/>
      <c r="Q63" s="1246"/>
      <c r="R63" s="1246"/>
      <c r="S63" s="1246"/>
      <c r="T63" s="257"/>
      <c r="U63" s="257"/>
    </row>
    <row r="64" spans="1:21">
      <c r="A64" s="268" t="s">
        <v>904</v>
      </c>
      <c r="B64" s="257"/>
      <c r="C64" s="285">
        <v>9860</v>
      </c>
      <c r="D64" s="283">
        <v>4.22</v>
      </c>
      <c r="E64" s="258" t="s">
        <v>2557</v>
      </c>
      <c r="F64" s="257"/>
      <c r="G64" s="283">
        <v>499310.4</v>
      </c>
      <c r="H64" s="257"/>
      <c r="I64" s="269">
        <v>2860</v>
      </c>
      <c r="J64" s="283">
        <v>4.8499999999999996</v>
      </c>
      <c r="K64" s="258" t="s">
        <v>2557</v>
      </c>
      <c r="L64" s="257"/>
      <c r="M64" s="283">
        <v>166452</v>
      </c>
      <c r="N64" s="257"/>
      <c r="O64" s="271">
        <v>-332858</v>
      </c>
      <c r="P64" s="257"/>
      <c r="Q64" s="272">
        <v>-0.66659999999999997</v>
      </c>
      <c r="R64" s="1246"/>
      <c r="S64" s="1246"/>
      <c r="T64" s="257"/>
      <c r="U64" s="257"/>
    </row>
    <row r="65" spans="1:21">
      <c r="A65" s="268" t="s">
        <v>905</v>
      </c>
      <c r="B65" s="257"/>
      <c r="C65" s="285">
        <v>11805</v>
      </c>
      <c r="D65" s="283">
        <v>6.18</v>
      </c>
      <c r="E65" s="258" t="s">
        <v>2557</v>
      </c>
      <c r="F65" s="257"/>
      <c r="G65" s="283">
        <v>875458.8</v>
      </c>
      <c r="H65" s="257"/>
      <c r="I65" s="269">
        <v>4205</v>
      </c>
      <c r="J65" s="283">
        <v>7.11</v>
      </c>
      <c r="K65" s="258" t="s">
        <v>2557</v>
      </c>
      <c r="L65" s="257"/>
      <c r="M65" s="283">
        <v>358770.6</v>
      </c>
      <c r="N65" s="257"/>
      <c r="O65" s="271">
        <v>-516688</v>
      </c>
      <c r="P65" s="257"/>
      <c r="Q65" s="272">
        <v>-0.59019999999999995</v>
      </c>
      <c r="R65" s="1246"/>
      <c r="S65" s="1246"/>
      <c r="T65" s="257"/>
      <c r="U65" s="257"/>
    </row>
    <row r="66" spans="1:21">
      <c r="A66" s="268" t="s">
        <v>906</v>
      </c>
      <c r="B66" s="257"/>
      <c r="C66" s="258">
        <v>876</v>
      </c>
      <c r="D66" s="283">
        <v>8.31</v>
      </c>
      <c r="E66" s="258" t="s">
        <v>2557</v>
      </c>
      <c r="F66" s="257"/>
      <c r="G66" s="283">
        <v>87354.72</v>
      </c>
      <c r="H66" s="257"/>
      <c r="I66" s="257">
        <v>500</v>
      </c>
      <c r="J66" s="283">
        <v>9.56</v>
      </c>
      <c r="K66" s="258" t="s">
        <v>2557</v>
      </c>
      <c r="L66" s="257"/>
      <c r="M66" s="283">
        <v>57360</v>
      </c>
      <c r="N66" s="257"/>
      <c r="O66" s="271">
        <v>-29995</v>
      </c>
      <c r="P66" s="257"/>
      <c r="Q66" s="272">
        <v>-0.34339999999999998</v>
      </c>
      <c r="R66" s="1246"/>
      <c r="S66" s="1246"/>
      <c r="T66" s="257"/>
      <c r="U66" s="257"/>
    </row>
    <row r="67" spans="1:21">
      <c r="A67" s="268" t="s">
        <v>907</v>
      </c>
      <c r="B67" s="257"/>
      <c r="C67" s="258">
        <v>486</v>
      </c>
      <c r="D67" s="283">
        <v>12.08</v>
      </c>
      <c r="E67" s="258" t="s">
        <v>2557</v>
      </c>
      <c r="F67" s="257"/>
      <c r="G67" s="283">
        <v>70450.559999999998</v>
      </c>
      <c r="H67" s="257"/>
      <c r="I67" s="257">
        <v>150</v>
      </c>
      <c r="J67" s="283">
        <v>13.89</v>
      </c>
      <c r="K67" s="258" t="s">
        <v>2557</v>
      </c>
      <c r="L67" s="257"/>
      <c r="M67" s="283">
        <v>25002</v>
      </c>
      <c r="N67" s="257"/>
      <c r="O67" s="271">
        <v>-45449</v>
      </c>
      <c r="P67" s="257"/>
      <c r="Q67" s="272">
        <v>-0.64510000000000001</v>
      </c>
      <c r="R67" s="1247"/>
      <c r="S67" s="1247"/>
      <c r="T67" s="257"/>
      <c r="U67" s="257"/>
    </row>
    <row r="68" spans="1:21" ht="15.75" thickBot="1">
      <c r="A68" s="286" t="s">
        <v>2619</v>
      </c>
      <c r="B68" s="287"/>
      <c r="C68" s="288">
        <v>526958</v>
      </c>
      <c r="D68" s="287"/>
      <c r="E68" s="287"/>
      <c r="F68" s="287"/>
      <c r="G68" s="289">
        <v>60695158.079999998</v>
      </c>
      <c r="H68" s="287"/>
      <c r="I68" s="288">
        <v>562656</v>
      </c>
      <c r="J68" s="287"/>
      <c r="K68" s="287"/>
      <c r="L68" s="287"/>
      <c r="M68" s="289">
        <v>60668339.5</v>
      </c>
      <c r="N68" s="287"/>
      <c r="O68" s="290">
        <v>-26819</v>
      </c>
      <c r="P68" s="287"/>
      <c r="Q68" s="291">
        <v>-4.0000000000000002E-4</v>
      </c>
      <c r="R68" s="1294"/>
      <c r="S68" s="1294"/>
      <c r="T68" s="287"/>
      <c r="U68" s="287"/>
    </row>
    <row r="69" spans="1:21" ht="15.75" thickTop="1">
      <c r="A69" s="280"/>
      <c r="B69" s="1248"/>
      <c r="C69" s="1248"/>
      <c r="D69" s="257"/>
      <c r="E69" s="257"/>
      <c r="F69" s="1248"/>
      <c r="G69" s="1248"/>
      <c r="H69" s="1248"/>
      <c r="I69" s="1248"/>
      <c r="J69" s="257"/>
      <c r="K69" s="257"/>
      <c r="L69" s="1248"/>
      <c r="M69" s="1248"/>
      <c r="N69" s="1248"/>
      <c r="O69" s="1248"/>
      <c r="P69" s="1248"/>
      <c r="Q69" s="1248"/>
      <c r="R69" s="1248"/>
      <c r="S69" s="1248"/>
      <c r="T69" s="257"/>
      <c r="U69" s="257"/>
    </row>
    <row r="70" spans="1:21">
      <c r="A70" s="281" t="s">
        <v>2620</v>
      </c>
      <c r="B70" s="1246"/>
      <c r="C70" s="1246"/>
      <c r="D70" s="257"/>
      <c r="E70" s="257"/>
      <c r="F70" s="1246"/>
      <c r="G70" s="1246"/>
      <c r="H70" s="1246"/>
      <c r="I70" s="1246"/>
      <c r="J70" s="257"/>
      <c r="K70" s="257"/>
      <c r="L70" s="1246"/>
      <c r="M70" s="1246"/>
      <c r="N70" s="1246"/>
      <c r="O70" s="1246"/>
      <c r="P70" s="1246"/>
      <c r="Q70" s="1246"/>
      <c r="R70" s="1246"/>
      <c r="S70" s="1246"/>
      <c r="T70" s="257"/>
      <c r="U70" s="257"/>
    </row>
    <row r="71" spans="1:21">
      <c r="A71" s="292"/>
      <c r="B71" s="1246"/>
      <c r="C71" s="1246"/>
      <c r="D71" s="257"/>
      <c r="E71" s="257"/>
      <c r="F71" s="1246"/>
      <c r="G71" s="1246"/>
      <c r="H71" s="1246"/>
      <c r="I71" s="1246"/>
      <c r="J71" s="257"/>
      <c r="K71" s="257"/>
      <c r="L71" s="1246"/>
      <c r="M71" s="1246"/>
      <c r="N71" s="1246"/>
      <c r="O71" s="1246"/>
      <c r="P71" s="1246"/>
      <c r="Q71" s="1246"/>
      <c r="R71" s="1246"/>
      <c r="S71" s="1246"/>
      <c r="T71" s="257"/>
      <c r="U71" s="257"/>
    </row>
    <row r="72" spans="1:21">
      <c r="A72" s="267" t="s">
        <v>2556</v>
      </c>
      <c r="B72" s="257"/>
      <c r="C72" s="257">
        <v>201</v>
      </c>
      <c r="D72" s="270">
        <v>5</v>
      </c>
      <c r="E72" s="257" t="s">
        <v>2557</v>
      </c>
      <c r="F72" s="257"/>
      <c r="G72" s="283">
        <v>12060</v>
      </c>
      <c r="H72" s="257"/>
      <c r="I72" s="257">
        <v>201</v>
      </c>
      <c r="J72" s="270">
        <v>5.75</v>
      </c>
      <c r="K72" s="257" t="s">
        <v>2557</v>
      </c>
      <c r="L72" s="257"/>
      <c r="M72" s="283">
        <v>13869</v>
      </c>
      <c r="N72" s="257"/>
      <c r="O72" s="271">
        <v>1809</v>
      </c>
      <c r="P72" s="257"/>
      <c r="Q72" s="272">
        <v>0.15</v>
      </c>
      <c r="R72" s="1246"/>
      <c r="S72" s="1246"/>
      <c r="T72" s="257"/>
      <c r="U72" s="257"/>
    </row>
    <row r="73" spans="1:21">
      <c r="A73" s="280"/>
      <c r="B73" s="1246"/>
      <c r="C73" s="1246"/>
      <c r="D73" s="257"/>
      <c r="E73" s="257"/>
      <c r="F73" s="1246"/>
      <c r="G73" s="1246"/>
      <c r="H73" s="1246"/>
      <c r="I73" s="1246"/>
      <c r="J73" s="257"/>
      <c r="K73" s="257"/>
      <c r="L73" s="1246"/>
      <c r="M73" s="1246"/>
      <c r="N73" s="1246"/>
      <c r="O73" s="1246"/>
      <c r="P73" s="1246"/>
      <c r="Q73" s="1246"/>
      <c r="R73" s="1246"/>
      <c r="S73" s="1246"/>
      <c r="T73" s="257"/>
      <c r="U73" s="257"/>
    </row>
    <row r="74" spans="1:21">
      <c r="A74" s="267" t="s">
        <v>2558</v>
      </c>
      <c r="B74" s="1246"/>
      <c r="C74" s="1246"/>
      <c r="D74" s="257"/>
      <c r="E74" s="257"/>
      <c r="F74" s="1246"/>
      <c r="G74" s="1246"/>
      <c r="H74" s="1246"/>
      <c r="I74" s="1246"/>
      <c r="J74" s="257"/>
      <c r="K74" s="257"/>
      <c r="L74" s="1246"/>
      <c r="M74" s="1246"/>
      <c r="N74" s="1246"/>
      <c r="O74" s="1246"/>
      <c r="P74" s="1246"/>
      <c r="Q74" s="1246"/>
      <c r="R74" s="1246"/>
      <c r="S74" s="1246"/>
      <c r="T74" s="257"/>
      <c r="U74" s="257"/>
    </row>
    <row r="75" spans="1:21">
      <c r="A75" s="268" t="s">
        <v>912</v>
      </c>
      <c r="B75" s="257"/>
      <c r="C75" s="269">
        <v>2463641</v>
      </c>
      <c r="D75" s="270">
        <v>7.7799999999999994E-2</v>
      </c>
      <c r="E75" s="257" t="s">
        <v>2560</v>
      </c>
      <c r="F75" s="257"/>
      <c r="G75" s="283">
        <v>191646.6</v>
      </c>
      <c r="H75" s="257"/>
      <c r="I75" s="269">
        <v>2463641</v>
      </c>
      <c r="J75" s="270">
        <v>8.5000000000000006E-2</v>
      </c>
      <c r="K75" s="257" t="s">
        <v>2560</v>
      </c>
      <c r="L75" s="257"/>
      <c r="M75" s="283">
        <v>209409.45</v>
      </c>
      <c r="N75" s="257"/>
      <c r="O75" s="271">
        <v>17763</v>
      </c>
      <c r="P75" s="257"/>
      <c r="Q75" s="272">
        <v>9.2700000000000005E-2</v>
      </c>
      <c r="R75" s="1246"/>
      <c r="S75" s="1246"/>
      <c r="T75" s="257"/>
      <c r="U75" s="257"/>
    </row>
    <row r="76" spans="1:21">
      <c r="A76" s="280"/>
      <c r="B76" s="1246"/>
      <c r="C76" s="1246"/>
      <c r="D76" s="257"/>
      <c r="E76" s="257"/>
      <c r="F76" s="1246"/>
      <c r="G76" s="1246"/>
      <c r="H76" s="1246"/>
      <c r="I76" s="1246"/>
      <c r="J76" s="257"/>
      <c r="K76" s="257"/>
      <c r="L76" s="1246"/>
      <c r="M76" s="1246"/>
      <c r="N76" s="1246"/>
      <c r="O76" s="1246"/>
      <c r="P76" s="1246"/>
      <c r="Q76" s="1246"/>
      <c r="R76" s="1246"/>
      <c r="S76" s="1246"/>
      <c r="T76" s="257"/>
      <c r="U76" s="257"/>
    </row>
    <row r="77" spans="1:21">
      <c r="A77" s="267" t="s">
        <v>2615</v>
      </c>
      <c r="B77" s="1246"/>
      <c r="C77" s="1246"/>
      <c r="D77" s="257"/>
      <c r="E77" s="257"/>
      <c r="F77" s="1246"/>
      <c r="G77" s="1246"/>
      <c r="H77" s="1246"/>
      <c r="I77" s="1246"/>
      <c r="J77" s="257"/>
      <c r="K77" s="257"/>
      <c r="L77" s="1246"/>
      <c r="M77" s="1246"/>
      <c r="N77" s="1246"/>
      <c r="O77" s="1246"/>
      <c r="P77" s="1246"/>
      <c r="Q77" s="1246"/>
      <c r="R77" s="1246"/>
      <c r="S77" s="1246"/>
      <c r="T77" s="257"/>
      <c r="U77" s="257"/>
    </row>
    <row r="78" spans="1:21">
      <c r="A78" s="268" t="s">
        <v>890</v>
      </c>
      <c r="B78" s="257"/>
      <c r="C78" s="257">
        <v>0</v>
      </c>
      <c r="D78" s="270">
        <v>1.55</v>
      </c>
      <c r="E78" s="257" t="s">
        <v>2557</v>
      </c>
      <c r="F78" s="257"/>
      <c r="G78" s="283">
        <v>0</v>
      </c>
      <c r="H78" s="257"/>
      <c r="I78" s="257">
        <v>0</v>
      </c>
      <c r="J78" s="270">
        <v>1.78</v>
      </c>
      <c r="K78" s="257" t="s">
        <v>2557</v>
      </c>
      <c r="L78" s="257"/>
      <c r="M78" s="283">
        <v>0</v>
      </c>
      <c r="N78" s="257"/>
      <c r="O78" s="271">
        <v>0</v>
      </c>
      <c r="P78" s="257"/>
      <c r="Q78" s="272">
        <v>0</v>
      </c>
      <c r="R78" s="1246"/>
      <c r="S78" s="1246"/>
      <c r="T78" s="257"/>
      <c r="U78" s="257"/>
    </row>
    <row r="79" spans="1:21">
      <c r="A79" s="268" t="s">
        <v>891</v>
      </c>
      <c r="B79" s="257"/>
      <c r="C79" s="257">
        <v>0</v>
      </c>
      <c r="D79" s="270">
        <v>2.2200000000000002</v>
      </c>
      <c r="E79" s="257" t="s">
        <v>2557</v>
      </c>
      <c r="F79" s="257"/>
      <c r="G79" s="283">
        <v>0</v>
      </c>
      <c r="H79" s="257"/>
      <c r="I79" s="257">
        <v>0</v>
      </c>
      <c r="J79" s="270">
        <v>2.5499999999999998</v>
      </c>
      <c r="K79" s="257" t="s">
        <v>2557</v>
      </c>
      <c r="L79" s="257"/>
      <c r="M79" s="283">
        <v>0</v>
      </c>
      <c r="N79" s="257"/>
      <c r="O79" s="271">
        <v>0</v>
      </c>
      <c r="P79" s="257"/>
      <c r="Q79" s="272">
        <v>0</v>
      </c>
      <c r="R79" s="1246"/>
      <c r="S79" s="1246"/>
      <c r="T79" s="257"/>
      <c r="U79" s="257"/>
    </row>
    <row r="80" spans="1:21">
      <c r="A80" s="268" t="s">
        <v>892</v>
      </c>
      <c r="B80" s="257"/>
      <c r="C80" s="257">
        <v>0</v>
      </c>
      <c r="D80" s="270">
        <v>3.1</v>
      </c>
      <c r="E80" s="257" t="s">
        <v>2557</v>
      </c>
      <c r="F80" s="257"/>
      <c r="G80" s="283">
        <v>0</v>
      </c>
      <c r="H80" s="257"/>
      <c r="I80" s="257">
        <v>0</v>
      </c>
      <c r="J80" s="270">
        <v>3.57</v>
      </c>
      <c r="K80" s="257" t="s">
        <v>2557</v>
      </c>
      <c r="L80" s="257"/>
      <c r="M80" s="283">
        <v>0</v>
      </c>
      <c r="N80" s="257"/>
      <c r="O80" s="271">
        <v>0</v>
      </c>
      <c r="P80" s="257"/>
      <c r="Q80" s="272">
        <v>0</v>
      </c>
      <c r="R80" s="1246"/>
      <c r="S80" s="1246"/>
      <c r="T80" s="257"/>
      <c r="U80" s="257"/>
    </row>
    <row r="81" spans="1:21">
      <c r="A81" s="268" t="s">
        <v>893</v>
      </c>
      <c r="B81" s="257"/>
      <c r="C81" s="257">
        <v>0</v>
      </c>
      <c r="D81" s="270">
        <v>4.4400000000000004</v>
      </c>
      <c r="E81" s="257" t="s">
        <v>2557</v>
      </c>
      <c r="F81" s="257"/>
      <c r="G81" s="283">
        <v>0</v>
      </c>
      <c r="H81" s="257"/>
      <c r="I81" s="257">
        <v>0</v>
      </c>
      <c r="J81" s="270">
        <v>5.1100000000000003</v>
      </c>
      <c r="K81" s="257" t="s">
        <v>2557</v>
      </c>
      <c r="L81" s="257"/>
      <c r="M81" s="283">
        <v>0</v>
      </c>
      <c r="N81" s="257"/>
      <c r="O81" s="271">
        <v>0</v>
      </c>
      <c r="P81" s="257"/>
      <c r="Q81" s="272">
        <v>0</v>
      </c>
      <c r="R81" s="1246"/>
      <c r="S81" s="1246"/>
      <c r="T81" s="257"/>
      <c r="U81" s="257"/>
    </row>
    <row r="82" spans="1:21">
      <c r="A82" s="268" t="s">
        <v>894</v>
      </c>
      <c r="B82" s="257"/>
      <c r="C82" s="257">
        <v>0</v>
      </c>
      <c r="D82" s="270">
        <v>6.66</v>
      </c>
      <c r="E82" s="257" t="s">
        <v>2557</v>
      </c>
      <c r="F82" s="257"/>
      <c r="G82" s="283">
        <v>0</v>
      </c>
      <c r="H82" s="257"/>
      <c r="I82" s="257">
        <v>0</v>
      </c>
      <c r="J82" s="270">
        <v>7.66</v>
      </c>
      <c r="K82" s="257" t="s">
        <v>2557</v>
      </c>
      <c r="L82" s="257"/>
      <c r="M82" s="283">
        <v>0</v>
      </c>
      <c r="N82" s="257"/>
      <c r="O82" s="271">
        <v>0</v>
      </c>
      <c r="P82" s="257"/>
      <c r="Q82" s="272">
        <v>0</v>
      </c>
      <c r="R82" s="1246"/>
      <c r="S82" s="1246"/>
      <c r="T82" s="257"/>
      <c r="U82" s="257"/>
    </row>
    <row r="83" spans="1:21">
      <c r="A83" s="268" t="s">
        <v>895</v>
      </c>
      <c r="B83" s="257"/>
      <c r="C83" s="257">
        <v>0</v>
      </c>
      <c r="D83" s="270">
        <v>8.32</v>
      </c>
      <c r="E83" s="257" t="s">
        <v>2557</v>
      </c>
      <c r="F83" s="257"/>
      <c r="G83" s="283">
        <v>0</v>
      </c>
      <c r="H83" s="257"/>
      <c r="I83" s="257">
        <v>0</v>
      </c>
      <c r="J83" s="270">
        <v>9.57</v>
      </c>
      <c r="K83" s="257" t="s">
        <v>2557</v>
      </c>
      <c r="L83" s="257"/>
      <c r="M83" s="283">
        <v>0</v>
      </c>
      <c r="N83" s="257"/>
      <c r="O83" s="271">
        <v>0</v>
      </c>
      <c r="P83" s="257"/>
      <c r="Q83" s="272">
        <v>0</v>
      </c>
      <c r="R83" s="1246"/>
      <c r="S83" s="1246"/>
      <c r="T83" s="257"/>
      <c r="U83" s="257"/>
    </row>
    <row r="84" spans="1:21">
      <c r="A84" s="268" t="s">
        <v>896</v>
      </c>
      <c r="B84" s="257"/>
      <c r="C84" s="257">
        <v>0</v>
      </c>
      <c r="D84" s="270">
        <v>12.76</v>
      </c>
      <c r="E84" s="257" t="s">
        <v>2557</v>
      </c>
      <c r="F84" s="257"/>
      <c r="G84" s="283">
        <v>0</v>
      </c>
      <c r="H84" s="257"/>
      <c r="I84" s="257">
        <v>0</v>
      </c>
      <c r="J84" s="270">
        <v>14.67</v>
      </c>
      <c r="K84" s="257" t="s">
        <v>2557</v>
      </c>
      <c r="L84" s="257"/>
      <c r="M84" s="283">
        <v>0</v>
      </c>
      <c r="N84" s="257"/>
      <c r="O84" s="271">
        <v>0</v>
      </c>
      <c r="P84" s="257"/>
      <c r="Q84" s="272">
        <v>0</v>
      </c>
      <c r="R84" s="1246"/>
      <c r="S84" s="1246"/>
      <c r="T84" s="257"/>
      <c r="U84" s="257"/>
    </row>
    <row r="85" spans="1:21">
      <c r="A85" s="268" t="s">
        <v>913</v>
      </c>
      <c r="B85" s="257"/>
      <c r="C85" s="257">
        <v>0</v>
      </c>
      <c r="D85" s="270">
        <v>0.08</v>
      </c>
      <c r="E85" s="257" t="s">
        <v>2560</v>
      </c>
      <c r="F85" s="257"/>
      <c r="G85" s="283">
        <v>0</v>
      </c>
      <c r="H85" s="257"/>
      <c r="I85" s="257">
        <v>0</v>
      </c>
      <c r="J85" s="270">
        <v>0.09</v>
      </c>
      <c r="K85" s="257" t="s">
        <v>2560</v>
      </c>
      <c r="L85" s="257"/>
      <c r="M85" s="283">
        <v>0</v>
      </c>
      <c r="N85" s="257"/>
      <c r="O85" s="271">
        <v>0</v>
      </c>
      <c r="P85" s="257"/>
      <c r="Q85" s="272">
        <v>0</v>
      </c>
      <c r="R85" s="1247"/>
      <c r="S85" s="1247"/>
      <c r="T85" s="257"/>
      <c r="U85" s="257"/>
    </row>
    <row r="86" spans="1:21" ht="15.75" thickBot="1">
      <c r="A86" s="286" t="s">
        <v>914</v>
      </c>
      <c r="B86" s="287"/>
      <c r="C86" s="287">
        <v>201</v>
      </c>
      <c r="D86" s="287"/>
      <c r="E86" s="287"/>
      <c r="F86" s="287"/>
      <c r="G86" s="289">
        <v>203706.6</v>
      </c>
      <c r="H86" s="287"/>
      <c r="I86" s="287">
        <v>201</v>
      </c>
      <c r="J86" s="287"/>
      <c r="K86" s="287"/>
      <c r="L86" s="287"/>
      <c r="M86" s="289">
        <v>223278.45</v>
      </c>
      <c r="N86" s="287"/>
      <c r="O86" s="290">
        <v>19572</v>
      </c>
      <c r="P86" s="287"/>
      <c r="Q86" s="291">
        <v>9.6100000000000005E-2</v>
      </c>
      <c r="R86" s="1294"/>
      <c r="S86" s="1294"/>
      <c r="T86" s="287"/>
      <c r="U86" s="287"/>
    </row>
    <row r="87" spans="1:21" ht="15.75" thickTop="1">
      <c r="A87" s="280"/>
      <c r="B87" s="1248"/>
      <c r="C87" s="1248"/>
      <c r="D87" s="257"/>
      <c r="E87" s="257"/>
      <c r="F87" s="1248"/>
      <c r="G87" s="1248"/>
      <c r="H87" s="1248"/>
      <c r="I87" s="1248"/>
      <c r="J87" s="257"/>
      <c r="K87" s="257"/>
      <c r="L87" s="1248"/>
      <c r="M87" s="1248"/>
      <c r="N87" s="1248"/>
      <c r="O87" s="1248"/>
      <c r="P87" s="1248"/>
      <c r="Q87" s="1248"/>
      <c r="R87" s="1248"/>
      <c r="S87" s="1248"/>
      <c r="T87" s="257"/>
      <c r="U87" s="257"/>
    </row>
    <row r="88" spans="1:21">
      <c r="A88" s="281" t="s">
        <v>2621</v>
      </c>
      <c r="B88" s="1246"/>
      <c r="C88" s="1246"/>
      <c r="D88" s="257"/>
      <c r="E88" s="257"/>
      <c r="F88" s="1246"/>
      <c r="G88" s="1246"/>
      <c r="H88" s="1246"/>
      <c r="I88" s="1246"/>
      <c r="J88" s="257"/>
      <c r="K88" s="257"/>
      <c r="L88" s="1246"/>
      <c r="M88" s="1246"/>
      <c r="N88" s="1246"/>
      <c r="O88" s="1246"/>
      <c r="P88" s="1246"/>
      <c r="Q88" s="1246"/>
      <c r="R88" s="1246"/>
      <c r="S88" s="1246"/>
      <c r="T88" s="257"/>
      <c r="U88" s="257"/>
    </row>
    <row r="89" spans="1:21">
      <c r="A89" s="292"/>
      <c r="B89" s="1246"/>
      <c r="C89" s="1246"/>
      <c r="D89" s="257"/>
      <c r="E89" s="257"/>
      <c r="F89" s="1246"/>
      <c r="G89" s="1246"/>
      <c r="H89" s="1246"/>
      <c r="I89" s="1246"/>
      <c r="J89" s="257"/>
      <c r="K89" s="257"/>
      <c r="L89" s="1246"/>
      <c r="M89" s="1246"/>
      <c r="N89" s="1246"/>
      <c r="O89" s="1246"/>
      <c r="P89" s="1246"/>
      <c r="Q89" s="1246"/>
      <c r="R89" s="1246"/>
      <c r="S89" s="1246"/>
      <c r="T89" s="257"/>
      <c r="U89" s="257"/>
    </row>
    <row r="90" spans="1:21">
      <c r="A90" s="282" t="s">
        <v>2622</v>
      </c>
      <c r="B90" s="1246"/>
      <c r="C90" s="1246"/>
      <c r="D90" s="257"/>
      <c r="E90" s="257"/>
      <c r="F90" s="1246"/>
      <c r="G90" s="1246"/>
      <c r="H90" s="1246"/>
      <c r="I90" s="1246"/>
      <c r="J90" s="257"/>
      <c r="K90" s="257"/>
      <c r="L90" s="1246"/>
      <c r="M90" s="1246"/>
      <c r="N90" s="1246"/>
      <c r="O90" s="1246"/>
      <c r="P90" s="1246"/>
      <c r="Q90" s="1246"/>
      <c r="R90" s="1246"/>
      <c r="S90" s="1246"/>
      <c r="T90" s="257"/>
      <c r="U90" s="257"/>
    </row>
    <row r="91" spans="1:21">
      <c r="A91" s="267" t="s">
        <v>2615</v>
      </c>
      <c r="B91" s="1246"/>
      <c r="C91" s="1246"/>
      <c r="D91" s="257"/>
      <c r="E91" s="257"/>
      <c r="F91" s="1246"/>
      <c r="G91" s="1246"/>
      <c r="H91" s="1246"/>
      <c r="I91" s="1246"/>
      <c r="J91" s="257"/>
      <c r="K91" s="257"/>
      <c r="L91" s="1246"/>
      <c r="M91" s="1246"/>
      <c r="N91" s="1246"/>
      <c r="O91" s="1246"/>
      <c r="P91" s="1246"/>
      <c r="Q91" s="1246"/>
      <c r="R91" s="1246"/>
      <c r="S91" s="1246"/>
      <c r="T91" s="257"/>
      <c r="U91" s="257"/>
    </row>
    <row r="92" spans="1:21">
      <c r="A92" s="268" t="s">
        <v>890</v>
      </c>
      <c r="B92" s="257"/>
      <c r="C92" s="257">
        <v>140</v>
      </c>
      <c r="D92" s="270">
        <v>8.9499999999999993</v>
      </c>
      <c r="E92" s="257" t="s">
        <v>2557</v>
      </c>
      <c r="F92" s="257"/>
      <c r="G92" s="283">
        <v>15036</v>
      </c>
      <c r="H92" s="257"/>
      <c r="I92" s="257">
        <v>140</v>
      </c>
      <c r="J92" s="270">
        <v>10.29</v>
      </c>
      <c r="K92" s="270">
        <v>0</v>
      </c>
      <c r="L92" s="257"/>
      <c r="M92" s="283">
        <v>17287.2</v>
      </c>
      <c r="N92" s="257"/>
      <c r="O92" s="271">
        <v>2251</v>
      </c>
      <c r="P92" s="257"/>
      <c r="Q92" s="272">
        <v>0.1497</v>
      </c>
      <c r="R92" s="1246"/>
      <c r="S92" s="1246"/>
      <c r="T92" s="257"/>
      <c r="U92" s="257"/>
    </row>
    <row r="93" spans="1:21">
      <c r="A93" s="268" t="s">
        <v>891</v>
      </c>
      <c r="B93" s="257"/>
      <c r="C93" s="257">
        <v>205</v>
      </c>
      <c r="D93" s="270">
        <v>9.32</v>
      </c>
      <c r="E93" s="257" t="s">
        <v>2557</v>
      </c>
      <c r="F93" s="257"/>
      <c r="G93" s="283">
        <v>22927.200000000001</v>
      </c>
      <c r="H93" s="257"/>
      <c r="I93" s="257">
        <v>205</v>
      </c>
      <c r="J93" s="270">
        <v>10.72</v>
      </c>
      <c r="K93" s="270">
        <v>0</v>
      </c>
      <c r="L93" s="257"/>
      <c r="M93" s="283">
        <v>26371.200000000001</v>
      </c>
      <c r="N93" s="257"/>
      <c r="O93" s="271">
        <v>3444</v>
      </c>
      <c r="P93" s="257"/>
      <c r="Q93" s="272">
        <v>0.1502</v>
      </c>
      <c r="R93" s="1246"/>
      <c r="S93" s="1246"/>
      <c r="T93" s="257"/>
      <c r="U93" s="257"/>
    </row>
    <row r="94" spans="1:21">
      <c r="A94" s="268" t="s">
        <v>892</v>
      </c>
      <c r="B94" s="257"/>
      <c r="C94" s="257">
        <v>727</v>
      </c>
      <c r="D94" s="270">
        <v>10.1</v>
      </c>
      <c r="E94" s="257" t="s">
        <v>2557</v>
      </c>
      <c r="F94" s="257"/>
      <c r="G94" s="283">
        <v>88112.4</v>
      </c>
      <c r="H94" s="257"/>
      <c r="I94" s="257">
        <v>727</v>
      </c>
      <c r="J94" s="270">
        <v>11.62</v>
      </c>
      <c r="K94" s="270">
        <v>0</v>
      </c>
      <c r="L94" s="257"/>
      <c r="M94" s="283">
        <v>101372.88</v>
      </c>
      <c r="N94" s="257"/>
      <c r="O94" s="271">
        <v>13260</v>
      </c>
      <c r="P94" s="257"/>
      <c r="Q94" s="272">
        <v>0.15049999999999999</v>
      </c>
      <c r="R94" s="1246"/>
      <c r="S94" s="1246"/>
      <c r="T94" s="257"/>
      <c r="U94" s="257"/>
    </row>
    <row r="95" spans="1:21">
      <c r="A95" s="268" t="s">
        <v>893</v>
      </c>
      <c r="B95" s="257"/>
      <c r="C95" s="257">
        <v>14</v>
      </c>
      <c r="D95" s="270">
        <v>10.89</v>
      </c>
      <c r="E95" s="257" t="s">
        <v>2557</v>
      </c>
      <c r="F95" s="257"/>
      <c r="G95" s="283">
        <v>1829.52</v>
      </c>
      <c r="H95" s="257"/>
      <c r="I95" s="257">
        <v>14</v>
      </c>
      <c r="J95" s="270">
        <v>12.52</v>
      </c>
      <c r="K95" s="270">
        <v>0</v>
      </c>
      <c r="L95" s="257"/>
      <c r="M95" s="283">
        <v>2103.36</v>
      </c>
      <c r="N95" s="257"/>
      <c r="O95" s="271">
        <v>274</v>
      </c>
      <c r="P95" s="257"/>
      <c r="Q95" s="272">
        <v>0.1497</v>
      </c>
      <c r="R95" s="1246"/>
      <c r="S95" s="1246"/>
      <c r="T95" s="257"/>
      <c r="U95" s="257"/>
    </row>
    <row r="96" spans="1:21">
      <c r="A96" s="268" t="s">
        <v>894</v>
      </c>
      <c r="B96" s="257"/>
      <c r="C96" s="257">
        <v>130</v>
      </c>
      <c r="D96" s="270">
        <v>13.16</v>
      </c>
      <c r="E96" s="257" t="s">
        <v>2557</v>
      </c>
      <c r="F96" s="257"/>
      <c r="G96" s="283">
        <v>20529.599999999999</v>
      </c>
      <c r="H96" s="257"/>
      <c r="I96" s="257">
        <v>130</v>
      </c>
      <c r="J96" s="270">
        <v>15.13</v>
      </c>
      <c r="K96" s="270">
        <v>0</v>
      </c>
      <c r="L96" s="257"/>
      <c r="M96" s="283">
        <v>23602.799999999999</v>
      </c>
      <c r="N96" s="257"/>
      <c r="O96" s="271">
        <v>3073</v>
      </c>
      <c r="P96" s="257"/>
      <c r="Q96" s="272">
        <v>0.1497</v>
      </c>
      <c r="R96" s="1246"/>
      <c r="S96" s="1246"/>
      <c r="T96" s="257"/>
      <c r="U96" s="257"/>
    </row>
    <row r="97" spans="1:21">
      <c r="A97" s="268" t="s">
        <v>895</v>
      </c>
      <c r="B97" s="257"/>
      <c r="C97" s="257">
        <v>1</v>
      </c>
      <c r="D97" s="270">
        <v>14.32</v>
      </c>
      <c r="E97" s="257" t="s">
        <v>2557</v>
      </c>
      <c r="F97" s="257"/>
      <c r="G97" s="283">
        <v>171.84</v>
      </c>
      <c r="H97" s="257"/>
      <c r="I97" s="257">
        <v>1</v>
      </c>
      <c r="J97" s="270">
        <v>16.47</v>
      </c>
      <c r="K97" s="270">
        <v>0</v>
      </c>
      <c r="L97" s="257"/>
      <c r="M97" s="283">
        <v>197.64</v>
      </c>
      <c r="N97" s="257"/>
      <c r="O97" s="271">
        <v>26</v>
      </c>
      <c r="P97" s="257"/>
      <c r="Q97" s="272">
        <v>0.15010000000000001</v>
      </c>
      <c r="R97" s="1246"/>
      <c r="S97" s="1246"/>
      <c r="T97" s="257"/>
      <c r="U97" s="257"/>
    </row>
    <row r="98" spans="1:21">
      <c r="A98" s="268"/>
      <c r="B98" s="1246"/>
      <c r="C98" s="1246"/>
      <c r="D98" s="257"/>
      <c r="E98" s="257"/>
      <c r="F98" s="1246"/>
      <c r="G98" s="1246"/>
      <c r="H98" s="1246"/>
      <c r="I98" s="1246"/>
      <c r="J98" s="257"/>
      <c r="K98" s="257"/>
      <c r="L98" s="1246"/>
      <c r="M98" s="1246"/>
      <c r="N98" s="1246"/>
      <c r="O98" s="1246"/>
      <c r="P98" s="1246"/>
      <c r="Q98" s="1246"/>
      <c r="R98" s="1246"/>
      <c r="S98" s="1246"/>
      <c r="T98" s="257"/>
      <c r="U98" s="257"/>
    </row>
    <row r="99" spans="1:21">
      <c r="A99" s="282" t="s">
        <v>2623</v>
      </c>
      <c r="B99" s="1246"/>
      <c r="C99" s="1246"/>
      <c r="D99" s="257"/>
      <c r="E99" s="257"/>
      <c r="F99" s="257"/>
      <c r="G99" s="257" t="s">
        <v>7</v>
      </c>
      <c r="H99" s="1246"/>
      <c r="I99" s="1246"/>
      <c r="J99" s="257"/>
      <c r="K99" s="257"/>
      <c r="L99" s="1246"/>
      <c r="M99" s="1246"/>
      <c r="N99" s="1246"/>
      <c r="O99" s="1246"/>
      <c r="P99" s="1246"/>
      <c r="Q99" s="1246"/>
      <c r="R99" s="1246"/>
      <c r="S99" s="1246"/>
      <c r="T99" s="257"/>
      <c r="U99" s="257"/>
    </row>
    <row r="100" spans="1:21">
      <c r="A100" s="267" t="s">
        <v>2615</v>
      </c>
      <c r="B100" s="1246"/>
      <c r="C100" s="1246"/>
      <c r="D100" s="257"/>
      <c r="E100" s="257"/>
      <c r="F100" s="1246"/>
      <c r="G100" s="1246"/>
      <c r="H100" s="1246"/>
      <c r="I100" s="1246"/>
      <c r="J100" s="257"/>
      <c r="K100" s="257"/>
      <c r="L100" s="1246"/>
      <c r="M100" s="1246"/>
      <c r="N100" s="1246"/>
      <c r="O100" s="1246"/>
      <c r="P100" s="1246"/>
      <c r="Q100" s="1246"/>
      <c r="R100" s="1246"/>
      <c r="S100" s="1246"/>
      <c r="T100" s="257"/>
      <c r="U100" s="257"/>
    </row>
    <row r="101" spans="1:21">
      <c r="A101" s="268" t="s">
        <v>920</v>
      </c>
      <c r="B101" s="257"/>
      <c r="C101" s="269">
        <v>1282</v>
      </c>
      <c r="D101" s="270">
        <v>5.78</v>
      </c>
      <c r="E101" s="257" t="s">
        <v>2557</v>
      </c>
      <c r="F101" s="257"/>
      <c r="G101" s="283">
        <v>88919.52</v>
      </c>
      <c r="H101" s="257"/>
      <c r="I101" s="269">
        <v>1282</v>
      </c>
      <c r="J101" s="270">
        <v>6.65</v>
      </c>
      <c r="K101" s="257" t="s">
        <v>2557</v>
      </c>
      <c r="L101" s="257"/>
      <c r="M101" s="283">
        <v>102303.6</v>
      </c>
      <c r="N101" s="257"/>
      <c r="O101" s="271">
        <v>13384</v>
      </c>
      <c r="P101" s="257"/>
      <c r="Q101" s="272">
        <v>0.15049999999999999</v>
      </c>
      <c r="R101" s="1247"/>
      <c r="S101" s="1247"/>
      <c r="T101" s="257"/>
      <c r="U101" s="257"/>
    </row>
    <row r="102" spans="1:21" ht="15.75" thickBot="1">
      <c r="A102" s="286" t="s">
        <v>2624</v>
      </c>
      <c r="B102" s="287"/>
      <c r="C102" s="288">
        <v>2499</v>
      </c>
      <c r="D102" s="287"/>
      <c r="E102" s="287"/>
      <c r="F102" s="287"/>
      <c r="G102" s="289">
        <v>237526.08</v>
      </c>
      <c r="H102" s="287"/>
      <c r="I102" s="288">
        <v>2499</v>
      </c>
      <c r="J102" s="287"/>
      <c r="K102" s="287"/>
      <c r="L102" s="287"/>
      <c r="M102" s="289">
        <v>273238.68</v>
      </c>
      <c r="N102" s="287"/>
      <c r="O102" s="290">
        <v>35713</v>
      </c>
      <c r="P102" s="287"/>
      <c r="Q102" s="291">
        <v>0.15040000000000001</v>
      </c>
      <c r="R102" s="1294"/>
      <c r="S102" s="1294"/>
      <c r="T102" s="287"/>
      <c r="U102" s="287"/>
    </row>
    <row r="103" spans="1:21" ht="15.75" thickTop="1">
      <c r="A103" s="280"/>
      <c r="B103" s="1248"/>
      <c r="C103" s="1248"/>
      <c r="D103" s="257"/>
      <c r="E103" s="257"/>
      <c r="F103" s="1248"/>
      <c r="G103" s="1248"/>
      <c r="H103" s="1248"/>
      <c r="I103" s="1248"/>
      <c r="J103" s="257"/>
      <c r="K103" s="257"/>
      <c r="L103" s="1248"/>
      <c r="M103" s="1248"/>
      <c r="N103" s="1248"/>
      <c r="O103" s="1248"/>
      <c r="P103" s="1248"/>
      <c r="Q103" s="1248"/>
      <c r="R103" s="1248"/>
      <c r="S103" s="1248"/>
      <c r="T103" s="257"/>
      <c r="U103" s="257"/>
    </row>
    <row r="104" spans="1:21">
      <c r="A104" s="281" t="s">
        <v>922</v>
      </c>
      <c r="B104" s="1246"/>
      <c r="C104" s="1246"/>
      <c r="D104" s="257"/>
      <c r="E104" s="257"/>
      <c r="F104" s="1246"/>
      <c r="G104" s="1246"/>
      <c r="H104" s="1246"/>
      <c r="I104" s="1246"/>
      <c r="J104" s="257"/>
      <c r="K104" s="257"/>
      <c r="L104" s="1246"/>
      <c r="M104" s="1246"/>
      <c r="N104" s="1246"/>
      <c r="O104" s="1246"/>
      <c r="P104" s="1246"/>
      <c r="Q104" s="1246"/>
      <c r="R104" s="1246"/>
      <c r="S104" s="1246"/>
      <c r="T104" s="257"/>
      <c r="U104" s="257"/>
    </row>
    <row r="105" spans="1:21">
      <c r="A105" s="292"/>
      <c r="B105" s="1246"/>
      <c r="C105" s="1246"/>
      <c r="D105" s="257"/>
      <c r="E105" s="257"/>
      <c r="F105" s="1246"/>
      <c r="G105" s="1246"/>
      <c r="H105" s="1246"/>
      <c r="I105" s="1246"/>
      <c r="J105" s="257"/>
      <c r="K105" s="257"/>
      <c r="L105" s="1246"/>
      <c r="M105" s="1246"/>
      <c r="N105" s="1246"/>
      <c r="O105" s="1246"/>
      <c r="P105" s="1246"/>
      <c r="Q105" s="1246"/>
      <c r="R105" s="1246"/>
      <c r="S105" s="1246"/>
      <c r="T105" s="257"/>
      <c r="U105" s="257"/>
    </row>
    <row r="106" spans="1:21">
      <c r="A106" s="267" t="s">
        <v>2556</v>
      </c>
      <c r="B106" s="257"/>
      <c r="C106" s="257">
        <v>81</v>
      </c>
      <c r="D106" s="270">
        <v>5</v>
      </c>
      <c r="E106" s="257" t="s">
        <v>2557</v>
      </c>
      <c r="F106" s="257"/>
      <c r="G106" s="283">
        <v>4860</v>
      </c>
      <c r="H106" s="257"/>
      <c r="I106" s="257">
        <v>81</v>
      </c>
      <c r="J106" s="270">
        <v>5.75</v>
      </c>
      <c r="K106" s="257" t="s">
        <v>2557</v>
      </c>
      <c r="L106" s="257"/>
      <c r="M106" s="283">
        <v>5589</v>
      </c>
      <c r="N106" s="257"/>
      <c r="O106" s="271">
        <v>729</v>
      </c>
      <c r="P106" s="257"/>
      <c r="Q106" s="272">
        <v>0.15</v>
      </c>
      <c r="R106" s="1246"/>
      <c r="S106" s="1246"/>
      <c r="T106" s="257"/>
      <c r="U106" s="257"/>
    </row>
    <row r="107" spans="1:21">
      <c r="A107" s="280"/>
      <c r="B107" s="1246"/>
      <c r="C107" s="1246"/>
      <c r="D107" s="257"/>
      <c r="E107" s="257"/>
      <c r="F107" s="1246"/>
      <c r="G107" s="1246"/>
      <c r="H107" s="1246"/>
      <c r="I107" s="1246"/>
      <c r="J107" s="257"/>
      <c r="K107" s="257"/>
      <c r="L107" s="1246"/>
      <c r="M107" s="1246"/>
      <c r="N107" s="1246"/>
      <c r="O107" s="1246"/>
      <c r="P107" s="1246"/>
      <c r="Q107" s="1246"/>
      <c r="R107" s="1246"/>
      <c r="S107" s="1246"/>
      <c r="T107" s="257"/>
      <c r="U107" s="257"/>
    </row>
    <row r="108" spans="1:21">
      <c r="A108" s="267" t="s">
        <v>2558</v>
      </c>
      <c r="B108" s="1246"/>
      <c r="C108" s="1246"/>
      <c r="D108" s="257"/>
      <c r="E108" s="257"/>
      <c r="F108" s="1246"/>
      <c r="G108" s="1246"/>
      <c r="H108" s="1246"/>
      <c r="I108" s="1246"/>
      <c r="J108" s="257"/>
      <c r="K108" s="257"/>
      <c r="L108" s="1246"/>
      <c r="M108" s="1246"/>
      <c r="N108" s="1246"/>
      <c r="O108" s="1246"/>
      <c r="P108" s="1246"/>
      <c r="Q108" s="1246"/>
      <c r="R108" s="1246"/>
      <c r="S108" s="1246"/>
      <c r="T108" s="257"/>
      <c r="U108" s="257"/>
    </row>
    <row r="109" spans="1:21">
      <c r="A109" s="268" t="s">
        <v>912</v>
      </c>
      <c r="B109" s="257"/>
      <c r="C109" s="269">
        <v>1063812</v>
      </c>
      <c r="D109" s="270">
        <v>0.05</v>
      </c>
      <c r="E109" s="257" t="s">
        <v>2560</v>
      </c>
      <c r="F109" s="257"/>
      <c r="G109" s="283">
        <v>48180.05</v>
      </c>
      <c r="H109" s="257"/>
      <c r="I109" s="269">
        <v>1063812</v>
      </c>
      <c r="J109" s="270">
        <v>0.05</v>
      </c>
      <c r="K109" s="257" t="s">
        <v>2560</v>
      </c>
      <c r="L109" s="257"/>
      <c r="M109" s="283">
        <v>55403.34</v>
      </c>
      <c r="N109" s="257"/>
      <c r="O109" s="271">
        <v>7223</v>
      </c>
      <c r="P109" s="257"/>
      <c r="Q109" s="272">
        <v>0.14990000000000001</v>
      </c>
      <c r="R109" s="1247"/>
      <c r="S109" s="1247"/>
      <c r="T109" s="257"/>
      <c r="U109" s="257"/>
    </row>
    <row r="110" spans="1:21" ht="15.75" thickBot="1">
      <c r="A110" s="286" t="s">
        <v>2625</v>
      </c>
      <c r="B110" s="287"/>
      <c r="C110" s="287">
        <v>81</v>
      </c>
      <c r="D110" s="287"/>
      <c r="E110" s="287"/>
      <c r="F110" s="287"/>
      <c r="G110" s="289">
        <v>53040.05</v>
      </c>
      <c r="H110" s="287"/>
      <c r="I110" s="287">
        <v>81</v>
      </c>
      <c r="J110" s="287"/>
      <c r="K110" s="287"/>
      <c r="L110" s="287"/>
      <c r="M110" s="289">
        <v>60992.34</v>
      </c>
      <c r="N110" s="287"/>
      <c r="O110" s="290">
        <v>7952</v>
      </c>
      <c r="P110" s="287"/>
      <c r="Q110" s="291">
        <v>0.14990000000000001</v>
      </c>
      <c r="R110" s="1294"/>
      <c r="S110" s="1294"/>
      <c r="T110" s="287"/>
      <c r="U110" s="287"/>
    </row>
    <row r="111" spans="1:21" ht="15.75" thickTop="1">
      <c r="A111" s="280"/>
      <c r="B111" s="1248"/>
      <c r="C111" s="1248"/>
      <c r="D111" s="257"/>
      <c r="E111" s="257"/>
      <c r="F111" s="1248"/>
      <c r="G111" s="1248"/>
      <c r="H111" s="1248"/>
      <c r="I111" s="1248"/>
      <c r="J111" s="257"/>
      <c r="K111" s="257"/>
      <c r="L111" s="1248"/>
      <c r="M111" s="1248"/>
      <c r="N111" s="1248"/>
      <c r="O111" s="1248"/>
      <c r="P111" s="1248"/>
      <c r="Q111" s="1248"/>
      <c r="R111" s="1248"/>
      <c r="S111" s="1248"/>
      <c r="T111" s="257"/>
      <c r="U111" s="257"/>
    </row>
    <row r="112" spans="1:21">
      <c r="A112" s="281" t="s">
        <v>923</v>
      </c>
      <c r="B112" s="1246"/>
      <c r="C112" s="1246"/>
      <c r="D112" s="257"/>
      <c r="E112" s="257"/>
      <c r="F112" s="1246"/>
      <c r="G112" s="1246"/>
      <c r="H112" s="1246"/>
      <c r="I112" s="1246"/>
      <c r="J112" s="257"/>
      <c r="K112" s="257"/>
      <c r="L112" s="1246"/>
      <c r="M112" s="1246"/>
      <c r="N112" s="1246"/>
      <c r="O112" s="1246"/>
      <c r="P112" s="1246"/>
      <c r="Q112" s="1246"/>
      <c r="R112" s="1246"/>
      <c r="S112" s="1246"/>
      <c r="T112" s="257"/>
      <c r="U112" s="257"/>
    </row>
    <row r="113" spans="1:21">
      <c r="A113" s="280"/>
      <c r="B113" s="1246"/>
      <c r="C113" s="1246"/>
      <c r="D113" s="257"/>
      <c r="E113" s="257"/>
      <c r="F113" s="1246"/>
      <c r="G113" s="1246"/>
      <c r="H113" s="1246"/>
      <c r="I113" s="1246"/>
      <c r="J113" s="257"/>
      <c r="K113" s="257"/>
      <c r="L113" s="1246"/>
      <c r="M113" s="1246"/>
      <c r="N113" s="1246"/>
      <c r="O113" s="1246"/>
      <c r="P113" s="1246"/>
      <c r="Q113" s="1246"/>
      <c r="R113" s="1246"/>
      <c r="S113" s="1246"/>
      <c r="T113" s="257"/>
      <c r="U113" s="257"/>
    </row>
    <row r="114" spans="1:21">
      <c r="A114" s="267" t="s">
        <v>2558</v>
      </c>
      <c r="B114" s="1246"/>
      <c r="C114" s="1246"/>
      <c r="D114" s="257"/>
      <c r="E114" s="257"/>
      <c r="F114" s="1246"/>
      <c r="G114" s="1246"/>
      <c r="H114" s="1246"/>
      <c r="I114" s="1246"/>
      <c r="J114" s="257"/>
      <c r="K114" s="257"/>
      <c r="L114" s="1246"/>
      <c r="M114" s="1246"/>
      <c r="N114" s="1246"/>
      <c r="O114" s="1246"/>
      <c r="P114" s="1246"/>
      <c r="Q114" s="1246"/>
      <c r="R114" s="1246"/>
      <c r="S114" s="1246"/>
      <c r="T114" s="257"/>
      <c r="U114" s="257"/>
    </row>
    <row r="115" spans="1:21">
      <c r="A115" s="268" t="s">
        <v>912</v>
      </c>
      <c r="B115" s="257"/>
      <c r="C115" s="269">
        <v>1201572</v>
      </c>
      <c r="D115" s="270">
        <v>0.06</v>
      </c>
      <c r="E115" s="257" t="s">
        <v>2560</v>
      </c>
      <c r="F115" s="257"/>
      <c r="G115" s="283">
        <v>71241.23</v>
      </c>
      <c r="H115" s="257"/>
      <c r="I115" s="269">
        <v>1201572</v>
      </c>
      <c r="J115" s="270">
        <v>7.0000000000000007E-2</v>
      </c>
      <c r="K115" s="257" t="s">
        <v>2560</v>
      </c>
      <c r="L115" s="257"/>
      <c r="M115" s="283">
        <v>81923.210000000006</v>
      </c>
      <c r="N115" s="257"/>
      <c r="O115" s="271">
        <v>10682</v>
      </c>
      <c r="P115" s="257"/>
      <c r="Q115" s="272">
        <v>0.14990000000000001</v>
      </c>
      <c r="R115" s="1247"/>
      <c r="S115" s="1247"/>
      <c r="T115" s="257"/>
      <c r="U115" s="257"/>
    </row>
    <row r="116" spans="1:21" ht="15.75" thickBot="1">
      <c r="A116" s="286" t="s">
        <v>2626</v>
      </c>
      <c r="B116" s="287"/>
      <c r="C116" s="288">
        <v>1201572</v>
      </c>
      <c r="D116" s="287"/>
      <c r="E116" s="287"/>
      <c r="F116" s="287"/>
      <c r="G116" s="289">
        <v>71241.23</v>
      </c>
      <c r="H116" s="287"/>
      <c r="I116" s="288">
        <v>1201572</v>
      </c>
      <c r="J116" s="287"/>
      <c r="K116" s="287"/>
      <c r="L116" s="287"/>
      <c r="M116" s="290">
        <v>81923</v>
      </c>
      <c r="N116" s="287"/>
      <c r="O116" s="290">
        <v>10682</v>
      </c>
      <c r="P116" s="287"/>
      <c r="Q116" s="291">
        <v>0.14990000000000001</v>
      </c>
      <c r="R116" s="1294"/>
      <c r="S116" s="1294"/>
      <c r="T116" s="287"/>
      <c r="U116" s="287"/>
    </row>
    <row r="117" spans="1:21" ht="15.75" thickTop="1">
      <c r="A117" s="280"/>
      <c r="B117" s="1248"/>
      <c r="C117" s="1248"/>
      <c r="D117" s="257"/>
      <c r="E117" s="257"/>
      <c r="F117" s="1248"/>
      <c r="G117" s="1248"/>
      <c r="H117" s="1248"/>
      <c r="I117" s="1248"/>
      <c r="J117" s="257"/>
      <c r="K117" s="257"/>
      <c r="L117" s="1248"/>
      <c r="M117" s="1248"/>
      <c r="N117" s="1248"/>
      <c r="O117" s="1248"/>
      <c r="P117" s="1248"/>
      <c r="Q117" s="1248"/>
      <c r="R117" s="1248"/>
      <c r="S117" s="1248"/>
      <c r="T117" s="257"/>
      <c r="U117" s="257"/>
    </row>
    <row r="118" spans="1:21">
      <c r="A118" s="281" t="s">
        <v>924</v>
      </c>
      <c r="B118" s="1246"/>
      <c r="C118" s="1246"/>
      <c r="D118" s="257"/>
      <c r="E118" s="257"/>
      <c r="F118" s="1246"/>
      <c r="G118" s="1246"/>
      <c r="H118" s="1246"/>
      <c r="I118" s="1246"/>
      <c r="J118" s="257"/>
      <c r="K118" s="257"/>
      <c r="L118" s="1246"/>
      <c r="M118" s="1246"/>
      <c r="N118" s="1246"/>
      <c r="O118" s="1246"/>
      <c r="P118" s="1246"/>
      <c r="Q118" s="1246"/>
      <c r="R118" s="1246"/>
      <c r="S118" s="1246"/>
      <c r="T118" s="257"/>
      <c r="U118" s="257"/>
    </row>
    <row r="119" spans="1:21">
      <c r="A119" s="292"/>
      <c r="B119" s="1246"/>
      <c r="C119" s="1246"/>
      <c r="D119" s="257"/>
      <c r="E119" s="257"/>
      <c r="F119" s="1246"/>
      <c r="G119" s="1246"/>
      <c r="H119" s="1246"/>
      <c r="I119" s="1246"/>
      <c r="J119" s="257"/>
      <c r="K119" s="257"/>
      <c r="L119" s="1246"/>
      <c r="M119" s="1246"/>
      <c r="N119" s="1246"/>
      <c r="O119" s="1246"/>
      <c r="P119" s="1246"/>
      <c r="Q119" s="1246"/>
      <c r="R119" s="1246"/>
      <c r="S119" s="1246"/>
      <c r="T119" s="257"/>
      <c r="U119" s="257"/>
    </row>
    <row r="120" spans="1:21">
      <c r="A120" s="267" t="s">
        <v>2556</v>
      </c>
      <c r="B120" s="257"/>
      <c r="C120" s="269">
        <v>1030</v>
      </c>
      <c r="D120" s="270">
        <v>5</v>
      </c>
      <c r="E120" s="257" t="s">
        <v>2557</v>
      </c>
      <c r="F120" s="257"/>
      <c r="G120" s="283">
        <v>61800</v>
      </c>
      <c r="H120" s="257"/>
      <c r="I120" s="269">
        <v>1030</v>
      </c>
      <c r="J120" s="270">
        <v>5.75</v>
      </c>
      <c r="K120" s="257" t="s">
        <v>2557</v>
      </c>
      <c r="L120" s="257"/>
      <c r="M120" s="283">
        <v>71070</v>
      </c>
      <c r="N120" s="257"/>
      <c r="O120" s="271">
        <v>9270</v>
      </c>
      <c r="P120" s="257"/>
      <c r="Q120" s="272">
        <v>0.15</v>
      </c>
      <c r="R120" s="1246"/>
      <c r="S120" s="1246"/>
      <c r="T120" s="257"/>
      <c r="U120" s="257"/>
    </row>
    <row r="121" spans="1:21">
      <c r="A121" s="280"/>
      <c r="B121" s="1246"/>
      <c r="C121" s="1246"/>
      <c r="D121" s="257"/>
      <c r="E121" s="257"/>
      <c r="F121" s="1246"/>
      <c r="G121" s="1246"/>
      <c r="H121" s="1246"/>
      <c r="I121" s="1246"/>
      <c r="J121" s="257"/>
      <c r="K121" s="257"/>
      <c r="L121" s="1246"/>
      <c r="M121" s="1246"/>
      <c r="N121" s="1246"/>
      <c r="O121" s="1246"/>
      <c r="P121" s="1246"/>
      <c r="Q121" s="1246"/>
      <c r="R121" s="1246"/>
      <c r="S121" s="1246"/>
      <c r="T121" s="257"/>
      <c r="U121" s="257"/>
    </row>
    <row r="122" spans="1:21">
      <c r="A122" s="267" t="s">
        <v>2558</v>
      </c>
      <c r="B122" s="1246"/>
      <c r="C122" s="1246"/>
      <c r="D122" s="257"/>
      <c r="E122" s="257"/>
      <c r="F122" s="1246"/>
      <c r="G122" s="1246"/>
      <c r="H122" s="1246"/>
      <c r="I122" s="1246"/>
      <c r="J122" s="257"/>
      <c r="K122" s="257"/>
      <c r="L122" s="1246"/>
      <c r="M122" s="1246"/>
      <c r="N122" s="1246"/>
      <c r="O122" s="1246"/>
      <c r="P122" s="1246"/>
      <c r="Q122" s="1246"/>
      <c r="R122" s="1246"/>
      <c r="S122" s="1246"/>
      <c r="T122" s="257"/>
      <c r="U122" s="257"/>
    </row>
    <row r="123" spans="1:21">
      <c r="A123" s="268" t="s">
        <v>912</v>
      </c>
      <c r="B123" s="257"/>
      <c r="C123" s="269">
        <v>8724645</v>
      </c>
      <c r="D123" s="270">
        <v>0.05</v>
      </c>
      <c r="E123" s="257" t="s">
        <v>2560</v>
      </c>
      <c r="F123" s="257"/>
      <c r="G123" s="283">
        <v>395139.18</v>
      </c>
      <c r="H123" s="257"/>
      <c r="I123" s="269">
        <v>8724645</v>
      </c>
      <c r="J123" s="270">
        <v>0.05</v>
      </c>
      <c r="K123" s="257" t="s">
        <v>2560</v>
      </c>
      <c r="L123" s="257"/>
      <c r="M123" s="283">
        <v>454379.53</v>
      </c>
      <c r="N123" s="257"/>
      <c r="O123" s="271">
        <v>59240</v>
      </c>
      <c r="P123" s="257"/>
      <c r="Q123" s="272">
        <v>0.14990000000000001</v>
      </c>
      <c r="R123" s="1247"/>
      <c r="S123" s="1247"/>
      <c r="T123" s="257"/>
      <c r="U123" s="257"/>
    </row>
    <row r="124" spans="1:21" ht="15.75" thickBot="1">
      <c r="A124" s="286" t="s">
        <v>2627</v>
      </c>
      <c r="B124" s="287"/>
      <c r="C124" s="288">
        <v>1030</v>
      </c>
      <c r="D124" s="287"/>
      <c r="E124" s="287"/>
      <c r="F124" s="287"/>
      <c r="G124" s="289">
        <v>456939.18</v>
      </c>
      <c r="H124" s="287"/>
      <c r="I124" s="288">
        <v>1030</v>
      </c>
      <c r="J124" s="287"/>
      <c r="K124" s="287"/>
      <c r="L124" s="287"/>
      <c r="M124" s="289">
        <v>525449.53</v>
      </c>
      <c r="N124" s="287"/>
      <c r="O124" s="290">
        <v>68510</v>
      </c>
      <c r="P124" s="287"/>
      <c r="Q124" s="291">
        <v>0.14990000000000001</v>
      </c>
      <c r="R124" s="1294"/>
      <c r="S124" s="1294"/>
      <c r="T124" s="287"/>
      <c r="U124" s="287"/>
    </row>
    <row r="125" spans="1:21" ht="15.75" thickTop="1">
      <c r="A125" s="280"/>
      <c r="B125" s="1248"/>
      <c r="C125" s="1248"/>
      <c r="D125" s="257"/>
      <c r="E125" s="257"/>
      <c r="F125" s="1248"/>
      <c r="G125" s="1248"/>
      <c r="H125" s="1248"/>
      <c r="I125" s="1248"/>
      <c r="J125" s="257"/>
      <c r="K125" s="257"/>
      <c r="L125" s="1248"/>
      <c r="M125" s="1248"/>
      <c r="N125" s="1248"/>
      <c r="O125" s="1248"/>
      <c r="P125" s="1248"/>
      <c r="Q125" s="1248"/>
      <c r="R125" s="1248"/>
      <c r="S125" s="1248"/>
      <c r="T125" s="257"/>
      <c r="U125" s="257"/>
    </row>
    <row r="126" spans="1:21">
      <c r="A126" s="281" t="s">
        <v>2628</v>
      </c>
      <c r="B126" s="1246"/>
      <c r="C126" s="1246"/>
      <c r="D126" s="257"/>
      <c r="E126" s="257"/>
      <c r="F126" s="1246"/>
      <c r="G126" s="1246"/>
      <c r="H126" s="1246"/>
      <c r="I126" s="1246"/>
      <c r="J126" s="257"/>
      <c r="K126" s="257"/>
      <c r="L126" s="1246"/>
      <c r="M126" s="1246"/>
      <c r="N126" s="1246"/>
      <c r="O126" s="1246"/>
      <c r="P126" s="1246"/>
      <c r="Q126" s="1246"/>
      <c r="R126" s="1246"/>
      <c r="S126" s="1246"/>
      <c r="T126" s="257"/>
      <c r="U126" s="257"/>
    </row>
    <row r="127" spans="1:21">
      <c r="A127" s="280"/>
      <c r="B127" s="1246"/>
      <c r="C127" s="1246"/>
      <c r="D127" s="257"/>
      <c r="E127" s="257"/>
      <c r="F127" s="1246"/>
      <c r="G127" s="1246"/>
      <c r="H127" s="1246"/>
      <c r="I127" s="1246"/>
      <c r="J127" s="257"/>
      <c r="K127" s="257"/>
      <c r="L127" s="1246"/>
      <c r="M127" s="1246"/>
      <c r="N127" s="1246"/>
      <c r="O127" s="1246"/>
      <c r="P127" s="1246"/>
      <c r="Q127" s="1246"/>
      <c r="R127" s="1246"/>
      <c r="S127" s="1246"/>
      <c r="T127" s="257"/>
      <c r="U127" s="257"/>
    </row>
    <row r="128" spans="1:21">
      <c r="A128" s="267" t="s">
        <v>2615</v>
      </c>
      <c r="B128" s="257"/>
      <c r="C128" s="257">
        <v>1</v>
      </c>
      <c r="D128" s="270">
        <v>1.51</v>
      </c>
      <c r="E128" s="257" t="s">
        <v>2629</v>
      </c>
      <c r="F128" s="257"/>
      <c r="G128" s="283">
        <v>18.12</v>
      </c>
      <c r="H128" s="257"/>
      <c r="I128" s="257">
        <v>1</v>
      </c>
      <c r="J128" s="270">
        <v>1.74</v>
      </c>
      <c r="K128" s="257" t="s">
        <v>2629</v>
      </c>
      <c r="L128" s="257"/>
      <c r="M128" s="283">
        <v>20.88</v>
      </c>
      <c r="N128" s="257"/>
      <c r="O128" s="271">
        <v>3</v>
      </c>
      <c r="P128" s="257"/>
      <c r="Q128" s="272">
        <v>0.15229999999999999</v>
      </c>
      <c r="R128" s="1247"/>
      <c r="S128" s="1247"/>
      <c r="T128" s="257"/>
      <c r="U128" s="257"/>
    </row>
    <row r="129" spans="1:21" ht="15.75" thickBot="1">
      <c r="A129" s="286" t="s">
        <v>2630</v>
      </c>
      <c r="B129" s="287"/>
      <c r="C129" s="287">
        <v>1</v>
      </c>
      <c r="D129" s="287"/>
      <c r="E129" s="287"/>
      <c r="F129" s="287"/>
      <c r="G129" s="289">
        <v>18.12</v>
      </c>
      <c r="H129" s="287"/>
      <c r="I129" s="287">
        <v>1</v>
      </c>
      <c r="J129" s="287"/>
      <c r="K129" s="287"/>
      <c r="L129" s="287"/>
      <c r="M129" s="290">
        <v>21</v>
      </c>
      <c r="N129" s="287"/>
      <c r="O129" s="290">
        <v>3</v>
      </c>
      <c r="P129" s="287"/>
      <c r="Q129" s="291">
        <v>0.15229999999999999</v>
      </c>
      <c r="R129" s="1294"/>
      <c r="S129" s="1294"/>
      <c r="T129" s="287"/>
      <c r="U129" s="287"/>
    </row>
    <row r="130" spans="1:21" ht="15.75" thickTop="1">
      <c r="A130" s="280"/>
      <c r="B130" s="1248"/>
      <c r="C130" s="1248"/>
      <c r="D130" s="257"/>
      <c r="E130" s="257"/>
      <c r="F130" s="1248"/>
      <c r="G130" s="1248"/>
      <c r="H130" s="1248"/>
      <c r="I130" s="1248"/>
      <c r="J130" s="257"/>
      <c r="K130" s="257"/>
      <c r="L130" s="1248"/>
      <c r="M130" s="1248"/>
      <c r="N130" s="1248"/>
      <c r="O130" s="1248"/>
      <c r="P130" s="1248"/>
      <c r="Q130" s="1248"/>
      <c r="R130" s="1248"/>
      <c r="S130" s="1248"/>
      <c r="T130" s="257"/>
      <c r="U130" s="257"/>
    </row>
    <row r="131" spans="1:21">
      <c r="A131" s="281" t="s">
        <v>2631</v>
      </c>
      <c r="B131" s="1246"/>
      <c r="C131" s="1246"/>
      <c r="D131" s="257"/>
      <c r="E131" s="257"/>
      <c r="F131" s="1246"/>
      <c r="G131" s="1246"/>
      <c r="H131" s="1246"/>
      <c r="I131" s="1246"/>
      <c r="J131" s="257"/>
      <c r="K131" s="257"/>
      <c r="L131" s="1246"/>
      <c r="M131" s="1246"/>
      <c r="N131" s="1246"/>
      <c r="O131" s="1246"/>
      <c r="P131" s="1246"/>
      <c r="Q131" s="1246"/>
      <c r="R131" s="1246"/>
      <c r="S131" s="1246"/>
      <c r="T131" s="257"/>
      <c r="U131" s="257"/>
    </row>
    <row r="132" spans="1:21">
      <c r="A132" s="280"/>
      <c r="B132" s="1246"/>
      <c r="C132" s="1246"/>
      <c r="D132" s="257"/>
      <c r="E132" s="257"/>
      <c r="F132" s="1246"/>
      <c r="G132" s="1246"/>
      <c r="H132" s="1246"/>
      <c r="I132" s="1246"/>
      <c r="J132" s="257"/>
      <c r="K132" s="257"/>
      <c r="L132" s="1246"/>
      <c r="M132" s="1246"/>
      <c r="N132" s="1246"/>
      <c r="O132" s="1246"/>
      <c r="P132" s="1246"/>
      <c r="Q132" s="1246"/>
      <c r="R132" s="1246"/>
      <c r="S132" s="1246"/>
      <c r="T132" s="257"/>
      <c r="U132" s="257"/>
    </row>
    <row r="133" spans="1:21">
      <c r="A133" s="267" t="s">
        <v>2615</v>
      </c>
      <c r="B133" s="257"/>
      <c r="C133" s="257">
        <v>26</v>
      </c>
      <c r="D133" s="270">
        <v>7.51</v>
      </c>
      <c r="E133" s="257" t="s">
        <v>2632</v>
      </c>
      <c r="F133" s="257"/>
      <c r="G133" s="283">
        <v>2343.12</v>
      </c>
      <c r="H133" s="257"/>
      <c r="I133" s="257">
        <v>26</v>
      </c>
      <c r="J133" s="270">
        <v>8.64</v>
      </c>
      <c r="K133" s="257" t="s">
        <v>2632</v>
      </c>
      <c r="L133" s="257"/>
      <c r="M133" s="283">
        <v>2695.68</v>
      </c>
      <c r="N133" s="257"/>
      <c r="O133" s="271">
        <v>353</v>
      </c>
      <c r="P133" s="257"/>
      <c r="Q133" s="272">
        <v>0.15049999999999999</v>
      </c>
      <c r="R133" s="1247"/>
      <c r="S133" s="1247"/>
      <c r="T133" s="257"/>
      <c r="U133" s="257"/>
    </row>
    <row r="134" spans="1:21" ht="15.75" thickBot="1">
      <c r="A134" s="286" t="s">
        <v>2633</v>
      </c>
      <c r="B134" s="287"/>
      <c r="C134" s="287">
        <v>26</v>
      </c>
      <c r="D134" s="287"/>
      <c r="E134" s="287"/>
      <c r="F134" s="287"/>
      <c r="G134" s="289">
        <v>2343.12</v>
      </c>
      <c r="H134" s="287"/>
      <c r="I134" s="287">
        <v>26</v>
      </c>
      <c r="J134" s="287"/>
      <c r="K134" s="287"/>
      <c r="L134" s="287"/>
      <c r="M134" s="289">
        <v>2695.68</v>
      </c>
      <c r="N134" s="287"/>
      <c r="O134" s="290">
        <v>353</v>
      </c>
      <c r="P134" s="287"/>
      <c r="Q134" s="291">
        <v>0.15049999999999999</v>
      </c>
      <c r="R134" s="1294"/>
      <c r="S134" s="1294"/>
      <c r="T134" s="287"/>
      <c r="U134" s="287"/>
    </row>
    <row r="135" spans="1:21" ht="15.75" thickTop="1">
      <c r="A135" s="280"/>
      <c r="B135" s="1248"/>
      <c r="C135" s="1248"/>
      <c r="D135" s="257"/>
      <c r="E135" s="257"/>
      <c r="F135" s="1248"/>
      <c r="G135" s="1248"/>
      <c r="H135" s="1248"/>
      <c r="I135" s="1248"/>
      <c r="J135" s="257"/>
      <c r="K135" s="257"/>
      <c r="L135" s="1248"/>
      <c r="M135" s="1248"/>
      <c r="N135" s="1248"/>
      <c r="O135" s="1248"/>
      <c r="P135" s="1248"/>
      <c r="Q135" s="1248"/>
      <c r="R135" s="1248"/>
      <c r="S135" s="1248"/>
      <c r="T135" s="257"/>
      <c r="U135" s="257"/>
    </row>
    <row r="136" spans="1:21">
      <c r="A136" s="281" t="s">
        <v>2634</v>
      </c>
      <c r="B136" s="1246"/>
      <c r="C136" s="1246"/>
      <c r="D136" s="257"/>
      <c r="E136" s="257"/>
      <c r="F136" s="1246"/>
      <c r="G136" s="1246"/>
      <c r="H136" s="1246"/>
      <c r="I136" s="1246"/>
      <c r="J136" s="257"/>
      <c r="K136" s="257"/>
      <c r="L136" s="1246"/>
      <c r="M136" s="1246"/>
      <c r="N136" s="1246"/>
      <c r="O136" s="1246"/>
      <c r="P136" s="1246"/>
      <c r="Q136" s="1246"/>
      <c r="R136" s="1246"/>
      <c r="S136" s="1246"/>
      <c r="T136" s="257"/>
      <c r="U136" s="257"/>
    </row>
    <row r="137" spans="1:21">
      <c r="A137" s="282"/>
      <c r="B137" s="1246"/>
      <c r="C137" s="1246"/>
      <c r="D137" s="257"/>
      <c r="E137" s="257"/>
      <c r="F137" s="1246"/>
      <c r="G137" s="1246"/>
      <c r="H137" s="1246"/>
      <c r="I137" s="1246"/>
      <c r="J137" s="257"/>
      <c r="K137" s="257"/>
      <c r="L137" s="1246"/>
      <c r="M137" s="1246"/>
      <c r="N137" s="1246"/>
      <c r="O137" s="1246"/>
      <c r="P137" s="1246"/>
      <c r="Q137" s="1246"/>
      <c r="R137" s="1246"/>
      <c r="S137" s="1246"/>
      <c r="T137" s="257"/>
      <c r="U137" s="257"/>
    </row>
    <row r="138" spans="1:21">
      <c r="A138" s="267" t="s">
        <v>2615</v>
      </c>
      <c r="B138" s="257"/>
      <c r="C138" s="257">
        <v>37</v>
      </c>
      <c r="D138" s="270">
        <v>2</v>
      </c>
      <c r="E138" s="257" t="s">
        <v>2635</v>
      </c>
      <c r="F138" s="257"/>
      <c r="G138" s="283">
        <v>888</v>
      </c>
      <c r="H138" s="257"/>
      <c r="I138" s="257">
        <v>37</v>
      </c>
      <c r="J138" s="270">
        <v>2.2999999999999998</v>
      </c>
      <c r="K138" s="257" t="s">
        <v>2635</v>
      </c>
      <c r="L138" s="257"/>
      <c r="M138" s="283">
        <v>1021.2</v>
      </c>
      <c r="N138" s="257"/>
      <c r="O138" s="271">
        <v>133</v>
      </c>
      <c r="P138" s="257"/>
      <c r="Q138" s="272">
        <v>0.15</v>
      </c>
      <c r="R138" s="1247"/>
      <c r="S138" s="1247"/>
      <c r="T138" s="257"/>
      <c r="U138" s="257"/>
    </row>
    <row r="139" spans="1:21" ht="15.75" thickBot="1">
      <c r="A139" s="286" t="s">
        <v>2636</v>
      </c>
      <c r="B139" s="287"/>
      <c r="C139" s="287">
        <v>37</v>
      </c>
      <c r="D139" s="287"/>
      <c r="E139" s="287"/>
      <c r="F139" s="287"/>
      <c r="G139" s="289">
        <v>888</v>
      </c>
      <c r="H139" s="287"/>
      <c r="I139" s="287">
        <v>37</v>
      </c>
      <c r="J139" s="287"/>
      <c r="K139" s="287"/>
      <c r="L139" s="287"/>
      <c r="M139" s="289">
        <v>1021.2</v>
      </c>
      <c r="N139" s="287"/>
      <c r="O139" s="290">
        <v>133</v>
      </c>
      <c r="P139" s="287"/>
      <c r="Q139" s="291">
        <v>0.15</v>
      </c>
      <c r="R139" s="1294"/>
      <c r="S139" s="1294"/>
      <c r="T139" s="287"/>
      <c r="U139" s="287"/>
    </row>
    <row r="140" spans="1:21" ht="16.5" thickTop="1" thickBot="1">
      <c r="A140" s="280"/>
      <c r="B140" s="1293"/>
      <c r="C140" s="1293"/>
      <c r="D140" s="257"/>
      <c r="E140" s="257"/>
      <c r="F140" s="1293"/>
      <c r="G140" s="1293"/>
      <c r="H140" s="1293"/>
      <c r="I140" s="1293"/>
      <c r="J140" s="257"/>
      <c r="K140" s="257"/>
      <c r="L140" s="1293"/>
      <c r="M140" s="1293"/>
      <c r="N140" s="1293"/>
      <c r="O140" s="1293"/>
      <c r="P140" s="1293"/>
      <c r="Q140" s="1293"/>
      <c r="R140" s="1293"/>
      <c r="S140" s="1293"/>
      <c r="T140" s="257"/>
      <c r="U140" s="257"/>
    </row>
    <row r="141" spans="1:21" ht="16.5" thickTop="1" thickBot="1">
      <c r="A141" s="293"/>
      <c r="B141" s="1293"/>
      <c r="C141" s="1293"/>
      <c r="D141" s="293"/>
      <c r="E141" s="293"/>
      <c r="F141" s="1293"/>
      <c r="G141" s="1293"/>
      <c r="H141" s="1293"/>
      <c r="I141" s="1293"/>
      <c r="J141" s="293"/>
      <c r="K141" s="293"/>
      <c r="L141" s="1293"/>
      <c r="M141" s="1293"/>
      <c r="N141" s="1293"/>
      <c r="O141" s="1293"/>
      <c r="P141" s="1293"/>
      <c r="Q141" s="1293"/>
      <c r="R141" s="1293"/>
      <c r="S141" s="1293"/>
      <c r="T141" s="257"/>
      <c r="U141" s="257"/>
    </row>
    <row r="142" spans="1:21" ht="16.5" thickTop="1" thickBot="1">
      <c r="A142" s="278" t="s">
        <v>2637</v>
      </c>
      <c r="B142" s="274"/>
      <c r="C142" s="294" t="s">
        <v>2638</v>
      </c>
      <c r="D142" s="274"/>
      <c r="E142" s="274"/>
      <c r="F142" s="274"/>
      <c r="G142" s="276">
        <v>61720860</v>
      </c>
      <c r="H142" s="1293"/>
      <c r="I142" s="1293"/>
      <c r="J142" s="274"/>
      <c r="K142" s="274"/>
      <c r="L142" s="274"/>
      <c r="M142" s="276">
        <v>61836959</v>
      </c>
      <c r="N142" s="293"/>
      <c r="O142" s="295">
        <v>116099</v>
      </c>
      <c r="P142" s="293"/>
      <c r="Q142" s="294" t="s">
        <v>2638</v>
      </c>
      <c r="R142" s="1293"/>
      <c r="S142" s="1293"/>
      <c r="T142" s="257"/>
      <c r="U142" s="257"/>
    </row>
    <row r="143" spans="1:21" ht="15.75" thickTop="1">
      <c r="A143" s="257"/>
      <c r="B143" s="1248"/>
      <c r="C143" s="1248"/>
      <c r="D143" s="257"/>
      <c r="E143" s="257"/>
      <c r="F143" s="1248"/>
      <c r="G143" s="1248"/>
      <c r="H143" s="1248"/>
      <c r="I143" s="1248"/>
      <c r="J143" s="257"/>
      <c r="K143" s="257"/>
      <c r="L143" s="1248"/>
      <c r="M143" s="1248"/>
      <c r="N143" s="1248"/>
      <c r="O143" s="1248"/>
      <c r="P143" s="1248"/>
      <c r="Q143" s="1248"/>
      <c r="R143" s="1248"/>
      <c r="S143" s="1248"/>
      <c r="T143" s="257"/>
      <c r="U143" s="257"/>
    </row>
    <row r="144" spans="1:21">
      <c r="A144" s="257" t="s">
        <v>2639</v>
      </c>
      <c r="B144" s="257"/>
      <c r="C144" s="271">
        <v>3155301</v>
      </c>
      <c r="D144" s="257"/>
      <c r="E144" s="257"/>
      <c r="F144" s="257"/>
      <c r="G144" s="271">
        <v>62029417</v>
      </c>
      <c r="H144" s="1246"/>
      <c r="I144" s="1246"/>
      <c r="J144" s="257"/>
      <c r="K144" s="257"/>
      <c r="L144" s="257"/>
      <c r="M144" s="271">
        <v>62152489</v>
      </c>
      <c r="N144" s="1246"/>
      <c r="O144" s="1246"/>
      <c r="P144" s="1246"/>
      <c r="Q144" s="1246"/>
      <c r="R144" s="1246"/>
      <c r="S144" s="1246"/>
      <c r="T144" s="257"/>
      <c r="U144" s="257"/>
    </row>
    <row r="145" spans="1:21">
      <c r="A145" s="257"/>
      <c r="B145" s="1246"/>
      <c r="C145" s="1246"/>
      <c r="D145" s="257"/>
      <c r="E145" s="257"/>
      <c r="F145" s="1246"/>
      <c r="G145" s="1246"/>
      <c r="H145" s="1246"/>
      <c r="I145" s="1246"/>
      <c r="J145" s="257"/>
      <c r="K145" s="257"/>
      <c r="L145" s="1246"/>
      <c r="M145" s="1246"/>
      <c r="N145" s="1246"/>
      <c r="O145" s="1246"/>
      <c r="P145" s="1246"/>
      <c r="Q145" s="1246"/>
      <c r="R145" s="1246"/>
      <c r="S145" s="1246"/>
      <c r="T145" s="257"/>
      <c r="U145" s="257"/>
    </row>
    <row r="146" spans="1:21">
      <c r="A146" s="257"/>
      <c r="B146" s="257"/>
      <c r="C146" s="271">
        <v>8411285</v>
      </c>
      <c r="D146" s="257" t="s">
        <v>2640</v>
      </c>
      <c r="E146" s="257"/>
      <c r="F146" s="1246"/>
      <c r="G146" s="1246"/>
      <c r="H146" s="1246"/>
      <c r="I146" s="1246"/>
      <c r="J146" s="257"/>
      <c r="K146" s="257"/>
      <c r="L146" s="1246"/>
      <c r="M146" s="1246"/>
      <c r="N146" s="1246"/>
      <c r="O146" s="1246"/>
      <c r="P146" s="1246"/>
      <c r="Q146" s="1246"/>
      <c r="R146" s="1246"/>
      <c r="S146" s="1246"/>
      <c r="T146" s="257"/>
      <c r="U146" s="257"/>
    </row>
    <row r="147" spans="1:21">
      <c r="A147" s="257"/>
      <c r="B147" s="1246"/>
      <c r="C147" s="1246"/>
      <c r="D147" s="257"/>
      <c r="E147" s="257"/>
      <c r="F147" s="1246"/>
      <c r="G147" s="1246"/>
      <c r="H147" s="1246"/>
      <c r="I147" s="1246"/>
      <c r="J147" s="257"/>
      <c r="K147" s="257"/>
      <c r="L147" s="1246"/>
      <c r="M147" s="1246"/>
      <c r="N147" s="1246"/>
      <c r="O147" s="1246"/>
      <c r="P147" s="1246"/>
      <c r="Q147" s="1246"/>
      <c r="R147" s="1246"/>
      <c r="S147" s="1246"/>
      <c r="T147" s="257"/>
      <c r="U147" s="257"/>
    </row>
    <row r="148" spans="1:21">
      <c r="A148" s="257"/>
      <c r="B148" s="257"/>
      <c r="C148" s="269">
        <v>14130875883</v>
      </c>
      <c r="D148" s="257"/>
      <c r="E148" s="257"/>
      <c r="F148" s="1246"/>
      <c r="G148" s="1246"/>
      <c r="H148" s="1246"/>
      <c r="I148" s="1246"/>
      <c r="J148" s="257"/>
      <c r="K148" s="257"/>
      <c r="L148" s="1246"/>
      <c r="M148" s="1246"/>
      <c r="N148" s="1246"/>
      <c r="O148" s="1246"/>
      <c r="P148" s="1246"/>
      <c r="Q148" s="1246"/>
      <c r="R148" s="1246"/>
      <c r="S148" s="1246"/>
      <c r="T148" s="257"/>
      <c r="U148" s="257"/>
    </row>
  </sheetData>
  <mergeCells count="589">
    <mergeCell ref="R1:S1"/>
    <mergeCell ref="B2:C2"/>
    <mergeCell ref="F2:G2"/>
    <mergeCell ref="H2:I2"/>
    <mergeCell ref="L2:M2"/>
    <mergeCell ref="N2:O2"/>
    <mergeCell ref="P2:Q2"/>
    <mergeCell ref="R2:S2"/>
    <mergeCell ref="B1:C1"/>
    <mergeCell ref="F1:G1"/>
    <mergeCell ref="H1:I1"/>
    <mergeCell ref="L1:M1"/>
    <mergeCell ref="N1:O1"/>
    <mergeCell ref="P1:Q1"/>
    <mergeCell ref="R5:S5"/>
    <mergeCell ref="R6:S6"/>
    <mergeCell ref="R7:S7"/>
    <mergeCell ref="R8:S8"/>
    <mergeCell ref="R9:S9"/>
    <mergeCell ref="R10:S10"/>
    <mergeCell ref="R3:S3"/>
    <mergeCell ref="B4:C4"/>
    <mergeCell ref="F4:G4"/>
    <mergeCell ref="H4:I4"/>
    <mergeCell ref="L4:M4"/>
    <mergeCell ref="N4:O4"/>
    <mergeCell ref="P4:Q4"/>
    <mergeCell ref="R4:S4"/>
    <mergeCell ref="B3:C3"/>
    <mergeCell ref="F3:G3"/>
    <mergeCell ref="H3:I3"/>
    <mergeCell ref="L3:M3"/>
    <mergeCell ref="N3:O3"/>
    <mergeCell ref="P3:Q3"/>
    <mergeCell ref="R11:S11"/>
    <mergeCell ref="F12:G12"/>
    <mergeCell ref="L12:M12"/>
    <mergeCell ref="O12:Q12"/>
    <mergeCell ref="R12:S12"/>
    <mergeCell ref="O13:Q13"/>
    <mergeCell ref="R13:S13"/>
    <mergeCell ref="B11:C11"/>
    <mergeCell ref="F11:G11"/>
    <mergeCell ref="H11:I11"/>
    <mergeCell ref="L11:M11"/>
    <mergeCell ref="N11:O11"/>
    <mergeCell ref="P11:Q11"/>
    <mergeCell ref="R14:S14"/>
    <mergeCell ref="R15:S15"/>
    <mergeCell ref="B16:C16"/>
    <mergeCell ref="F16:G16"/>
    <mergeCell ref="H16:I16"/>
    <mergeCell ref="L16:M16"/>
    <mergeCell ref="N16:O16"/>
    <mergeCell ref="P16:Q16"/>
    <mergeCell ref="R16:S16"/>
    <mergeCell ref="R17:S17"/>
    <mergeCell ref="B18:C18"/>
    <mergeCell ref="F18:G18"/>
    <mergeCell ref="H18:I18"/>
    <mergeCell ref="L18:M18"/>
    <mergeCell ref="N18:O18"/>
    <mergeCell ref="P18:Q18"/>
    <mergeCell ref="R18:S18"/>
    <mergeCell ref="B17:C17"/>
    <mergeCell ref="F17:G17"/>
    <mergeCell ref="H17:I17"/>
    <mergeCell ref="L17:M17"/>
    <mergeCell ref="N17:O17"/>
    <mergeCell ref="P17:Q17"/>
    <mergeCell ref="R19:S19"/>
    <mergeCell ref="R20:S20"/>
    <mergeCell ref="R21:S21"/>
    <mergeCell ref="B22:C22"/>
    <mergeCell ref="F22:G22"/>
    <mergeCell ref="H22:I22"/>
    <mergeCell ref="L22:M22"/>
    <mergeCell ref="N22:O22"/>
    <mergeCell ref="P22:Q22"/>
    <mergeCell ref="R22:S22"/>
    <mergeCell ref="R23:S23"/>
    <mergeCell ref="B24:C24"/>
    <mergeCell ref="F24:G24"/>
    <mergeCell ref="H24:I24"/>
    <mergeCell ref="L24:M24"/>
    <mergeCell ref="N24:O24"/>
    <mergeCell ref="P24:Q24"/>
    <mergeCell ref="R24:S24"/>
    <mergeCell ref="B23:C23"/>
    <mergeCell ref="F23:G23"/>
    <mergeCell ref="H23:I23"/>
    <mergeCell ref="L23:M23"/>
    <mergeCell ref="N23:O23"/>
    <mergeCell ref="P23:Q23"/>
    <mergeCell ref="R25:S25"/>
    <mergeCell ref="B26:C26"/>
    <mergeCell ref="F26:G26"/>
    <mergeCell ref="H26:I26"/>
    <mergeCell ref="L26:M26"/>
    <mergeCell ref="N26:O26"/>
    <mergeCell ref="P26:Q26"/>
    <mergeCell ref="R26:S26"/>
    <mergeCell ref="B25:C25"/>
    <mergeCell ref="F25:G25"/>
    <mergeCell ref="H25:I25"/>
    <mergeCell ref="L25:M25"/>
    <mergeCell ref="N25:O25"/>
    <mergeCell ref="P25:Q25"/>
    <mergeCell ref="R27:S27"/>
    <mergeCell ref="B28:C28"/>
    <mergeCell ref="F28:G28"/>
    <mergeCell ref="H28:I28"/>
    <mergeCell ref="L28:M28"/>
    <mergeCell ref="N28:O28"/>
    <mergeCell ref="P28:Q28"/>
    <mergeCell ref="R28:S28"/>
    <mergeCell ref="B27:C27"/>
    <mergeCell ref="F27:G27"/>
    <mergeCell ref="H27:I27"/>
    <mergeCell ref="L27:M27"/>
    <mergeCell ref="N27:O27"/>
    <mergeCell ref="P27:Q27"/>
    <mergeCell ref="R29:S29"/>
    <mergeCell ref="R30:S30"/>
    <mergeCell ref="R31:S31"/>
    <mergeCell ref="R32:S32"/>
    <mergeCell ref="R33:S33"/>
    <mergeCell ref="R34:S34"/>
    <mergeCell ref="B29:C29"/>
    <mergeCell ref="F29:G29"/>
    <mergeCell ref="H29:I29"/>
    <mergeCell ref="L29:M29"/>
    <mergeCell ref="N29:O29"/>
    <mergeCell ref="P29:Q29"/>
    <mergeCell ref="R35:S35"/>
    <mergeCell ref="R36:S36"/>
    <mergeCell ref="B37:C37"/>
    <mergeCell ref="F37:G37"/>
    <mergeCell ref="H37:I37"/>
    <mergeCell ref="L37:M37"/>
    <mergeCell ref="N37:O37"/>
    <mergeCell ref="P37:Q37"/>
    <mergeCell ref="R37:S37"/>
    <mergeCell ref="R40:S40"/>
    <mergeCell ref="R41:S41"/>
    <mergeCell ref="R42:S42"/>
    <mergeCell ref="R43:S43"/>
    <mergeCell ref="R44:S44"/>
    <mergeCell ref="R45:S45"/>
    <mergeCell ref="R38:S38"/>
    <mergeCell ref="B39:C39"/>
    <mergeCell ref="F39:G39"/>
    <mergeCell ref="H39:I39"/>
    <mergeCell ref="L39:M39"/>
    <mergeCell ref="N39:O39"/>
    <mergeCell ref="P39:Q39"/>
    <mergeCell ref="R39:S39"/>
    <mergeCell ref="B38:C38"/>
    <mergeCell ref="F38:G38"/>
    <mergeCell ref="H38:I38"/>
    <mergeCell ref="L38:M38"/>
    <mergeCell ref="N38:O38"/>
    <mergeCell ref="P38:Q38"/>
    <mergeCell ref="R46:S46"/>
    <mergeCell ref="B47:C47"/>
    <mergeCell ref="F47:G47"/>
    <mergeCell ref="H47:I47"/>
    <mergeCell ref="L47:M47"/>
    <mergeCell ref="N47:O47"/>
    <mergeCell ref="P47:Q47"/>
    <mergeCell ref="R47:S47"/>
    <mergeCell ref="B46:C46"/>
    <mergeCell ref="F46:G46"/>
    <mergeCell ref="H46:I46"/>
    <mergeCell ref="L46:M46"/>
    <mergeCell ref="N46:O46"/>
    <mergeCell ref="P46:Q46"/>
    <mergeCell ref="R48:S48"/>
    <mergeCell ref="R49:S49"/>
    <mergeCell ref="R50:S50"/>
    <mergeCell ref="R51:S51"/>
    <mergeCell ref="B52:C52"/>
    <mergeCell ref="H52:I52"/>
    <mergeCell ref="R52:S52"/>
    <mergeCell ref="B48:C48"/>
    <mergeCell ref="F48:G48"/>
    <mergeCell ref="H48:I48"/>
    <mergeCell ref="L48:M48"/>
    <mergeCell ref="N48:O48"/>
    <mergeCell ref="P48:Q48"/>
    <mergeCell ref="B53:C53"/>
    <mergeCell ref="H53:I53"/>
    <mergeCell ref="R53:S53"/>
    <mergeCell ref="B54:C54"/>
    <mergeCell ref="F54:G54"/>
    <mergeCell ref="H54:I54"/>
    <mergeCell ref="L54:M54"/>
    <mergeCell ref="N54:O54"/>
    <mergeCell ref="P54:Q54"/>
    <mergeCell ref="R54:S54"/>
    <mergeCell ref="R55:S55"/>
    <mergeCell ref="B56:C56"/>
    <mergeCell ref="F56:G56"/>
    <mergeCell ref="H56:I56"/>
    <mergeCell ref="L56:M56"/>
    <mergeCell ref="N56:O56"/>
    <mergeCell ref="P56:Q56"/>
    <mergeCell ref="R56:S56"/>
    <mergeCell ref="B55:C55"/>
    <mergeCell ref="F55:G55"/>
    <mergeCell ref="H55:I55"/>
    <mergeCell ref="L55:M55"/>
    <mergeCell ref="N55:O55"/>
    <mergeCell ref="P55:Q55"/>
    <mergeCell ref="R57:S57"/>
    <mergeCell ref="R58:S58"/>
    <mergeCell ref="R59:S59"/>
    <mergeCell ref="R60:S60"/>
    <mergeCell ref="R61:S61"/>
    <mergeCell ref="B62:C62"/>
    <mergeCell ref="F62:G62"/>
    <mergeCell ref="H62:I62"/>
    <mergeCell ref="L62:M62"/>
    <mergeCell ref="N62:O62"/>
    <mergeCell ref="P62:Q62"/>
    <mergeCell ref="R62:S62"/>
    <mergeCell ref="B63:C63"/>
    <mergeCell ref="F63:G63"/>
    <mergeCell ref="H63:I63"/>
    <mergeCell ref="L63:M63"/>
    <mergeCell ref="N63:O63"/>
    <mergeCell ref="P63:Q63"/>
    <mergeCell ref="R63:S63"/>
    <mergeCell ref="R64:S64"/>
    <mergeCell ref="R65:S65"/>
    <mergeCell ref="R66:S66"/>
    <mergeCell ref="R67:S67"/>
    <mergeCell ref="R68:S68"/>
    <mergeCell ref="B69:C69"/>
    <mergeCell ref="F69:G69"/>
    <mergeCell ref="H69:I69"/>
    <mergeCell ref="L69:M69"/>
    <mergeCell ref="N69:O69"/>
    <mergeCell ref="P69:Q69"/>
    <mergeCell ref="R69:S69"/>
    <mergeCell ref="B70:C70"/>
    <mergeCell ref="F70:G70"/>
    <mergeCell ref="H70:I70"/>
    <mergeCell ref="L70:M70"/>
    <mergeCell ref="N70:O70"/>
    <mergeCell ref="P70:Q70"/>
    <mergeCell ref="R70:S70"/>
    <mergeCell ref="R71:S71"/>
    <mergeCell ref="R72:S72"/>
    <mergeCell ref="B73:C73"/>
    <mergeCell ref="F73:G73"/>
    <mergeCell ref="H73:I73"/>
    <mergeCell ref="L73:M73"/>
    <mergeCell ref="N73:O73"/>
    <mergeCell ref="P73:Q73"/>
    <mergeCell ref="R73:S73"/>
    <mergeCell ref="B71:C71"/>
    <mergeCell ref="F71:G71"/>
    <mergeCell ref="H71:I71"/>
    <mergeCell ref="L71:M71"/>
    <mergeCell ref="N71:O71"/>
    <mergeCell ref="P71:Q71"/>
    <mergeCell ref="R74:S74"/>
    <mergeCell ref="R75:S75"/>
    <mergeCell ref="B76:C76"/>
    <mergeCell ref="F76:G76"/>
    <mergeCell ref="H76:I76"/>
    <mergeCell ref="L76:M76"/>
    <mergeCell ref="N76:O76"/>
    <mergeCell ref="P76:Q76"/>
    <mergeCell ref="R76:S76"/>
    <mergeCell ref="B74:C74"/>
    <mergeCell ref="F74:G74"/>
    <mergeCell ref="H74:I74"/>
    <mergeCell ref="L74:M74"/>
    <mergeCell ref="N74:O74"/>
    <mergeCell ref="P74:Q74"/>
    <mergeCell ref="R77:S77"/>
    <mergeCell ref="R78:S78"/>
    <mergeCell ref="R79:S79"/>
    <mergeCell ref="R80:S80"/>
    <mergeCell ref="R81:S81"/>
    <mergeCell ref="R82:S82"/>
    <mergeCell ref="B77:C77"/>
    <mergeCell ref="F77:G77"/>
    <mergeCell ref="H77:I77"/>
    <mergeCell ref="L77:M77"/>
    <mergeCell ref="N77:O77"/>
    <mergeCell ref="P77:Q77"/>
    <mergeCell ref="R87:S87"/>
    <mergeCell ref="B88:C88"/>
    <mergeCell ref="F88:G88"/>
    <mergeCell ref="H88:I88"/>
    <mergeCell ref="L88:M88"/>
    <mergeCell ref="N88:O88"/>
    <mergeCell ref="P88:Q88"/>
    <mergeCell ref="R88:S88"/>
    <mergeCell ref="R83:S83"/>
    <mergeCell ref="R84:S84"/>
    <mergeCell ref="R85:S85"/>
    <mergeCell ref="R86:S86"/>
    <mergeCell ref="B87:C87"/>
    <mergeCell ref="F87:G87"/>
    <mergeCell ref="H87:I87"/>
    <mergeCell ref="L87:M87"/>
    <mergeCell ref="N87:O87"/>
    <mergeCell ref="P87:Q87"/>
    <mergeCell ref="R89:S89"/>
    <mergeCell ref="B90:C90"/>
    <mergeCell ref="F90:G90"/>
    <mergeCell ref="H90:I90"/>
    <mergeCell ref="L90:M90"/>
    <mergeCell ref="N90:O90"/>
    <mergeCell ref="P90:Q90"/>
    <mergeCell ref="R90:S90"/>
    <mergeCell ref="B89:C89"/>
    <mergeCell ref="F89:G89"/>
    <mergeCell ref="H89:I89"/>
    <mergeCell ref="L89:M89"/>
    <mergeCell ref="N89:O89"/>
    <mergeCell ref="P89:Q89"/>
    <mergeCell ref="R91:S91"/>
    <mergeCell ref="R92:S92"/>
    <mergeCell ref="R93:S93"/>
    <mergeCell ref="R94:S94"/>
    <mergeCell ref="R95:S95"/>
    <mergeCell ref="R96:S96"/>
    <mergeCell ref="B91:C91"/>
    <mergeCell ref="F91:G91"/>
    <mergeCell ref="H91:I91"/>
    <mergeCell ref="L91:M91"/>
    <mergeCell ref="N91:O91"/>
    <mergeCell ref="P91:Q91"/>
    <mergeCell ref="B99:C99"/>
    <mergeCell ref="H99:I99"/>
    <mergeCell ref="L99:M99"/>
    <mergeCell ref="N99:O99"/>
    <mergeCell ref="P99:Q99"/>
    <mergeCell ref="R99:S99"/>
    <mergeCell ref="R97:S97"/>
    <mergeCell ref="B98:C98"/>
    <mergeCell ref="F98:G98"/>
    <mergeCell ref="H98:I98"/>
    <mergeCell ref="L98:M98"/>
    <mergeCell ref="N98:O98"/>
    <mergeCell ref="P98:Q98"/>
    <mergeCell ref="R98:S98"/>
    <mergeCell ref="R100:S100"/>
    <mergeCell ref="R101:S101"/>
    <mergeCell ref="R102:S102"/>
    <mergeCell ref="B103:C103"/>
    <mergeCell ref="F103:G103"/>
    <mergeCell ref="H103:I103"/>
    <mergeCell ref="L103:M103"/>
    <mergeCell ref="N103:O103"/>
    <mergeCell ref="P103:Q103"/>
    <mergeCell ref="R103:S103"/>
    <mergeCell ref="B100:C100"/>
    <mergeCell ref="F100:G100"/>
    <mergeCell ref="H100:I100"/>
    <mergeCell ref="L100:M100"/>
    <mergeCell ref="N100:O100"/>
    <mergeCell ref="P100:Q100"/>
    <mergeCell ref="R106:S106"/>
    <mergeCell ref="B107:C107"/>
    <mergeCell ref="F107:G107"/>
    <mergeCell ref="H107:I107"/>
    <mergeCell ref="L107:M107"/>
    <mergeCell ref="N107:O107"/>
    <mergeCell ref="P107:Q107"/>
    <mergeCell ref="R107:S107"/>
    <mergeCell ref="R104:S104"/>
    <mergeCell ref="B105:C105"/>
    <mergeCell ref="F105:G105"/>
    <mergeCell ref="H105:I105"/>
    <mergeCell ref="L105:M105"/>
    <mergeCell ref="N105:O105"/>
    <mergeCell ref="P105:Q105"/>
    <mergeCell ref="R105:S105"/>
    <mergeCell ref="B104:C104"/>
    <mergeCell ref="F104:G104"/>
    <mergeCell ref="H104:I104"/>
    <mergeCell ref="L104:M104"/>
    <mergeCell ref="N104:O104"/>
    <mergeCell ref="P104:Q104"/>
    <mergeCell ref="R108:S108"/>
    <mergeCell ref="R109:S109"/>
    <mergeCell ref="R110:S110"/>
    <mergeCell ref="B111:C111"/>
    <mergeCell ref="F111:G111"/>
    <mergeCell ref="H111:I111"/>
    <mergeCell ref="L111:M111"/>
    <mergeCell ref="N111:O111"/>
    <mergeCell ref="P111:Q111"/>
    <mergeCell ref="R111:S111"/>
    <mergeCell ref="B108:C108"/>
    <mergeCell ref="F108:G108"/>
    <mergeCell ref="H108:I108"/>
    <mergeCell ref="L108:M108"/>
    <mergeCell ref="N108:O108"/>
    <mergeCell ref="P108:Q108"/>
    <mergeCell ref="R112:S112"/>
    <mergeCell ref="B113:C113"/>
    <mergeCell ref="F113:G113"/>
    <mergeCell ref="H113:I113"/>
    <mergeCell ref="L113:M113"/>
    <mergeCell ref="N113:O113"/>
    <mergeCell ref="P113:Q113"/>
    <mergeCell ref="R113:S113"/>
    <mergeCell ref="B112:C112"/>
    <mergeCell ref="F112:G112"/>
    <mergeCell ref="H112:I112"/>
    <mergeCell ref="L112:M112"/>
    <mergeCell ref="N112:O112"/>
    <mergeCell ref="P112:Q112"/>
    <mergeCell ref="R114:S114"/>
    <mergeCell ref="R115:S115"/>
    <mergeCell ref="R116:S116"/>
    <mergeCell ref="B117:C117"/>
    <mergeCell ref="F117:G117"/>
    <mergeCell ref="H117:I117"/>
    <mergeCell ref="L117:M117"/>
    <mergeCell ref="N117:O117"/>
    <mergeCell ref="P117:Q117"/>
    <mergeCell ref="R117:S117"/>
    <mergeCell ref="B114:C114"/>
    <mergeCell ref="F114:G114"/>
    <mergeCell ref="H114:I114"/>
    <mergeCell ref="L114:M114"/>
    <mergeCell ref="N114:O114"/>
    <mergeCell ref="P114:Q114"/>
    <mergeCell ref="R120:S120"/>
    <mergeCell ref="B121:C121"/>
    <mergeCell ref="F121:G121"/>
    <mergeCell ref="H121:I121"/>
    <mergeCell ref="L121:M121"/>
    <mergeCell ref="N121:O121"/>
    <mergeCell ref="P121:Q121"/>
    <mergeCell ref="R121:S121"/>
    <mergeCell ref="R118:S118"/>
    <mergeCell ref="B119:C119"/>
    <mergeCell ref="F119:G119"/>
    <mergeCell ref="H119:I119"/>
    <mergeCell ref="L119:M119"/>
    <mergeCell ref="N119:O119"/>
    <mergeCell ref="P119:Q119"/>
    <mergeCell ref="R119:S119"/>
    <mergeCell ref="B118:C118"/>
    <mergeCell ref="F118:G118"/>
    <mergeCell ref="H118:I118"/>
    <mergeCell ref="L118:M118"/>
    <mergeCell ref="N118:O118"/>
    <mergeCell ref="P118:Q118"/>
    <mergeCell ref="R122:S122"/>
    <mergeCell ref="R123:S123"/>
    <mergeCell ref="R124:S124"/>
    <mergeCell ref="B125:C125"/>
    <mergeCell ref="F125:G125"/>
    <mergeCell ref="H125:I125"/>
    <mergeCell ref="L125:M125"/>
    <mergeCell ref="N125:O125"/>
    <mergeCell ref="P125:Q125"/>
    <mergeCell ref="R125:S125"/>
    <mergeCell ref="B122:C122"/>
    <mergeCell ref="F122:G122"/>
    <mergeCell ref="H122:I122"/>
    <mergeCell ref="L122:M122"/>
    <mergeCell ref="N122:O122"/>
    <mergeCell ref="P122:Q122"/>
    <mergeCell ref="R126:S126"/>
    <mergeCell ref="B127:C127"/>
    <mergeCell ref="F127:G127"/>
    <mergeCell ref="H127:I127"/>
    <mergeCell ref="L127:M127"/>
    <mergeCell ref="N127:O127"/>
    <mergeCell ref="P127:Q127"/>
    <mergeCell ref="R127:S127"/>
    <mergeCell ref="B126:C126"/>
    <mergeCell ref="F126:G126"/>
    <mergeCell ref="H126:I126"/>
    <mergeCell ref="L126:M126"/>
    <mergeCell ref="N126:O126"/>
    <mergeCell ref="P126:Q126"/>
    <mergeCell ref="R128:S128"/>
    <mergeCell ref="R129:S129"/>
    <mergeCell ref="B130:C130"/>
    <mergeCell ref="F130:G130"/>
    <mergeCell ref="H130:I130"/>
    <mergeCell ref="L130:M130"/>
    <mergeCell ref="N130:O130"/>
    <mergeCell ref="P130:Q130"/>
    <mergeCell ref="R130:S130"/>
    <mergeCell ref="R131:S131"/>
    <mergeCell ref="B132:C132"/>
    <mergeCell ref="F132:G132"/>
    <mergeCell ref="H132:I132"/>
    <mergeCell ref="L132:M132"/>
    <mergeCell ref="N132:O132"/>
    <mergeCell ref="P132:Q132"/>
    <mergeCell ref="R132:S132"/>
    <mergeCell ref="B131:C131"/>
    <mergeCell ref="F131:G131"/>
    <mergeCell ref="H131:I131"/>
    <mergeCell ref="L131:M131"/>
    <mergeCell ref="N131:O131"/>
    <mergeCell ref="P131:Q131"/>
    <mergeCell ref="R133:S133"/>
    <mergeCell ref="R134:S134"/>
    <mergeCell ref="B135:C135"/>
    <mergeCell ref="F135:G135"/>
    <mergeCell ref="H135:I135"/>
    <mergeCell ref="L135:M135"/>
    <mergeCell ref="N135:O135"/>
    <mergeCell ref="P135:Q135"/>
    <mergeCell ref="R135:S135"/>
    <mergeCell ref="R136:S136"/>
    <mergeCell ref="B137:C137"/>
    <mergeCell ref="F137:G137"/>
    <mergeCell ref="H137:I137"/>
    <mergeCell ref="L137:M137"/>
    <mergeCell ref="N137:O137"/>
    <mergeCell ref="P137:Q137"/>
    <mergeCell ref="R137:S137"/>
    <mergeCell ref="B136:C136"/>
    <mergeCell ref="F136:G136"/>
    <mergeCell ref="H136:I136"/>
    <mergeCell ref="L136:M136"/>
    <mergeCell ref="N136:O136"/>
    <mergeCell ref="P136:Q136"/>
    <mergeCell ref="R138:S138"/>
    <mergeCell ref="R139:S139"/>
    <mergeCell ref="B140:C140"/>
    <mergeCell ref="F140:G140"/>
    <mergeCell ref="H140:I140"/>
    <mergeCell ref="L140:M140"/>
    <mergeCell ref="N140:O140"/>
    <mergeCell ref="P140:Q140"/>
    <mergeCell ref="R140:S140"/>
    <mergeCell ref="B145:C145"/>
    <mergeCell ref="F145:G145"/>
    <mergeCell ref="H145:I145"/>
    <mergeCell ref="L145:M145"/>
    <mergeCell ref="N145:O145"/>
    <mergeCell ref="P145:Q145"/>
    <mergeCell ref="R141:S141"/>
    <mergeCell ref="H142:I142"/>
    <mergeCell ref="R142:S142"/>
    <mergeCell ref="B143:C143"/>
    <mergeCell ref="F143:G143"/>
    <mergeCell ref="H143:I143"/>
    <mergeCell ref="L143:M143"/>
    <mergeCell ref="N143:O143"/>
    <mergeCell ref="P143:Q143"/>
    <mergeCell ref="R143:S143"/>
    <mergeCell ref="B141:C141"/>
    <mergeCell ref="F141:G141"/>
    <mergeCell ref="H141:I141"/>
    <mergeCell ref="L141:M141"/>
    <mergeCell ref="N141:O141"/>
    <mergeCell ref="P141:Q141"/>
    <mergeCell ref="R145:S145"/>
    <mergeCell ref="F146:G146"/>
    <mergeCell ref="H146:I146"/>
    <mergeCell ref="L146:M146"/>
    <mergeCell ref="N146:O146"/>
    <mergeCell ref="P146:Q146"/>
    <mergeCell ref="R146:S146"/>
    <mergeCell ref="H144:I144"/>
    <mergeCell ref="N144:O144"/>
    <mergeCell ref="P144:Q144"/>
    <mergeCell ref="R144:S144"/>
    <mergeCell ref="R147:S147"/>
    <mergeCell ref="F148:G148"/>
    <mergeCell ref="H148:I148"/>
    <mergeCell ref="L148:M148"/>
    <mergeCell ref="N148:O148"/>
    <mergeCell ref="P148:Q148"/>
    <mergeCell ref="R148:S148"/>
    <mergeCell ref="B147:C147"/>
    <mergeCell ref="F147:G147"/>
    <mergeCell ref="H147:I147"/>
    <mergeCell ref="L147:M147"/>
    <mergeCell ref="N147:O147"/>
    <mergeCell ref="P147:Q147"/>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49EC1-474A-47B7-A3B0-65F97D16F348}">
  <dimension ref="A1:E222"/>
  <sheetViews>
    <sheetView workbookViewId="0"/>
    <sheetView workbookViewId="1"/>
    <sheetView workbookViewId="2"/>
  </sheetViews>
  <sheetFormatPr defaultRowHeight="15"/>
  <sheetData>
    <row r="1" spans="1:5"/>
    <row r="2" spans="1:5">
      <c r="B2" t="s">
        <v>2784</v>
      </c>
    </row>
    <row r="3" spans="1:5">
      <c r="C3" t="s">
        <v>2785</v>
      </c>
    </row>
    <row r="4" spans="1:5">
      <c r="D4" t="s">
        <v>2786</v>
      </c>
    </row>
    <row r="5" spans="1:5">
      <c r="E5" t="s">
        <v>2787</v>
      </c>
    </row>
    <row r="6" spans="1:5">
      <c r="E6" t="s">
        <v>2788</v>
      </c>
    </row>
    <row r="7" spans="1:5">
      <c r="E7" t="s">
        <v>2789</v>
      </c>
    </row>
    <row r="8" spans="1:5">
      <c r="E8" t="s">
        <v>2790</v>
      </c>
    </row>
    <row r="9" spans="1:5">
      <c r="D9" t="s">
        <v>2791</v>
      </c>
    </row>
    <row r="10" spans="1:5">
      <c r="D10" t="s">
        <v>2792</v>
      </c>
      <c r="E10" s="75"/>
    </row>
    <row r="11" spans="1:5">
      <c r="D11" t="s">
        <v>2793</v>
      </c>
    </row>
    <row r="12" spans="1:5">
      <c r="D12" t="s">
        <v>2794</v>
      </c>
    </row>
    <row r="13" spans="1:5">
      <c r="D13" t="s">
        <v>2795</v>
      </c>
    </row>
    <row r="14" spans="1:5">
      <c r="D14" t="s">
        <v>2796</v>
      </c>
    </row>
    <row r="15" spans="1:5">
      <c r="D15" t="s">
        <v>2797</v>
      </c>
    </row>
    <row r="16" spans="1:5">
      <c r="D16" t="s">
        <v>2798</v>
      </c>
    </row>
    <row r="17" spans="4:5">
      <c r="D17" t="s">
        <v>2799</v>
      </c>
    </row>
    <row r="18" spans="4:5">
      <c r="D18" t="s">
        <v>2800</v>
      </c>
    </row>
    <row r="19" spans="4:5">
      <c r="D19" t="s">
        <v>2801</v>
      </c>
    </row>
    <row r="20" spans="4:5">
      <c r="D20" t="s">
        <v>2802</v>
      </c>
    </row>
    <row r="21" spans="4:5">
      <c r="D21" t="s">
        <v>2803</v>
      </c>
    </row>
    <row r="22" spans="4:5">
      <c r="D22" t="s">
        <v>2804</v>
      </c>
    </row>
    <row r="23" spans="4:5">
      <c r="D23" t="s">
        <v>2805</v>
      </c>
    </row>
    <row r="24" spans="4:5">
      <c r="D24" t="s">
        <v>2806</v>
      </c>
    </row>
    <row r="25" spans="4:5">
      <c r="D25" t="s">
        <v>2807</v>
      </c>
    </row>
    <row r="26" spans="4:5">
      <c r="D26" t="s">
        <v>2808</v>
      </c>
    </row>
    <row r="27" spans="4:5">
      <c r="D27" t="s">
        <v>2809</v>
      </c>
    </row>
    <row r="28" spans="4:5">
      <c r="D28" t="s">
        <v>2810</v>
      </c>
    </row>
    <row r="29" spans="4:5">
      <c r="E29" t="s">
        <v>2811</v>
      </c>
    </row>
    <row r="30" spans="4:5">
      <c r="E30" t="s">
        <v>2812</v>
      </c>
    </row>
    <row r="31" spans="4:5">
      <c r="E31" t="s">
        <v>2813</v>
      </c>
    </row>
    <row r="32" spans="4:5">
      <c r="E32" t="s">
        <v>2814</v>
      </c>
    </row>
    <row r="33" spans="3:4">
      <c r="C33" t="s">
        <v>2815</v>
      </c>
    </row>
    <row r="34" spans="3:4">
      <c r="D34" t="s">
        <v>2816</v>
      </c>
    </row>
    <row r="35" spans="3:4">
      <c r="D35" t="s">
        <v>2817</v>
      </c>
    </row>
    <row r="36" spans="3:4">
      <c r="D36" t="s">
        <v>2818</v>
      </c>
    </row>
    <row r="37" spans="3:4">
      <c r="D37" t="s">
        <v>2819</v>
      </c>
    </row>
    <row r="38" spans="3:4">
      <c r="D38" t="s">
        <v>2820</v>
      </c>
    </row>
    <row r="39" spans="3:4">
      <c r="D39" t="s">
        <v>2821</v>
      </c>
    </row>
    <row r="40" spans="3:4">
      <c r="D40" t="s">
        <v>2822</v>
      </c>
    </row>
    <row r="41" spans="3:4">
      <c r="D41" t="s">
        <v>2823</v>
      </c>
    </row>
    <row r="42" spans="3:4">
      <c r="C42" t="s">
        <v>2824</v>
      </c>
    </row>
    <row r="43" spans="3:4">
      <c r="D43" t="s">
        <v>2825</v>
      </c>
    </row>
    <row r="44" spans="3:4">
      <c r="D44" t="s">
        <v>2826</v>
      </c>
    </row>
    <row r="45" spans="3:4">
      <c r="D45" t="s">
        <v>2827</v>
      </c>
    </row>
    <row r="46" spans="3:4">
      <c r="D46" t="s">
        <v>2828</v>
      </c>
    </row>
    <row r="47" spans="3:4">
      <c r="D47" t="s">
        <v>2829</v>
      </c>
    </row>
    <row r="48" spans="3:4">
      <c r="D48" t="s">
        <v>2830</v>
      </c>
    </row>
    <row r="49" spans="3:4">
      <c r="D49" t="s">
        <v>2831</v>
      </c>
    </row>
    <row r="50" spans="3:4">
      <c r="D50" t="s">
        <v>2832</v>
      </c>
    </row>
    <row r="51" spans="3:4">
      <c r="D51" t="s">
        <v>2833</v>
      </c>
    </row>
    <row r="52" spans="3:4">
      <c r="D52" t="s">
        <v>2834</v>
      </c>
    </row>
    <row r="53" spans="3:4">
      <c r="D53" t="s">
        <v>2835</v>
      </c>
    </row>
    <row r="54" spans="3:4">
      <c r="D54" t="s">
        <v>2836</v>
      </c>
    </row>
    <row r="55" spans="3:4">
      <c r="D55" t="s">
        <v>2837</v>
      </c>
    </row>
    <row r="56" spans="3:4">
      <c r="D56" t="s">
        <v>2838</v>
      </c>
    </row>
    <row r="57" spans="3:4">
      <c r="C57" t="s">
        <v>2839</v>
      </c>
    </row>
    <row r="58" spans="3:4">
      <c r="D58" t="s">
        <v>2840</v>
      </c>
    </row>
    <row r="59" spans="3:4">
      <c r="D59" t="s">
        <v>2841</v>
      </c>
    </row>
    <row r="60" spans="3:4">
      <c r="D60" t="s">
        <v>2842</v>
      </c>
    </row>
    <row r="61" spans="3:4">
      <c r="D61" t="s">
        <v>2843</v>
      </c>
    </row>
    <row r="62" spans="3:4">
      <c r="D62" t="s">
        <v>2844</v>
      </c>
    </row>
    <row r="63" spans="3:4">
      <c r="D63" t="s">
        <v>2845</v>
      </c>
    </row>
    <row r="64" spans="3:4">
      <c r="D64" t="s">
        <v>2846</v>
      </c>
    </row>
    <row r="65" spans="2:4">
      <c r="D65" t="s">
        <v>2847</v>
      </c>
    </row>
    <row r="66" spans="2:4">
      <c r="D66" t="s">
        <v>2848</v>
      </c>
    </row>
    <row r="67" spans="2:4">
      <c r="D67" t="s">
        <v>2849</v>
      </c>
    </row>
    <row r="68" spans="2:4">
      <c r="D68" t="s">
        <v>2850</v>
      </c>
    </row>
    <row r="69" spans="2:4">
      <c r="D69" t="s">
        <v>2851</v>
      </c>
    </row>
    <row r="70" spans="2:4">
      <c r="D70" t="s">
        <v>2852</v>
      </c>
    </row>
    <row r="71" spans="2:4">
      <c r="D71" t="s">
        <v>2853</v>
      </c>
    </row>
    <row r="72" spans="2:4">
      <c r="D72" t="s">
        <v>2854</v>
      </c>
    </row>
    <row r="73" spans="2:4">
      <c r="D73" t="s">
        <v>2855</v>
      </c>
    </row>
    <row r="74" spans="2:4">
      <c r="D74" t="s">
        <v>2856</v>
      </c>
    </row>
    <row r="75" spans="2:4">
      <c r="D75" t="s">
        <v>2857</v>
      </c>
    </row>
    <row r="76" spans="2:4">
      <c r="D76" t="s">
        <v>2858</v>
      </c>
    </row>
    <row r="77" spans="2:4">
      <c r="B77" t="s">
        <v>2859</v>
      </c>
    </row>
    <row r="78" spans="2:4">
      <c r="C78" t="s">
        <v>2860</v>
      </c>
    </row>
    <row r="79" spans="2:4">
      <c r="D79" t="s">
        <v>2861</v>
      </c>
    </row>
    <row r="80" spans="2:4">
      <c r="D80" t="s">
        <v>2862</v>
      </c>
    </row>
    <row r="81" spans="3:5">
      <c r="D81" t="s">
        <v>2863</v>
      </c>
    </row>
    <row r="82" spans="3:5">
      <c r="D82" t="s">
        <v>2864</v>
      </c>
    </row>
    <row r="83" spans="3:5">
      <c r="D83" t="s">
        <v>2865</v>
      </c>
    </row>
    <row r="84" spans="3:5">
      <c r="D84" t="s">
        <v>2866</v>
      </c>
    </row>
    <row r="85" spans="3:5">
      <c r="D85" t="s">
        <v>2867</v>
      </c>
    </row>
    <row r="86" spans="3:5">
      <c r="D86" t="s">
        <v>2868</v>
      </c>
    </row>
    <row r="87" spans="3:5">
      <c r="D87" t="s">
        <v>2869</v>
      </c>
    </row>
    <row r="88" spans="3:5">
      <c r="D88" t="s">
        <v>2870</v>
      </c>
    </row>
    <row r="89" spans="3:5">
      <c r="D89" t="s">
        <v>2871</v>
      </c>
    </row>
    <row r="90" spans="3:5">
      <c r="D90" t="s">
        <v>2872</v>
      </c>
    </row>
    <row r="91" spans="3:5">
      <c r="D91" t="s">
        <v>2873</v>
      </c>
    </row>
    <row r="92" spans="3:5">
      <c r="C92" t="s">
        <v>2874</v>
      </c>
    </row>
    <row r="93" spans="3:5">
      <c r="D93" t="s">
        <v>2875</v>
      </c>
    </row>
    <row r="94" spans="3:5">
      <c r="E94" t="s">
        <v>2876</v>
      </c>
    </row>
    <row r="95" spans="3:5">
      <c r="E95" t="s">
        <v>2877</v>
      </c>
    </row>
    <row r="96" spans="3:5">
      <c r="E96" t="s">
        <v>2878</v>
      </c>
    </row>
    <row r="97" spans="4:5">
      <c r="E97" t="s">
        <v>2879</v>
      </c>
    </row>
    <row r="98" spans="4:5">
      <c r="E98" t="s">
        <v>2880</v>
      </c>
    </row>
    <row r="99" spans="4:5">
      <c r="E99" t="s">
        <v>2881</v>
      </c>
    </row>
    <row r="100" spans="4:5">
      <c r="E100" t="s">
        <v>2882</v>
      </c>
    </row>
    <row r="101" spans="4:5">
      <c r="E101" t="s">
        <v>2883</v>
      </c>
    </row>
    <row r="102" spans="4:5">
      <c r="E102" t="s">
        <v>2884</v>
      </c>
    </row>
    <row r="103" spans="4:5">
      <c r="E103" t="s">
        <v>2885</v>
      </c>
    </row>
    <row r="104" spans="4:5">
      <c r="D104" t="s">
        <v>2886</v>
      </c>
    </row>
    <row r="105" spans="4:5">
      <c r="E105" t="s">
        <v>2876</v>
      </c>
    </row>
    <row r="106" spans="4:5">
      <c r="E106" t="s">
        <v>2877</v>
      </c>
    </row>
    <row r="107" spans="4:5">
      <c r="E107" t="s">
        <v>2878</v>
      </c>
    </row>
    <row r="108" spans="4:5">
      <c r="E108" t="s">
        <v>2879</v>
      </c>
    </row>
    <row r="109" spans="4:5">
      <c r="E109" t="s">
        <v>2880</v>
      </c>
    </row>
    <row r="110" spans="4:5">
      <c r="E110" t="s">
        <v>2881</v>
      </c>
    </row>
    <row r="111" spans="4:5">
      <c r="E111" t="s">
        <v>2882</v>
      </c>
    </row>
    <row r="112" spans="4:5">
      <c r="E112" t="s">
        <v>2883</v>
      </c>
    </row>
    <row r="113" spans="3:5">
      <c r="E113" t="s">
        <v>2884</v>
      </c>
    </row>
    <row r="114" spans="3:5">
      <c r="E114" t="s">
        <v>2885</v>
      </c>
    </row>
    <row r="115" spans="3:5">
      <c r="E115" t="s">
        <v>2887</v>
      </c>
    </row>
    <row r="116" spans="3:5">
      <c r="E116" t="s">
        <v>2888</v>
      </c>
    </row>
    <row r="117" spans="3:5">
      <c r="D117" t="s">
        <v>2889</v>
      </c>
    </row>
    <row r="118" spans="3:5">
      <c r="E118" t="s">
        <v>2890</v>
      </c>
    </row>
    <row r="119" spans="3:5">
      <c r="E119" t="s">
        <v>2891</v>
      </c>
    </row>
    <row r="120" spans="3:5">
      <c r="E120" t="s">
        <v>2892</v>
      </c>
    </row>
    <row r="121" spans="3:5">
      <c r="C121" t="s">
        <v>2893</v>
      </c>
    </row>
    <row r="122" spans="3:5">
      <c r="D122" t="s">
        <v>2894</v>
      </c>
    </row>
    <row r="123" spans="3:5">
      <c r="D123" t="s">
        <v>2895</v>
      </c>
    </row>
    <row r="124" spans="3:5">
      <c r="D124" t="s">
        <v>2896</v>
      </c>
    </row>
    <row r="125" spans="3:5">
      <c r="C125" t="s">
        <v>2897</v>
      </c>
    </row>
    <row r="126" spans="3:5">
      <c r="C126" t="s">
        <v>2898</v>
      </c>
    </row>
    <row r="127" spans="3:5">
      <c r="D127" t="s">
        <v>2899</v>
      </c>
    </row>
    <row r="128" spans="3:5">
      <c r="D128" t="s">
        <v>2900</v>
      </c>
    </row>
    <row r="129" spans="2:4">
      <c r="D129" t="s">
        <v>2901</v>
      </c>
    </row>
    <row r="130" spans="2:4">
      <c r="C130" t="s">
        <v>2902</v>
      </c>
    </row>
    <row r="131" spans="2:4">
      <c r="C131" t="s">
        <v>2903</v>
      </c>
    </row>
    <row r="132" spans="2:4">
      <c r="C132" t="s">
        <v>2904</v>
      </c>
    </row>
    <row r="133" spans="2:4">
      <c r="C133" t="s">
        <v>2905</v>
      </c>
    </row>
    <row r="134" spans="2:4">
      <c r="C134" t="s">
        <v>2906</v>
      </c>
    </row>
    <row r="135" spans="2:4">
      <c r="B135" t="s">
        <v>2907</v>
      </c>
    </row>
    <row r="136" spans="2:4">
      <c r="C136" t="s">
        <v>2908</v>
      </c>
    </row>
    <row r="137" spans="2:4">
      <c r="D137" t="s">
        <v>2909</v>
      </c>
    </row>
    <row r="138" spans="2:4">
      <c r="D138" t="s">
        <v>2910</v>
      </c>
    </row>
    <row r="139" spans="2:4">
      <c r="D139" t="s">
        <v>2911</v>
      </c>
    </row>
    <row r="140" spans="2:4">
      <c r="D140" t="s">
        <v>2912</v>
      </c>
    </row>
    <row r="141" spans="2:4">
      <c r="D141" t="s">
        <v>2913</v>
      </c>
    </row>
    <row r="142" spans="2:4">
      <c r="C142" t="s">
        <v>2914</v>
      </c>
    </row>
    <row r="143" spans="2:4">
      <c r="D143" t="s">
        <v>2915</v>
      </c>
    </row>
    <row r="144" spans="2:4">
      <c r="D144" t="s">
        <v>2916</v>
      </c>
    </row>
    <row r="145" spans="2:4">
      <c r="D145" t="s">
        <v>2917</v>
      </c>
    </row>
    <row r="146" spans="2:4">
      <c r="D146" t="s">
        <v>2918</v>
      </c>
    </row>
    <row r="147" spans="2:4">
      <c r="C147" t="s">
        <v>2919</v>
      </c>
    </row>
    <row r="148" spans="2:4">
      <c r="D148" t="s">
        <v>2920</v>
      </c>
    </row>
    <row r="149" spans="2:4">
      <c r="D149" t="s">
        <v>2921</v>
      </c>
    </row>
    <row r="150" spans="2:4">
      <c r="D150" t="s">
        <v>2922</v>
      </c>
    </row>
    <row r="151" spans="2:4">
      <c r="D151" t="s">
        <v>2923</v>
      </c>
    </row>
    <row r="152" spans="2:4">
      <c r="C152" t="s">
        <v>2924</v>
      </c>
    </row>
    <row r="153" spans="2:4">
      <c r="C153" t="s">
        <v>2925</v>
      </c>
    </row>
    <row r="154" spans="2:4">
      <c r="C154" t="s">
        <v>2926</v>
      </c>
    </row>
    <row r="155" spans="2:4">
      <c r="B155" t="s">
        <v>2927</v>
      </c>
    </row>
    <row r="156" spans="2:4">
      <c r="C156" t="s">
        <v>2928</v>
      </c>
    </row>
    <row r="157" spans="2:4">
      <c r="C157" t="s">
        <v>2929</v>
      </c>
    </row>
    <row r="158" spans="2:4">
      <c r="C158" t="s">
        <v>2930</v>
      </c>
    </row>
    <row r="159" spans="2:4">
      <c r="C159" t="s">
        <v>2931</v>
      </c>
    </row>
    <row r="160" spans="2:4">
      <c r="C160" t="s">
        <v>2932</v>
      </c>
    </row>
    <row r="161" spans="2:4">
      <c r="C161" t="s">
        <v>2933</v>
      </c>
    </row>
    <row r="162" spans="2:4">
      <c r="C162" t="s">
        <v>2934</v>
      </c>
    </row>
    <row r="163" spans="2:4">
      <c r="C163" t="s">
        <v>2935</v>
      </c>
    </row>
    <row r="164" spans="2:4">
      <c r="C164" t="s">
        <v>2936</v>
      </c>
    </row>
    <row r="165" spans="2:4">
      <c r="C165" t="s">
        <v>2937</v>
      </c>
    </row>
    <row r="166" spans="2:4">
      <c r="D166" t="s">
        <v>2938</v>
      </c>
    </row>
    <row r="167" spans="2:4">
      <c r="D167" t="s">
        <v>2939</v>
      </c>
    </row>
    <row r="168" spans="2:4">
      <c r="C168" t="s">
        <v>2940</v>
      </c>
    </row>
    <row r="169" spans="2:4">
      <c r="C169" t="s">
        <v>2941</v>
      </c>
    </row>
    <row r="170" spans="2:4">
      <c r="C170" t="s">
        <v>2942</v>
      </c>
    </row>
    <row r="171" spans="2:4">
      <c r="C171" t="s">
        <v>2943</v>
      </c>
    </row>
    <row r="172" spans="2:4">
      <c r="C172" t="s">
        <v>2944</v>
      </c>
    </row>
    <row r="173" spans="2:4">
      <c r="C173" t="s">
        <v>2945</v>
      </c>
    </row>
    <row r="174" spans="2:4">
      <c r="B174" t="s">
        <v>2946</v>
      </c>
    </row>
    <row r="175" spans="2:4">
      <c r="C175" t="s">
        <v>2947</v>
      </c>
    </row>
    <row r="176" spans="2:4">
      <c r="D176" t="s">
        <v>2948</v>
      </c>
    </row>
    <row r="177" spans="3:4">
      <c r="D177" t="s">
        <v>2949</v>
      </c>
    </row>
    <row r="178" spans="3:4">
      <c r="D178" t="s">
        <v>2950</v>
      </c>
    </row>
    <row r="179" spans="3:4">
      <c r="D179" t="s">
        <v>2951</v>
      </c>
    </row>
    <row r="180" spans="3:4">
      <c r="D180" t="s">
        <v>2952</v>
      </c>
    </row>
    <row r="181" spans="3:4">
      <c r="D181" t="s">
        <v>2953</v>
      </c>
    </row>
    <row r="182" spans="3:4">
      <c r="C182" t="s">
        <v>2954</v>
      </c>
    </row>
    <row r="183" spans="3:4">
      <c r="D183" t="s">
        <v>2948</v>
      </c>
    </row>
    <row r="184" spans="3:4">
      <c r="D184" t="s">
        <v>2949</v>
      </c>
    </row>
    <row r="185" spans="3:4">
      <c r="D185" t="s">
        <v>2950</v>
      </c>
    </row>
    <row r="186" spans="3:4">
      <c r="D186" t="s">
        <v>2951</v>
      </c>
    </row>
    <row r="187" spans="3:4">
      <c r="D187" t="s">
        <v>2952</v>
      </c>
    </row>
    <row r="188" spans="3:4">
      <c r="D188" t="s">
        <v>2953</v>
      </c>
    </row>
    <row r="189" spans="3:4">
      <c r="D189" t="s">
        <v>2955</v>
      </c>
    </row>
    <row r="190" spans="3:4">
      <c r="C190" t="s">
        <v>2956</v>
      </c>
    </row>
    <row r="191" spans="3:4">
      <c r="D191" t="s">
        <v>2957</v>
      </c>
    </row>
    <row r="192" spans="3:4">
      <c r="D192" t="s">
        <v>2958</v>
      </c>
    </row>
    <row r="193" spans="2:4">
      <c r="D193" t="s">
        <v>2959</v>
      </c>
    </row>
    <row r="194" spans="2:4">
      <c r="D194" t="s">
        <v>2960</v>
      </c>
    </row>
    <row r="195" spans="2:4">
      <c r="C195" t="s">
        <v>2961</v>
      </c>
    </row>
    <row r="196" spans="2:4">
      <c r="D196" t="s">
        <v>2962</v>
      </c>
    </row>
    <row r="197" spans="2:4">
      <c r="D197" t="s">
        <v>2963</v>
      </c>
    </row>
    <row r="198" spans="2:4">
      <c r="D198" t="s">
        <v>2964</v>
      </c>
    </row>
    <row r="199" spans="2:4">
      <c r="C199" t="s">
        <v>2965</v>
      </c>
    </row>
    <row r="200" spans="2:4">
      <c r="D200" t="s">
        <v>2966</v>
      </c>
    </row>
    <row r="201" spans="2:4">
      <c r="D201" t="s">
        <v>2967</v>
      </c>
    </row>
    <row r="202" spans="2:4">
      <c r="D202" t="s">
        <v>2968</v>
      </c>
    </row>
    <row r="203" spans="2:4">
      <c r="D203" t="s">
        <v>2969</v>
      </c>
    </row>
    <row r="204" spans="2:4">
      <c r="D204" t="s">
        <v>2970</v>
      </c>
    </row>
    <row r="205" spans="2:4">
      <c r="B205" t="s">
        <v>2971</v>
      </c>
    </row>
    <row r="206" spans="2:4">
      <c r="C206" t="s">
        <v>2972</v>
      </c>
    </row>
    <row r="207" spans="2:4">
      <c r="D207" t="s">
        <v>2973</v>
      </c>
    </row>
    <row r="208" spans="2:4">
      <c r="D208" t="s">
        <v>2974</v>
      </c>
    </row>
    <row r="209" spans="2:4">
      <c r="D209" t="s">
        <v>2975</v>
      </c>
    </row>
    <row r="210" spans="2:4">
      <c r="D210" t="s">
        <v>2976</v>
      </c>
    </row>
    <row r="211" spans="2:4">
      <c r="C211" t="s">
        <v>2977</v>
      </c>
    </row>
    <row r="212" spans="2:4">
      <c r="D212" t="s">
        <v>2978</v>
      </c>
    </row>
    <row r="213" spans="2:4">
      <c r="D213" t="s">
        <v>2979</v>
      </c>
    </row>
    <row r="214" spans="2:4">
      <c r="D214" t="s">
        <v>2980</v>
      </c>
    </row>
    <row r="215" spans="2:4">
      <c r="C215" t="s">
        <v>2981</v>
      </c>
    </row>
    <row r="216" spans="2:4">
      <c r="B216" t="s">
        <v>2982</v>
      </c>
    </row>
    <row r="217" spans="2:4">
      <c r="C217" t="s">
        <v>2983</v>
      </c>
    </row>
    <row r="218" spans="2:4">
      <c r="C218" t="s">
        <v>2984</v>
      </c>
    </row>
    <row r="219" spans="2:4">
      <c r="C219" t="s">
        <v>2985</v>
      </c>
    </row>
    <row r="220" spans="2:4">
      <c r="C220" t="s">
        <v>2986</v>
      </c>
    </row>
    <row r="221" spans="2:4">
      <c r="C221" t="s">
        <v>2987</v>
      </c>
    </row>
    <row r="222" spans="2:4">
      <c r="C222" t="s">
        <v>2988</v>
      </c>
    </row>
  </sheetData>
  <pageMargins left="0.7" right="0.7" top="0.75" bottom="0.75" header="0.3" footer="0.3"/>
  <legacy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6DCE2-3B8C-40EE-A4E6-9DD6F834C1E0}">
  <sheetPr>
    <pageSetUpPr fitToPage="1"/>
  </sheetPr>
  <dimension ref="A1:M73"/>
  <sheetViews>
    <sheetView workbookViewId="0"/>
    <sheetView workbookViewId="1"/>
    <sheetView workbookViewId="2"/>
  </sheetViews>
  <sheetFormatPr defaultRowHeight="15"/>
  <cols>
    <col min="1" max="1" width="7.42578125" customWidth="1"/>
    <col min="2" max="2" width="7.85546875" customWidth="1"/>
    <col min="3" max="3" width="39.42578125" customWidth="1"/>
    <col min="4" max="4" width="40.5703125" customWidth="1"/>
    <col min="5" max="5" width="26.42578125" customWidth="1"/>
    <col min="6" max="6" width="19" style="9" customWidth="1"/>
    <col min="7" max="7" width="40.5703125" customWidth="1"/>
    <col min="8" max="8" width="41.85546875" style="10" bestFit="1" customWidth="1"/>
    <col min="9" max="12" width="12.85546875" customWidth="1"/>
    <col min="13" max="13" width="23.5703125" customWidth="1"/>
    <col min="14" max="18" width="8.42578125" customWidth="1"/>
  </cols>
  <sheetData>
    <row r="1" spans="1:13" ht="15.75">
      <c r="A1" s="15" t="s">
        <v>2989</v>
      </c>
      <c r="C1" s="1"/>
      <c r="D1" s="1"/>
      <c r="F1" s="8"/>
      <c r="G1" s="1"/>
      <c r="H1" s="11"/>
      <c r="K1" s="7"/>
    </row>
    <row r="2" spans="1:13">
      <c r="A2" s="16" t="s">
        <v>2</v>
      </c>
      <c r="C2" s="1"/>
      <c r="D2" s="1"/>
      <c r="G2" s="1"/>
      <c r="H2" s="11"/>
      <c r="K2" s="7"/>
    </row>
    <row r="3" spans="1:13">
      <c r="A3" s="16"/>
      <c r="C3" s="1"/>
      <c r="D3" s="23" t="s">
        <v>2990</v>
      </c>
      <c r="E3" s="16" t="s">
        <v>2991</v>
      </c>
      <c r="G3" s="1"/>
      <c r="H3" s="11"/>
      <c r="K3" s="7"/>
    </row>
    <row r="4" spans="1:13">
      <c r="E4" s="6"/>
      <c r="H4" s="12"/>
    </row>
    <row r="5" spans="1:13">
      <c r="A5" s="51"/>
      <c r="B5" s="28" t="s">
        <v>2992</v>
      </c>
      <c r="C5" s="28" t="s">
        <v>2993</v>
      </c>
      <c r="D5" s="28" t="s">
        <v>2994</v>
      </c>
      <c r="E5" s="28" t="s">
        <v>2995</v>
      </c>
      <c r="F5" s="28" t="s">
        <v>2996</v>
      </c>
      <c r="G5" s="28" t="s">
        <v>2997</v>
      </c>
      <c r="H5" s="28" t="s">
        <v>2998</v>
      </c>
      <c r="I5" s="28" t="s">
        <v>2999</v>
      </c>
      <c r="J5" s="28" t="s">
        <v>3000</v>
      </c>
      <c r="K5" s="28" t="s">
        <v>3001</v>
      </c>
      <c r="L5" s="28" t="s">
        <v>3002</v>
      </c>
      <c r="M5" s="28" t="s">
        <v>3003</v>
      </c>
    </row>
    <row r="6" spans="1:13">
      <c r="A6" s="51"/>
      <c r="B6" s="28"/>
      <c r="C6" s="28"/>
      <c r="D6" s="28"/>
      <c r="E6" s="28"/>
      <c r="F6" s="28"/>
      <c r="G6" s="28"/>
      <c r="H6" s="28"/>
      <c r="I6" s="28"/>
      <c r="J6" s="28"/>
      <c r="K6" s="28"/>
      <c r="L6" s="28"/>
      <c r="M6" s="28"/>
    </row>
    <row r="7" spans="1:13">
      <c r="A7" s="52"/>
      <c r="B7" s="1"/>
      <c r="C7" s="1"/>
      <c r="D7" s="23" t="s">
        <v>3004</v>
      </c>
      <c r="E7" s="17" t="s">
        <v>3005</v>
      </c>
      <c r="F7" s="18" t="s">
        <v>3006</v>
      </c>
      <c r="G7" s="17" t="s">
        <v>3007</v>
      </c>
      <c r="H7" s="19"/>
      <c r="I7" s="17">
        <f>SUBTOTAL(3,I9:I69)</f>
        <v>41</v>
      </c>
      <c r="J7" s="17">
        <f t="shared" ref="J7:K7" si="0">SUBTOTAL(3,J9:J69)</f>
        <v>4</v>
      </c>
      <c r="K7" s="17">
        <f t="shared" si="0"/>
        <v>11</v>
      </c>
      <c r="L7" s="17">
        <f>SUBTOTAL(3,L9:L69)</f>
        <v>5</v>
      </c>
      <c r="M7" s="17"/>
    </row>
    <row r="8" spans="1:13" ht="60">
      <c r="A8" s="53"/>
      <c r="B8" s="20" t="s">
        <v>3008</v>
      </c>
      <c r="C8" s="20" t="s">
        <v>3009</v>
      </c>
      <c r="D8" s="22" t="s">
        <v>3010</v>
      </c>
      <c r="E8" s="21" t="s">
        <v>3011</v>
      </c>
      <c r="F8" s="21" t="s">
        <v>3012</v>
      </c>
      <c r="G8" s="21" t="s">
        <v>3013</v>
      </c>
      <c r="H8" s="21" t="s">
        <v>3014</v>
      </c>
      <c r="I8" s="24" t="s">
        <v>3015</v>
      </c>
      <c r="J8" s="24" t="s">
        <v>3016</v>
      </c>
      <c r="K8" s="24" t="s">
        <v>3017</v>
      </c>
      <c r="L8" s="24" t="s">
        <v>3018</v>
      </c>
      <c r="M8" s="24" t="s">
        <v>3019</v>
      </c>
    </row>
    <row r="9" spans="1:13" ht="165.75" customHeight="1">
      <c r="A9" s="53"/>
      <c r="B9" s="4" t="s">
        <v>101</v>
      </c>
      <c r="C9" s="54" t="s">
        <v>8</v>
      </c>
      <c r="D9" s="4" t="s">
        <v>3020</v>
      </c>
      <c r="E9" s="5" t="s">
        <v>3021</v>
      </c>
      <c r="F9" s="13" t="s">
        <v>3022</v>
      </c>
      <c r="G9" s="4" t="s">
        <v>3023</v>
      </c>
      <c r="H9" s="4" t="s">
        <v>3024</v>
      </c>
      <c r="I9" s="25" t="s">
        <v>125</v>
      </c>
      <c r="J9" s="25"/>
      <c r="K9" s="25"/>
      <c r="L9" s="25"/>
      <c r="M9" s="25"/>
    </row>
    <row r="10" spans="1:13" ht="109.5" customHeight="1">
      <c r="A10" s="53"/>
      <c r="B10" s="4" t="s">
        <v>108</v>
      </c>
      <c r="C10" s="54" t="s">
        <v>3025</v>
      </c>
      <c r="D10" s="4" t="s">
        <v>3026</v>
      </c>
      <c r="E10" s="5" t="s">
        <v>3021</v>
      </c>
      <c r="F10" s="13" t="s">
        <v>3022</v>
      </c>
      <c r="G10" s="4" t="s">
        <v>3027</v>
      </c>
      <c r="H10" s="5" t="s">
        <v>3028</v>
      </c>
      <c r="I10" s="25" t="s">
        <v>125</v>
      </c>
      <c r="J10" s="25"/>
      <c r="K10" s="25"/>
      <c r="L10" s="25"/>
      <c r="M10" s="25"/>
    </row>
    <row r="11" spans="1:13" ht="47.25" customHeight="1">
      <c r="A11" s="53"/>
      <c r="B11" s="4" t="s">
        <v>3029</v>
      </c>
      <c r="C11" s="54" t="s">
        <v>3030</v>
      </c>
      <c r="D11" s="4" t="s">
        <v>3031</v>
      </c>
      <c r="E11" s="5" t="s">
        <v>3032</v>
      </c>
      <c r="F11" s="13" t="s">
        <v>3033</v>
      </c>
      <c r="G11" s="4" t="s">
        <v>3034</v>
      </c>
      <c r="H11" s="5" t="s">
        <v>3035</v>
      </c>
      <c r="I11" s="25"/>
      <c r="J11" s="26" t="s">
        <v>125</v>
      </c>
      <c r="K11" s="25"/>
      <c r="L11" s="25"/>
      <c r="M11" s="25"/>
    </row>
    <row r="12" spans="1:13" ht="69.75" customHeight="1">
      <c r="A12" s="53"/>
      <c r="B12" s="4" t="s">
        <v>3036</v>
      </c>
      <c r="C12" s="54" t="s">
        <v>3037</v>
      </c>
      <c r="D12" s="4" t="s">
        <v>3038</v>
      </c>
      <c r="E12" s="5" t="s">
        <v>3039</v>
      </c>
      <c r="F12" s="13" t="s">
        <v>97</v>
      </c>
      <c r="G12" s="4" t="s">
        <v>97</v>
      </c>
      <c r="H12" s="5" t="s">
        <v>3040</v>
      </c>
      <c r="I12" s="25"/>
      <c r="J12" s="25"/>
      <c r="K12" s="25" t="s">
        <v>125</v>
      </c>
      <c r="L12" s="25"/>
      <c r="M12" s="25"/>
    </row>
    <row r="13" spans="1:13" ht="96" customHeight="1">
      <c r="A13" s="53"/>
      <c r="B13" s="4" t="s">
        <v>3041</v>
      </c>
      <c r="C13" s="54" t="s">
        <v>3042</v>
      </c>
      <c r="D13" s="4" t="s">
        <v>3043</v>
      </c>
      <c r="E13" s="5" t="s">
        <v>3021</v>
      </c>
      <c r="F13" s="13" t="s">
        <v>97</v>
      </c>
      <c r="G13" s="4" t="s">
        <v>3044</v>
      </c>
      <c r="H13" s="5" t="s">
        <v>3045</v>
      </c>
      <c r="I13" s="25" t="s">
        <v>125</v>
      </c>
      <c r="J13" s="25"/>
      <c r="K13" s="25"/>
      <c r="L13" s="25"/>
      <c r="M13" s="25"/>
    </row>
    <row r="14" spans="1:13" ht="194.25" customHeight="1">
      <c r="A14" s="53"/>
      <c r="B14" s="4" t="s">
        <v>3046</v>
      </c>
      <c r="C14" s="54" t="s">
        <v>3047</v>
      </c>
      <c r="D14" s="4" t="s">
        <v>3048</v>
      </c>
      <c r="E14" s="5" t="s">
        <v>3049</v>
      </c>
      <c r="F14" s="13" t="s">
        <v>3050</v>
      </c>
      <c r="G14" s="4" t="s">
        <v>3051</v>
      </c>
      <c r="H14" s="5" t="s">
        <v>97</v>
      </c>
      <c r="I14" s="25" t="s">
        <v>125</v>
      </c>
      <c r="J14" s="25"/>
      <c r="K14" s="25"/>
      <c r="L14" s="25"/>
      <c r="M14" s="25"/>
    </row>
    <row r="15" spans="1:13" ht="110.25" customHeight="1">
      <c r="A15" s="53"/>
      <c r="B15" s="4" t="s">
        <v>9</v>
      </c>
      <c r="C15" s="54" t="s">
        <v>3052</v>
      </c>
      <c r="D15" s="4" t="s">
        <v>3053</v>
      </c>
      <c r="E15" s="5" t="s">
        <v>3039</v>
      </c>
      <c r="F15" s="13" t="s">
        <v>97</v>
      </c>
      <c r="G15" s="4" t="s">
        <v>97</v>
      </c>
      <c r="H15" s="5" t="s">
        <v>3054</v>
      </c>
      <c r="I15" s="25"/>
      <c r="J15" s="25"/>
      <c r="K15" s="25" t="s">
        <v>125</v>
      </c>
      <c r="L15" s="25"/>
      <c r="M15" s="25"/>
    </row>
    <row r="16" spans="1:13" ht="70.5" customHeight="1">
      <c r="A16" s="53"/>
      <c r="B16" s="4" t="s">
        <v>11</v>
      </c>
      <c r="C16" s="54" t="s">
        <v>3055</v>
      </c>
      <c r="D16" s="4" t="s">
        <v>3056</v>
      </c>
      <c r="E16" s="5" t="s">
        <v>3039</v>
      </c>
      <c r="F16" s="13" t="s">
        <v>97</v>
      </c>
      <c r="G16" s="4" t="s">
        <v>97</v>
      </c>
      <c r="H16" s="5" t="s">
        <v>3057</v>
      </c>
      <c r="I16" s="25"/>
      <c r="J16" s="25"/>
      <c r="K16" s="25" t="s">
        <v>125</v>
      </c>
      <c r="L16" s="25"/>
      <c r="M16" s="25"/>
    </row>
    <row r="17" spans="1:13" ht="38.25" customHeight="1">
      <c r="A17" s="53"/>
      <c r="B17" s="4" t="s">
        <v>13</v>
      </c>
      <c r="C17" s="54" t="s">
        <v>3058</v>
      </c>
      <c r="D17" s="4" t="s">
        <v>3059</v>
      </c>
      <c r="E17" s="5" t="s">
        <v>3039</v>
      </c>
      <c r="F17" s="13" t="s">
        <v>97</v>
      </c>
      <c r="G17" s="4" t="s">
        <v>97</v>
      </c>
      <c r="H17" s="5" t="s">
        <v>3057</v>
      </c>
      <c r="I17" s="25"/>
      <c r="J17" s="25"/>
      <c r="K17" s="25" t="s">
        <v>125</v>
      </c>
      <c r="L17" s="25"/>
      <c r="M17" s="25"/>
    </row>
    <row r="18" spans="1:13" ht="61.5" customHeight="1">
      <c r="A18" s="53"/>
      <c r="B18" s="4" t="s">
        <v>23</v>
      </c>
      <c r="C18" s="54" t="s">
        <v>3060</v>
      </c>
      <c r="D18" s="4" t="s">
        <v>3061</v>
      </c>
      <c r="E18" s="5" t="s">
        <v>3021</v>
      </c>
      <c r="F18" s="13" t="s">
        <v>3022</v>
      </c>
      <c r="G18" s="4" t="s">
        <v>3062</v>
      </c>
      <c r="H18" s="5" t="s">
        <v>3028</v>
      </c>
      <c r="I18" s="25" t="s">
        <v>125</v>
      </c>
      <c r="J18" s="25"/>
      <c r="K18" s="25"/>
      <c r="L18" s="25"/>
      <c r="M18" s="25"/>
    </row>
    <row r="19" spans="1:13" ht="69" customHeight="1">
      <c r="A19" s="53"/>
      <c r="B19" s="4" t="s">
        <v>25</v>
      </c>
      <c r="C19" s="54" t="s">
        <v>3063</v>
      </c>
      <c r="D19" s="4" t="s">
        <v>3064</v>
      </c>
      <c r="E19" s="5" t="s">
        <v>3039</v>
      </c>
      <c r="F19" s="13" t="s">
        <v>3022</v>
      </c>
      <c r="G19" s="4" t="s">
        <v>97</v>
      </c>
      <c r="H19" s="5" t="s">
        <v>3065</v>
      </c>
      <c r="I19" s="25"/>
      <c r="J19" s="25"/>
      <c r="K19" s="25" t="s">
        <v>125</v>
      </c>
      <c r="L19" s="25"/>
      <c r="M19" s="25"/>
    </row>
    <row r="20" spans="1:13" ht="60.75" customHeight="1">
      <c r="A20" s="53"/>
      <c r="B20" s="4" t="s">
        <v>27</v>
      </c>
      <c r="C20" s="54" t="s">
        <v>3066</v>
      </c>
      <c r="D20" s="4" t="s">
        <v>3067</v>
      </c>
      <c r="E20" s="5" t="s">
        <v>3039</v>
      </c>
      <c r="F20" s="13" t="s">
        <v>97</v>
      </c>
      <c r="G20" s="4" t="s">
        <v>97</v>
      </c>
      <c r="H20" s="5" t="s">
        <v>3068</v>
      </c>
      <c r="I20" s="25"/>
      <c r="J20" s="25"/>
      <c r="K20" s="25" t="s">
        <v>125</v>
      </c>
      <c r="L20" s="25"/>
      <c r="M20" s="25"/>
    </row>
    <row r="21" spans="1:13" ht="58.5" customHeight="1">
      <c r="A21" s="53"/>
      <c r="B21" s="4" t="s">
        <v>3069</v>
      </c>
      <c r="C21" s="54" t="s">
        <v>3070</v>
      </c>
      <c r="D21" s="4" t="s">
        <v>3071</v>
      </c>
      <c r="E21" s="5" t="s">
        <v>3039</v>
      </c>
      <c r="F21" s="13" t="s">
        <v>97</v>
      </c>
      <c r="G21" s="4" t="s">
        <v>97</v>
      </c>
      <c r="H21" s="5" t="s">
        <v>3072</v>
      </c>
      <c r="I21" s="25"/>
      <c r="J21" s="25"/>
      <c r="K21" s="25" t="s">
        <v>125</v>
      </c>
      <c r="L21" s="25"/>
      <c r="M21" s="25"/>
    </row>
    <row r="22" spans="1:13" ht="36" customHeight="1">
      <c r="A22" s="53"/>
      <c r="B22" s="4" t="s">
        <v>3073</v>
      </c>
      <c r="C22" s="54" t="s">
        <v>3074</v>
      </c>
      <c r="D22" s="4" t="s">
        <v>3075</v>
      </c>
      <c r="E22" s="13" t="s">
        <v>3032</v>
      </c>
      <c r="F22" s="13" t="s">
        <v>3033</v>
      </c>
      <c r="G22" s="4" t="s">
        <v>3051</v>
      </c>
      <c r="H22" s="5" t="s">
        <v>3076</v>
      </c>
      <c r="I22" s="25"/>
      <c r="J22" s="25" t="s">
        <v>125</v>
      </c>
      <c r="K22" s="25"/>
      <c r="L22" s="25"/>
      <c r="M22" s="25"/>
    </row>
    <row r="23" spans="1:13" ht="36" customHeight="1">
      <c r="A23" s="53"/>
      <c r="B23" s="4" t="s">
        <v>3077</v>
      </c>
      <c r="C23" s="54" t="s">
        <v>3078</v>
      </c>
      <c r="D23" s="4" t="s">
        <v>3079</v>
      </c>
      <c r="E23" s="13" t="s">
        <v>3032</v>
      </c>
      <c r="F23" s="13" t="s">
        <v>3033</v>
      </c>
      <c r="G23" s="4" t="s">
        <v>3051</v>
      </c>
      <c r="H23" s="5" t="s">
        <v>3035</v>
      </c>
      <c r="I23" s="25"/>
      <c r="J23" s="25" t="s">
        <v>125</v>
      </c>
      <c r="K23" s="25"/>
      <c r="L23" s="25"/>
      <c r="M23" s="25"/>
    </row>
    <row r="24" spans="1:13" ht="48">
      <c r="A24" s="53"/>
      <c r="B24" s="4" t="s">
        <v>3080</v>
      </c>
      <c r="C24" s="54" t="s">
        <v>18</v>
      </c>
      <c r="D24" s="4" t="s">
        <v>3081</v>
      </c>
      <c r="E24" s="5" t="s">
        <v>3049</v>
      </c>
      <c r="F24" s="13" t="s">
        <v>3022</v>
      </c>
      <c r="G24" s="4" t="s">
        <v>3051</v>
      </c>
      <c r="H24" s="13" t="s">
        <v>97</v>
      </c>
      <c r="I24" s="25" t="s">
        <v>125</v>
      </c>
      <c r="J24" s="25"/>
      <c r="K24" s="25"/>
      <c r="L24" s="25"/>
      <c r="M24" s="25"/>
    </row>
    <row r="25" spans="1:13" ht="48">
      <c r="A25" s="53"/>
      <c r="B25" s="4" t="s">
        <v>3082</v>
      </c>
      <c r="C25" s="54" t="s">
        <v>3083</v>
      </c>
      <c r="D25" s="4" t="s">
        <v>3084</v>
      </c>
      <c r="E25" s="5" t="s">
        <v>3021</v>
      </c>
      <c r="F25" s="13" t="s">
        <v>97</v>
      </c>
      <c r="G25" s="4" t="s">
        <v>3085</v>
      </c>
      <c r="H25" s="5" t="s">
        <v>3086</v>
      </c>
      <c r="I25" s="25" t="s">
        <v>125</v>
      </c>
      <c r="J25" s="25"/>
      <c r="K25" s="25"/>
      <c r="L25" s="25"/>
      <c r="M25" s="25"/>
    </row>
    <row r="26" spans="1:13" ht="58.5" customHeight="1">
      <c r="A26" s="53"/>
      <c r="B26" s="4" t="s">
        <v>3087</v>
      </c>
      <c r="C26" s="54" t="s">
        <v>3088</v>
      </c>
      <c r="D26" s="4" t="s">
        <v>3089</v>
      </c>
      <c r="E26" s="5" t="s">
        <v>3039</v>
      </c>
      <c r="F26" s="13" t="s">
        <v>97</v>
      </c>
      <c r="G26" s="4" t="s">
        <v>97</v>
      </c>
      <c r="H26" s="5" t="s">
        <v>3090</v>
      </c>
      <c r="I26" s="25"/>
      <c r="J26" s="25"/>
      <c r="K26" s="25"/>
      <c r="L26" s="25" t="s">
        <v>125</v>
      </c>
      <c r="M26" s="25" t="s">
        <v>125</v>
      </c>
    </row>
    <row r="27" spans="1:13" ht="91.5" customHeight="1">
      <c r="A27" s="53"/>
      <c r="B27" s="4" t="s">
        <v>57</v>
      </c>
      <c r="C27" s="54" t="s">
        <v>3091</v>
      </c>
      <c r="D27" s="4" t="s">
        <v>3092</v>
      </c>
      <c r="E27" s="5" t="s">
        <v>3021</v>
      </c>
      <c r="F27" s="13" t="s">
        <v>97</v>
      </c>
      <c r="G27" s="4" t="s">
        <v>3093</v>
      </c>
      <c r="H27" s="5" t="s">
        <v>3094</v>
      </c>
      <c r="I27" s="25" t="s">
        <v>125</v>
      </c>
      <c r="J27" s="25"/>
      <c r="K27" s="25"/>
      <c r="L27" s="25"/>
      <c r="M27" s="25"/>
    </row>
    <row r="28" spans="1:13" ht="48" customHeight="1">
      <c r="A28" s="53"/>
      <c r="B28" s="4" t="s">
        <v>59</v>
      </c>
      <c r="C28" s="54" t="s">
        <v>3095</v>
      </c>
      <c r="D28" s="4" t="s">
        <v>3096</v>
      </c>
      <c r="E28" s="5" t="s">
        <v>3021</v>
      </c>
      <c r="F28" s="13" t="s">
        <v>97</v>
      </c>
      <c r="G28" s="4" t="s">
        <v>3096</v>
      </c>
      <c r="H28" s="5" t="s">
        <v>3086</v>
      </c>
      <c r="I28" s="25" t="s">
        <v>125</v>
      </c>
      <c r="J28" s="25"/>
      <c r="K28" s="25"/>
      <c r="L28" s="25"/>
      <c r="M28" s="25"/>
    </row>
    <row r="29" spans="1:13" ht="92.25" customHeight="1">
      <c r="A29" s="53"/>
      <c r="B29" s="4" t="s">
        <v>61</v>
      </c>
      <c r="C29" s="54" t="s">
        <v>3097</v>
      </c>
      <c r="D29" s="4" t="s">
        <v>3098</v>
      </c>
      <c r="E29" s="5" t="s">
        <v>3021</v>
      </c>
      <c r="F29" s="13" t="s">
        <v>97</v>
      </c>
      <c r="G29" s="4" t="s">
        <v>3099</v>
      </c>
      <c r="H29" s="5" t="s">
        <v>3094</v>
      </c>
      <c r="I29" s="25" t="s">
        <v>125</v>
      </c>
      <c r="J29" s="25"/>
      <c r="K29" s="25"/>
      <c r="L29" s="25"/>
      <c r="M29" s="25"/>
    </row>
    <row r="30" spans="1:13" ht="92.25" customHeight="1">
      <c r="A30" s="53"/>
      <c r="B30" s="4" t="s">
        <v>63</v>
      </c>
      <c r="C30" s="54" t="s">
        <v>3100</v>
      </c>
      <c r="D30" s="4" t="s">
        <v>3101</v>
      </c>
      <c r="E30" s="5" t="s">
        <v>3021</v>
      </c>
      <c r="F30" s="13" t="s">
        <v>97</v>
      </c>
      <c r="G30" s="4" t="s">
        <v>3102</v>
      </c>
      <c r="H30" s="5" t="s">
        <v>3094</v>
      </c>
      <c r="I30" s="25" t="s">
        <v>125</v>
      </c>
      <c r="J30" s="25"/>
      <c r="K30" s="25"/>
      <c r="L30" s="25"/>
      <c r="M30" s="25"/>
    </row>
    <row r="31" spans="1:13" ht="57.75" customHeight="1">
      <c r="A31" s="53"/>
      <c r="B31" s="4" t="s">
        <v>65</v>
      </c>
      <c r="C31" s="54" t="s">
        <v>3103</v>
      </c>
      <c r="D31" s="4" t="s">
        <v>3104</v>
      </c>
      <c r="E31" s="5" t="s">
        <v>3039</v>
      </c>
      <c r="F31" s="13" t="s">
        <v>97</v>
      </c>
      <c r="G31" s="4" t="s">
        <v>97</v>
      </c>
      <c r="H31" s="5" t="s">
        <v>3105</v>
      </c>
      <c r="I31" s="25"/>
      <c r="J31" s="25"/>
      <c r="K31" s="25" t="s">
        <v>125</v>
      </c>
      <c r="L31" s="25"/>
      <c r="M31" s="25"/>
    </row>
    <row r="32" spans="1:13" ht="48" customHeight="1">
      <c r="A32" s="53"/>
      <c r="B32" s="4" t="s">
        <v>3106</v>
      </c>
      <c r="C32" s="54" t="s">
        <v>3107</v>
      </c>
      <c r="D32" s="4" t="s">
        <v>3108</v>
      </c>
      <c r="E32" s="5" t="s">
        <v>3021</v>
      </c>
      <c r="F32" s="13" t="s">
        <v>3022</v>
      </c>
      <c r="G32" s="4" t="s">
        <v>3108</v>
      </c>
      <c r="H32" s="5" t="s">
        <v>3086</v>
      </c>
      <c r="I32" s="25" t="s">
        <v>125</v>
      </c>
      <c r="J32" s="25"/>
      <c r="K32" s="25"/>
      <c r="L32" s="25"/>
      <c r="M32" s="25"/>
    </row>
    <row r="33" spans="1:13" ht="96">
      <c r="A33" s="53"/>
      <c r="B33" s="4" t="s">
        <v>3109</v>
      </c>
      <c r="C33" s="54" t="s">
        <v>3110</v>
      </c>
      <c r="D33" s="4" t="s">
        <v>3111</v>
      </c>
      <c r="E33" s="5" t="s">
        <v>3021</v>
      </c>
      <c r="F33" s="13" t="s">
        <v>3022</v>
      </c>
      <c r="G33" s="4" t="s">
        <v>3112</v>
      </c>
      <c r="H33" s="5" t="s">
        <v>3113</v>
      </c>
      <c r="I33" s="25" t="s">
        <v>125</v>
      </c>
      <c r="J33" s="25"/>
      <c r="K33" s="25"/>
      <c r="L33" s="25"/>
      <c r="M33" s="25"/>
    </row>
    <row r="34" spans="1:13" ht="138" customHeight="1">
      <c r="A34" s="53"/>
      <c r="B34" s="4" t="s">
        <v>3114</v>
      </c>
      <c r="C34" s="54" t="s">
        <v>40</v>
      </c>
      <c r="D34" s="4" t="s">
        <v>3115</v>
      </c>
      <c r="E34" s="13" t="s">
        <v>3049</v>
      </c>
      <c r="F34" s="13" t="s">
        <v>97</v>
      </c>
      <c r="G34" s="4" t="s">
        <v>3051</v>
      </c>
      <c r="H34" s="5" t="s">
        <v>97</v>
      </c>
      <c r="I34" s="25" t="s">
        <v>125</v>
      </c>
      <c r="J34" s="25"/>
      <c r="K34" s="25"/>
      <c r="L34" s="25"/>
      <c r="M34" s="25"/>
    </row>
    <row r="35" spans="1:13" ht="95.25" customHeight="1">
      <c r="A35" s="53"/>
      <c r="B35" s="4" t="s">
        <v>3116</v>
      </c>
      <c r="C35" s="54" t="s">
        <v>3117</v>
      </c>
      <c r="D35" s="4" t="s">
        <v>3118</v>
      </c>
      <c r="E35" s="5" t="s">
        <v>3021</v>
      </c>
      <c r="F35" s="13" t="s">
        <v>97</v>
      </c>
      <c r="G35" s="4" t="s">
        <v>3051</v>
      </c>
      <c r="H35" s="5" t="s">
        <v>3119</v>
      </c>
      <c r="I35" s="25" t="s">
        <v>125</v>
      </c>
      <c r="J35" s="25"/>
      <c r="K35" s="25"/>
      <c r="L35" s="25"/>
      <c r="M35" s="25"/>
    </row>
    <row r="36" spans="1:13" ht="39.75" customHeight="1">
      <c r="A36" s="53"/>
      <c r="B36" s="4" t="s">
        <v>67</v>
      </c>
      <c r="C36" s="54" t="s">
        <v>3120</v>
      </c>
      <c r="D36" s="4" t="s">
        <v>3121</v>
      </c>
      <c r="E36" s="5" t="s">
        <v>3049</v>
      </c>
      <c r="F36" s="13" t="s">
        <v>97</v>
      </c>
      <c r="G36" s="4" t="s">
        <v>3051</v>
      </c>
      <c r="H36" s="5" t="s">
        <v>97</v>
      </c>
      <c r="I36" s="25" t="s">
        <v>125</v>
      </c>
      <c r="J36" s="25"/>
      <c r="K36" s="25"/>
      <c r="L36" s="25"/>
      <c r="M36" s="25"/>
    </row>
    <row r="37" spans="1:13" ht="82.5" customHeight="1">
      <c r="A37" s="53"/>
      <c r="B37" s="4" t="s">
        <v>69</v>
      </c>
      <c r="C37" s="54" t="s">
        <v>3122</v>
      </c>
      <c r="D37" s="4" t="s">
        <v>3123</v>
      </c>
      <c r="E37" s="5" t="s">
        <v>3039</v>
      </c>
      <c r="F37" s="13" t="s">
        <v>97</v>
      </c>
      <c r="G37" s="4" t="s">
        <v>97</v>
      </c>
      <c r="H37" s="5" t="s">
        <v>3124</v>
      </c>
      <c r="I37" s="25"/>
      <c r="J37" s="25"/>
      <c r="K37" s="25" t="s">
        <v>125</v>
      </c>
      <c r="L37" s="25"/>
      <c r="M37" s="25"/>
    </row>
    <row r="38" spans="1:13" ht="83.25" customHeight="1">
      <c r="A38" s="53"/>
      <c r="B38" s="4" t="s">
        <v>71</v>
      </c>
      <c r="C38" s="54" t="s">
        <v>3125</v>
      </c>
      <c r="D38" s="4" t="s">
        <v>3126</v>
      </c>
      <c r="E38" s="5" t="s">
        <v>3021</v>
      </c>
      <c r="F38" s="13" t="s">
        <v>3022</v>
      </c>
      <c r="G38" s="4" t="s">
        <v>3127</v>
      </c>
      <c r="H38" s="5" t="s">
        <v>3076</v>
      </c>
      <c r="I38" s="25" t="s">
        <v>125</v>
      </c>
      <c r="J38" s="25"/>
      <c r="K38" s="25"/>
      <c r="L38" s="25"/>
      <c r="M38" s="25"/>
    </row>
    <row r="39" spans="1:13" ht="39.75" customHeight="1">
      <c r="A39" s="53"/>
      <c r="B39" s="4" t="s">
        <v>73</v>
      </c>
      <c r="C39" s="54" t="s">
        <v>3128</v>
      </c>
      <c r="D39" s="4" t="s">
        <v>3129</v>
      </c>
      <c r="E39" s="5" t="s">
        <v>3049</v>
      </c>
      <c r="F39" s="13" t="s">
        <v>3022</v>
      </c>
      <c r="G39" s="4" t="s">
        <v>3051</v>
      </c>
      <c r="H39" s="5" t="s">
        <v>97</v>
      </c>
      <c r="I39" s="25" t="s">
        <v>125</v>
      </c>
      <c r="J39" s="25"/>
      <c r="K39" s="25"/>
      <c r="L39" s="25"/>
      <c r="M39" s="25"/>
    </row>
    <row r="40" spans="1:13" ht="70.5" customHeight="1">
      <c r="A40" s="53"/>
      <c r="B40" s="4" t="s">
        <v>3130</v>
      </c>
      <c r="C40" s="54" t="s">
        <v>3131</v>
      </c>
      <c r="D40" s="4" t="s">
        <v>3132</v>
      </c>
      <c r="E40" s="5" t="s">
        <v>3021</v>
      </c>
      <c r="F40" s="13" t="s">
        <v>97</v>
      </c>
      <c r="G40" s="4" t="s">
        <v>3051</v>
      </c>
      <c r="H40" s="5" t="s">
        <v>3133</v>
      </c>
      <c r="I40" s="25" t="s">
        <v>125</v>
      </c>
      <c r="J40" s="25"/>
      <c r="K40" s="27"/>
      <c r="L40" s="25"/>
      <c r="M40" s="25"/>
    </row>
    <row r="41" spans="1:13" ht="70.5" customHeight="1">
      <c r="A41" s="53"/>
      <c r="B41" s="4" t="s">
        <v>3134</v>
      </c>
      <c r="C41" s="54" t="s">
        <v>3135</v>
      </c>
      <c r="D41" s="4" t="s">
        <v>3136</v>
      </c>
      <c r="E41" s="5" t="s">
        <v>3021</v>
      </c>
      <c r="F41" s="13" t="s">
        <v>97</v>
      </c>
      <c r="G41" s="4" t="s">
        <v>3051</v>
      </c>
      <c r="H41" s="5" t="s">
        <v>3133</v>
      </c>
      <c r="I41" s="25" t="s">
        <v>125</v>
      </c>
      <c r="J41" s="25"/>
      <c r="K41" s="25"/>
      <c r="L41" s="25"/>
      <c r="M41" s="25"/>
    </row>
    <row r="42" spans="1:13" ht="48">
      <c r="A42" s="53"/>
      <c r="B42" s="4" t="s">
        <v>3137</v>
      </c>
      <c r="C42" s="54" t="s">
        <v>3138</v>
      </c>
      <c r="D42" s="4" t="s">
        <v>3139</v>
      </c>
      <c r="E42" s="5" t="s">
        <v>3049</v>
      </c>
      <c r="F42" s="13" t="s">
        <v>97</v>
      </c>
      <c r="G42" s="4" t="s">
        <v>3051</v>
      </c>
      <c r="H42" s="5" t="s">
        <v>97</v>
      </c>
      <c r="I42" s="25" t="s">
        <v>125</v>
      </c>
      <c r="J42" s="25"/>
      <c r="K42" s="25"/>
      <c r="L42" s="25"/>
      <c r="M42" s="25"/>
    </row>
    <row r="43" spans="1:13" ht="69" customHeight="1">
      <c r="A43" s="53"/>
      <c r="B43" s="4" t="s">
        <v>3140</v>
      </c>
      <c r="C43" s="54" t="s">
        <v>3141</v>
      </c>
      <c r="D43" s="4" t="s">
        <v>3142</v>
      </c>
      <c r="E43" s="5" t="s">
        <v>3021</v>
      </c>
      <c r="F43" s="13" t="s">
        <v>97</v>
      </c>
      <c r="G43" s="4" t="s">
        <v>3051</v>
      </c>
      <c r="H43" s="5" t="s">
        <v>3133</v>
      </c>
      <c r="I43" s="25" t="s">
        <v>125</v>
      </c>
      <c r="J43" s="25"/>
      <c r="K43" s="25"/>
      <c r="L43" s="25"/>
      <c r="M43" s="25"/>
    </row>
    <row r="44" spans="1:13" ht="48.75" customHeight="1">
      <c r="A44" s="53"/>
      <c r="B44" s="4" t="s">
        <v>3143</v>
      </c>
      <c r="C44" s="54" t="s">
        <v>3144</v>
      </c>
      <c r="D44" s="4" t="s">
        <v>3145</v>
      </c>
      <c r="E44" s="5" t="s">
        <v>3049</v>
      </c>
      <c r="F44" s="13" t="s">
        <v>97</v>
      </c>
      <c r="G44" s="4" t="s">
        <v>3051</v>
      </c>
      <c r="H44" s="5" t="s">
        <v>97</v>
      </c>
      <c r="I44" s="25" t="s">
        <v>125</v>
      </c>
      <c r="J44" s="25"/>
      <c r="K44" s="25"/>
      <c r="L44" s="25"/>
      <c r="M44" s="25"/>
    </row>
    <row r="45" spans="1:13" ht="80.25" customHeight="1">
      <c r="A45" s="53"/>
      <c r="B45" s="4" t="s">
        <v>3146</v>
      </c>
      <c r="C45" s="54" t="s">
        <v>3147</v>
      </c>
      <c r="D45" s="4" t="s">
        <v>3148</v>
      </c>
      <c r="E45" s="5" t="s">
        <v>3021</v>
      </c>
      <c r="F45" s="13" t="s">
        <v>97</v>
      </c>
      <c r="G45" s="4" t="s">
        <v>3051</v>
      </c>
      <c r="H45" s="5" t="s">
        <v>3149</v>
      </c>
      <c r="I45" s="25" t="s">
        <v>125</v>
      </c>
      <c r="J45" s="25"/>
      <c r="K45" s="25"/>
      <c r="L45" s="25"/>
      <c r="M45" s="25"/>
    </row>
    <row r="46" spans="1:13" ht="36">
      <c r="A46" s="53"/>
      <c r="B46" s="4" t="s">
        <v>3150</v>
      </c>
      <c r="C46" s="54" t="s">
        <v>3151</v>
      </c>
      <c r="D46" s="4" t="s">
        <v>3152</v>
      </c>
      <c r="E46" s="5" t="s">
        <v>3049</v>
      </c>
      <c r="F46" s="13" t="s">
        <v>97</v>
      </c>
      <c r="G46" s="4" t="s">
        <v>3051</v>
      </c>
      <c r="H46" s="5" t="s">
        <v>97</v>
      </c>
      <c r="I46" s="25" t="s">
        <v>125</v>
      </c>
      <c r="J46" s="25"/>
      <c r="K46" s="25"/>
      <c r="L46" s="25"/>
      <c r="M46" s="25"/>
    </row>
    <row r="47" spans="1:13" ht="56.25" customHeight="1">
      <c r="A47" s="53"/>
      <c r="B47" s="4" t="s">
        <v>3153</v>
      </c>
      <c r="C47" s="54" t="s">
        <v>3154</v>
      </c>
      <c r="D47" s="4" t="s">
        <v>3155</v>
      </c>
      <c r="E47" s="5" t="s">
        <v>3049</v>
      </c>
      <c r="F47" s="13" t="s">
        <v>97</v>
      </c>
      <c r="G47" s="4" t="s">
        <v>3051</v>
      </c>
      <c r="H47" s="5" t="s">
        <v>97</v>
      </c>
      <c r="I47" s="25" t="s">
        <v>125</v>
      </c>
      <c r="J47" s="25"/>
      <c r="K47" s="25"/>
      <c r="L47" s="25"/>
      <c r="M47" s="25"/>
    </row>
    <row r="48" spans="1:13" ht="36">
      <c r="A48" s="53"/>
      <c r="B48" s="4" t="s">
        <v>3156</v>
      </c>
      <c r="C48" s="54" t="s">
        <v>3157</v>
      </c>
      <c r="D48" s="4" t="s">
        <v>3158</v>
      </c>
      <c r="E48" s="5" t="s">
        <v>3049</v>
      </c>
      <c r="F48" s="13" t="s">
        <v>97</v>
      </c>
      <c r="G48" s="4" t="s">
        <v>3051</v>
      </c>
      <c r="H48" s="5" t="s">
        <v>97</v>
      </c>
      <c r="I48" s="25" t="s">
        <v>125</v>
      </c>
      <c r="J48" s="25"/>
      <c r="K48" s="25"/>
      <c r="L48" s="25"/>
      <c r="M48" s="25"/>
    </row>
    <row r="49" spans="1:13" ht="48">
      <c r="A49" s="53"/>
      <c r="B49" s="4" t="s">
        <v>3159</v>
      </c>
      <c r="C49" s="54" t="s">
        <v>62</v>
      </c>
      <c r="D49" s="4" t="s">
        <v>3160</v>
      </c>
      <c r="E49" s="5" t="s">
        <v>3049</v>
      </c>
      <c r="F49" s="13" t="s">
        <v>97</v>
      </c>
      <c r="G49" s="4" t="s">
        <v>3051</v>
      </c>
      <c r="H49" s="5" t="s">
        <v>97</v>
      </c>
      <c r="I49" s="25" t="s">
        <v>125</v>
      </c>
      <c r="J49" s="25"/>
      <c r="K49" s="25"/>
      <c r="L49" s="25"/>
      <c r="M49" s="25"/>
    </row>
    <row r="50" spans="1:13" ht="24.75" customHeight="1">
      <c r="A50" s="53"/>
      <c r="B50" s="4" t="s">
        <v>3161</v>
      </c>
      <c r="C50" s="54" t="s">
        <v>64</v>
      </c>
      <c r="D50" s="4" t="s">
        <v>3162</v>
      </c>
      <c r="E50" s="5" t="s">
        <v>3049</v>
      </c>
      <c r="F50" s="13" t="s">
        <v>97</v>
      </c>
      <c r="G50" s="4" t="s">
        <v>3051</v>
      </c>
      <c r="H50" s="5" t="s">
        <v>97</v>
      </c>
      <c r="I50" s="25" t="s">
        <v>125</v>
      </c>
      <c r="J50" s="25"/>
      <c r="K50" s="25"/>
      <c r="L50" s="25"/>
      <c r="M50" s="25"/>
    </row>
    <row r="51" spans="1:13" ht="21.75" customHeight="1">
      <c r="A51" s="53"/>
      <c r="B51" s="4" t="s">
        <v>3163</v>
      </c>
      <c r="C51" s="54" t="s">
        <v>3164</v>
      </c>
      <c r="D51" s="4" t="s">
        <v>3165</v>
      </c>
      <c r="E51" s="5" t="s">
        <v>3049</v>
      </c>
      <c r="F51" s="13" t="s">
        <v>97</v>
      </c>
      <c r="G51" s="4" t="s">
        <v>3051</v>
      </c>
      <c r="H51" s="5" t="s">
        <v>97</v>
      </c>
      <c r="I51" s="25" t="s">
        <v>125</v>
      </c>
      <c r="J51" s="25"/>
      <c r="K51" s="25"/>
      <c r="L51" s="25"/>
      <c r="M51" s="25"/>
    </row>
    <row r="52" spans="1:13" ht="36" customHeight="1">
      <c r="A52" s="53"/>
      <c r="B52" s="4" t="s">
        <v>3166</v>
      </c>
      <c r="C52" s="54" t="s">
        <v>3167</v>
      </c>
      <c r="D52" s="4" t="s">
        <v>3168</v>
      </c>
      <c r="E52" s="5" t="s">
        <v>3039</v>
      </c>
      <c r="F52" s="13" t="s">
        <v>97</v>
      </c>
      <c r="G52" s="4" t="s">
        <v>97</v>
      </c>
      <c r="H52" s="5" t="s">
        <v>3090</v>
      </c>
      <c r="I52" s="25"/>
      <c r="J52" s="25"/>
      <c r="K52" s="25"/>
      <c r="L52" s="25" t="s">
        <v>125</v>
      </c>
      <c r="M52" s="25" t="s">
        <v>125</v>
      </c>
    </row>
    <row r="53" spans="1:13" ht="58.5" customHeight="1">
      <c r="A53" s="53"/>
      <c r="B53" s="4" t="s">
        <v>3169</v>
      </c>
      <c r="C53" s="54" t="s">
        <v>3170</v>
      </c>
      <c r="D53" s="4" t="s">
        <v>3171</v>
      </c>
      <c r="E53" s="5" t="s">
        <v>3021</v>
      </c>
      <c r="F53" s="13" t="s">
        <v>97</v>
      </c>
      <c r="G53" s="4" t="s">
        <v>3172</v>
      </c>
      <c r="H53" s="5" t="s">
        <v>3173</v>
      </c>
      <c r="I53" s="25" t="s">
        <v>125</v>
      </c>
      <c r="J53" s="25"/>
      <c r="K53" s="25"/>
      <c r="L53" s="25"/>
      <c r="M53" s="25"/>
    </row>
    <row r="54" spans="1:13" ht="71.25" customHeight="1">
      <c r="A54" s="53"/>
      <c r="B54" s="4" t="s">
        <v>3174</v>
      </c>
      <c r="C54" s="54" t="s">
        <v>3175</v>
      </c>
      <c r="D54" s="4" t="s">
        <v>3176</v>
      </c>
      <c r="E54" s="5" t="s">
        <v>3039</v>
      </c>
      <c r="F54" s="13" t="s">
        <v>97</v>
      </c>
      <c r="G54" s="4" t="s">
        <v>97</v>
      </c>
      <c r="H54" s="5" t="s">
        <v>3090</v>
      </c>
      <c r="I54" s="25"/>
      <c r="J54" s="25"/>
      <c r="K54" s="25"/>
      <c r="L54" s="25" t="s">
        <v>125</v>
      </c>
      <c r="M54" s="25" t="s">
        <v>125</v>
      </c>
    </row>
    <row r="55" spans="1:13" ht="48.75" customHeight="1">
      <c r="A55" s="53"/>
      <c r="B55" s="4" t="s">
        <v>3177</v>
      </c>
      <c r="C55" s="54" t="s">
        <v>3178</v>
      </c>
      <c r="D55" s="4" t="s">
        <v>3179</v>
      </c>
      <c r="E55" s="5" t="s">
        <v>3032</v>
      </c>
      <c r="F55" s="13" t="s">
        <v>97</v>
      </c>
      <c r="G55" s="4" t="s">
        <v>3180</v>
      </c>
      <c r="H55" s="5" t="s">
        <v>3181</v>
      </c>
      <c r="I55" s="25" t="s">
        <v>125</v>
      </c>
      <c r="J55" s="25"/>
      <c r="K55" s="25"/>
      <c r="L55" s="25"/>
      <c r="M55" s="25"/>
    </row>
    <row r="56" spans="1:13" ht="24">
      <c r="A56" s="53"/>
      <c r="B56" s="4" t="s">
        <v>3182</v>
      </c>
      <c r="C56" s="54" t="s">
        <v>3183</v>
      </c>
      <c r="D56" s="4" t="s">
        <v>3184</v>
      </c>
      <c r="E56" s="5" t="s">
        <v>3049</v>
      </c>
      <c r="F56" s="13" t="s">
        <v>97</v>
      </c>
      <c r="G56" s="4" t="s">
        <v>3051</v>
      </c>
      <c r="H56" s="5" t="s">
        <v>97</v>
      </c>
      <c r="I56" s="25" t="s">
        <v>125</v>
      </c>
      <c r="J56" s="25"/>
      <c r="K56" s="25"/>
      <c r="L56" s="25"/>
      <c r="M56" s="25"/>
    </row>
    <row r="57" spans="1:13" ht="40.5" customHeight="1">
      <c r="A57" s="53"/>
      <c r="B57" s="4" t="s">
        <v>3185</v>
      </c>
      <c r="C57" s="54" t="s">
        <v>68</v>
      </c>
      <c r="D57" s="4" t="s">
        <v>3186</v>
      </c>
      <c r="E57" s="5" t="s">
        <v>3049</v>
      </c>
      <c r="F57" s="13" t="s">
        <v>97</v>
      </c>
      <c r="G57" s="4" t="s">
        <v>3051</v>
      </c>
      <c r="H57" s="5" t="s">
        <v>97</v>
      </c>
      <c r="I57" s="25" t="s">
        <v>125</v>
      </c>
      <c r="J57" s="25"/>
      <c r="K57" s="25"/>
      <c r="L57" s="25"/>
      <c r="M57" s="25"/>
    </row>
    <row r="58" spans="1:13" ht="41.25" customHeight="1">
      <c r="A58" s="53"/>
      <c r="B58" s="4" t="s">
        <v>3187</v>
      </c>
      <c r="C58" s="54" t="s">
        <v>3188</v>
      </c>
      <c r="D58" s="4" t="s">
        <v>3189</v>
      </c>
      <c r="E58" s="5" t="s">
        <v>3049</v>
      </c>
      <c r="F58" s="13" t="s">
        <v>97</v>
      </c>
      <c r="G58" s="4" t="s">
        <v>3051</v>
      </c>
      <c r="H58" s="5" t="s">
        <v>97</v>
      </c>
      <c r="I58" s="25" t="s">
        <v>125</v>
      </c>
      <c r="J58" s="25"/>
      <c r="K58" s="25"/>
      <c r="L58" s="25"/>
      <c r="M58" s="25"/>
    </row>
    <row r="59" spans="1:13" ht="240">
      <c r="A59" s="53"/>
      <c r="B59" s="4" t="s">
        <v>3190</v>
      </c>
      <c r="C59" s="54" t="s">
        <v>78</v>
      </c>
      <c r="D59" s="4" t="s">
        <v>3191</v>
      </c>
      <c r="E59" s="5" t="s">
        <v>3049</v>
      </c>
      <c r="F59" s="13" t="s">
        <v>97</v>
      </c>
      <c r="G59" s="4" t="s">
        <v>3051</v>
      </c>
      <c r="H59" s="5" t="s">
        <v>97</v>
      </c>
      <c r="I59" s="25" t="s">
        <v>125</v>
      </c>
      <c r="J59" s="25"/>
      <c r="K59" s="25"/>
      <c r="L59" s="25"/>
      <c r="M59" s="25"/>
    </row>
    <row r="60" spans="1:13" ht="168">
      <c r="A60" s="53"/>
      <c r="B60" s="4" t="s">
        <v>3192</v>
      </c>
      <c r="C60" s="54" t="s">
        <v>3193</v>
      </c>
      <c r="D60" s="4" t="s">
        <v>3194</v>
      </c>
      <c r="E60" s="5" t="s">
        <v>3039</v>
      </c>
      <c r="F60" s="13" t="s">
        <v>97</v>
      </c>
      <c r="G60" s="4" t="s">
        <v>97</v>
      </c>
      <c r="H60" s="5" t="s">
        <v>3195</v>
      </c>
      <c r="I60" s="25"/>
      <c r="J60" s="25"/>
      <c r="K60" s="25" t="s">
        <v>125</v>
      </c>
      <c r="L60" s="25"/>
      <c r="M60" s="25"/>
    </row>
    <row r="61" spans="1:13" ht="135.75" customHeight="1">
      <c r="A61" s="53"/>
      <c r="B61" s="4" t="s">
        <v>3196</v>
      </c>
      <c r="C61" s="54" t="s">
        <v>80</v>
      </c>
      <c r="D61" s="4" t="s">
        <v>3197</v>
      </c>
      <c r="E61" s="5" t="s">
        <v>3049</v>
      </c>
      <c r="F61" s="13" t="s">
        <v>3198</v>
      </c>
      <c r="G61" s="4" t="s">
        <v>3051</v>
      </c>
      <c r="H61" s="5" t="s">
        <v>97</v>
      </c>
      <c r="I61" s="25" t="s">
        <v>125</v>
      </c>
      <c r="J61" s="25"/>
      <c r="K61" s="25"/>
      <c r="L61" s="25"/>
      <c r="M61" s="25"/>
    </row>
    <row r="62" spans="1:13" ht="125.25" customHeight="1">
      <c r="A62" s="53"/>
      <c r="B62" s="55" t="s">
        <v>3199</v>
      </c>
      <c r="C62" s="54" t="s">
        <v>3200</v>
      </c>
      <c r="D62" s="4" t="s">
        <v>3201</v>
      </c>
      <c r="E62" s="5" t="s">
        <v>3032</v>
      </c>
      <c r="F62" s="13" t="s">
        <v>3033</v>
      </c>
      <c r="G62" s="4" t="s">
        <v>3202</v>
      </c>
      <c r="H62" s="5" t="s">
        <v>3203</v>
      </c>
      <c r="I62" s="25"/>
      <c r="J62" s="25" t="s">
        <v>125</v>
      </c>
      <c r="K62" s="25"/>
      <c r="L62" s="25"/>
      <c r="M62" s="25"/>
    </row>
    <row r="63" spans="1:13" ht="81.75" customHeight="1">
      <c r="A63" s="53"/>
      <c r="B63" s="55" t="s">
        <v>3204</v>
      </c>
      <c r="C63" s="54" t="s">
        <v>3205</v>
      </c>
      <c r="D63" s="4" t="s">
        <v>3206</v>
      </c>
      <c r="E63" s="5" t="s">
        <v>3021</v>
      </c>
      <c r="F63" s="13" t="s">
        <v>97</v>
      </c>
      <c r="G63" s="4" t="s">
        <v>3207</v>
      </c>
      <c r="H63" s="5" t="s">
        <v>3208</v>
      </c>
      <c r="I63" s="25" t="s">
        <v>125</v>
      </c>
      <c r="J63" s="25"/>
      <c r="K63" s="25"/>
      <c r="L63" s="25"/>
      <c r="M63" s="25"/>
    </row>
    <row r="64" spans="1:13" ht="96">
      <c r="A64" s="53"/>
      <c r="B64" s="55" t="s">
        <v>3209</v>
      </c>
      <c r="C64" s="54" t="s">
        <v>3210</v>
      </c>
      <c r="D64" s="4" t="s">
        <v>3211</v>
      </c>
      <c r="E64" s="5" t="s">
        <v>3049</v>
      </c>
      <c r="F64" s="13" t="s">
        <v>97</v>
      </c>
      <c r="G64" s="4" t="s">
        <v>3051</v>
      </c>
      <c r="H64" s="5" t="s">
        <v>97</v>
      </c>
      <c r="I64" s="25" t="s">
        <v>125</v>
      </c>
      <c r="J64" s="25"/>
      <c r="K64" s="25"/>
      <c r="L64" s="25"/>
      <c r="M64" s="25"/>
    </row>
    <row r="65" spans="1:13" ht="126.75" customHeight="1">
      <c r="A65" s="53"/>
      <c r="B65" s="55" t="s">
        <v>3212</v>
      </c>
      <c r="C65" s="54" t="s">
        <v>3213</v>
      </c>
      <c r="D65" s="4" t="s">
        <v>3214</v>
      </c>
      <c r="E65" s="5" t="s">
        <v>3039</v>
      </c>
      <c r="F65" s="13" t="s">
        <v>97</v>
      </c>
      <c r="G65" s="4" t="s">
        <v>97</v>
      </c>
      <c r="H65" s="5" t="s">
        <v>3195</v>
      </c>
      <c r="I65" s="25"/>
      <c r="J65" s="25"/>
      <c r="K65" s="25" t="s">
        <v>125</v>
      </c>
      <c r="L65" s="25"/>
      <c r="M65" s="25"/>
    </row>
    <row r="66" spans="1:13" ht="114" customHeight="1">
      <c r="A66" s="53"/>
      <c r="B66" s="55" t="s">
        <v>3215</v>
      </c>
      <c r="C66" s="54" t="s">
        <v>3216</v>
      </c>
      <c r="D66" s="4" t="s">
        <v>3217</v>
      </c>
      <c r="E66" s="5" t="s">
        <v>3039</v>
      </c>
      <c r="F66" s="13" t="s">
        <v>97</v>
      </c>
      <c r="G66" s="4" t="s">
        <v>97</v>
      </c>
      <c r="H66" s="5" t="s">
        <v>3195</v>
      </c>
      <c r="I66" s="25"/>
      <c r="J66" s="25"/>
      <c r="K66" s="25"/>
      <c r="L66" s="25" t="s">
        <v>125</v>
      </c>
      <c r="M66" s="25" t="s">
        <v>125</v>
      </c>
    </row>
    <row r="67" spans="1:13" ht="192">
      <c r="A67" s="53"/>
      <c r="B67" s="55" t="s">
        <v>3218</v>
      </c>
      <c r="C67" s="54" t="s">
        <v>3219</v>
      </c>
      <c r="D67" s="4" t="s">
        <v>3220</v>
      </c>
      <c r="E67" s="5" t="s">
        <v>3039</v>
      </c>
      <c r="F67" s="13" t="s">
        <v>97</v>
      </c>
      <c r="G67" s="4" t="s">
        <v>97</v>
      </c>
      <c r="H67" s="5" t="s">
        <v>3195</v>
      </c>
      <c r="I67" s="25"/>
      <c r="J67" s="25"/>
      <c r="K67" s="25"/>
      <c r="L67" s="25" t="s">
        <v>125</v>
      </c>
      <c r="M67" s="25" t="s">
        <v>125</v>
      </c>
    </row>
    <row r="68" spans="1:13">
      <c r="A68" s="53"/>
      <c r="B68" s="3">
        <v>2.17</v>
      </c>
      <c r="C68" s="54" t="s">
        <v>3221</v>
      </c>
      <c r="D68" s="4" t="s">
        <v>97</v>
      </c>
      <c r="E68" s="5" t="s">
        <v>3049</v>
      </c>
      <c r="F68" s="13" t="s">
        <v>3022</v>
      </c>
      <c r="G68" s="4" t="s">
        <v>3051</v>
      </c>
      <c r="H68" s="5" t="s">
        <v>97</v>
      </c>
      <c r="I68" s="25" t="s">
        <v>125</v>
      </c>
      <c r="J68" s="25"/>
      <c r="K68" s="25"/>
      <c r="L68" s="25"/>
      <c r="M68" s="25"/>
    </row>
    <row r="69" spans="1:13">
      <c r="A69" s="53"/>
      <c r="B69" s="3">
        <v>2.1800000000000002</v>
      </c>
      <c r="C69" s="54" t="s">
        <v>3222</v>
      </c>
      <c r="D69" s="4" t="s">
        <v>97</v>
      </c>
      <c r="E69" s="5" t="s">
        <v>3049</v>
      </c>
      <c r="F69" s="13" t="s">
        <v>97</v>
      </c>
      <c r="G69" s="4" t="s">
        <v>3051</v>
      </c>
      <c r="H69" s="5" t="s">
        <v>97</v>
      </c>
      <c r="I69" s="25" t="s">
        <v>125</v>
      </c>
      <c r="J69" s="25"/>
      <c r="K69" s="25"/>
      <c r="L69" s="25"/>
      <c r="M69" s="25"/>
    </row>
    <row r="70" spans="1:13">
      <c r="A70" s="51"/>
      <c r="I70" s="9"/>
      <c r="J70" s="9"/>
      <c r="K70" s="9"/>
      <c r="L70" s="9"/>
      <c r="M70" s="9"/>
    </row>
    <row r="71" spans="1:13">
      <c r="A71" s="51"/>
      <c r="I71" s="9"/>
      <c r="J71" s="9"/>
      <c r="K71" s="9"/>
      <c r="L71" s="9"/>
      <c r="M71" s="9"/>
    </row>
    <row r="72" spans="1:13">
      <c r="A72" s="51"/>
      <c r="I72" s="9"/>
      <c r="J72" s="9"/>
      <c r="K72" s="9"/>
      <c r="L72" s="9"/>
      <c r="M72" s="9"/>
    </row>
    <row r="73" spans="1:13" ht="12.75" customHeight="1">
      <c r="A73" s="51"/>
      <c r="I73" s="9"/>
      <c r="J73" s="9"/>
      <c r="K73" s="9"/>
      <c r="L73" s="9"/>
      <c r="M73" s="9"/>
    </row>
  </sheetData>
  <autoFilter ref="B8:M69" xr:uid="{8DDBBD2A-A059-40DC-AAC3-83647DD0C2FF}"/>
  <dataValidations count="1">
    <dataValidation type="list" allowBlank="1" showInputMessage="1" showErrorMessage="1" sqref="E9:E69" xr:uid="{221406FE-3C6F-4863-BB1A-22F68A880883}">
      <formula1>"Yes - No Alternative Proposed, Yes - Alternative Proposed, Partial - No Alternative Proposed, Partial - Alternative Proposed, No - Not Applicable/Relevant"</formula1>
    </dataValidation>
  </dataValidations>
  <pageMargins left="0.7" right="0.7" top="0.75" bottom="0.75" header="0.3" footer="0.3"/>
  <pageSetup scale="4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E52A5-1BA3-4F55-B522-6D5F7653A1B7}">
  <sheetPr>
    <tabColor theme="5" tint="0.39997558519241921"/>
  </sheetPr>
  <dimension ref="A1"/>
  <sheetViews>
    <sheetView workbookViewId="0">
      <selection sqref="A1:XFD1048576"/>
    </sheetView>
    <sheetView workbookViewId="1">
      <selection sqref="A1:XFD1048576"/>
    </sheetView>
    <sheetView workbookViewId="2">
      <selection sqref="A1:XFD1048576"/>
    </sheetView>
  </sheetViews>
  <sheetFormatPr defaultColWidth="8.5703125" defaultRowHeight="15"/>
  <cols>
    <col min="1" max="16384" width="8.5703125" style="1189"/>
  </cols>
  <sheetData/>
  <mergeCells count="1">
    <mergeCell ref="A1:XFD1048576"/>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BBD2A-A059-40DC-AAC3-83647DD0C2FF}">
  <sheetPr codeName="Sheet5"/>
  <dimension ref="A1:L71"/>
  <sheetViews>
    <sheetView workbookViewId="0"/>
    <sheetView workbookViewId="1"/>
    <sheetView workbookViewId="2"/>
  </sheetViews>
  <sheetFormatPr defaultRowHeight="15"/>
  <cols>
    <col min="1" max="1" width="4.5703125" customWidth="1"/>
    <col min="2" max="2" width="7.85546875" customWidth="1"/>
    <col min="3" max="3" width="39.42578125" customWidth="1"/>
    <col min="4" max="4" width="40.5703125" customWidth="1"/>
    <col min="5" max="5" width="26.42578125" customWidth="1"/>
    <col min="6" max="6" width="19" style="9" customWidth="1"/>
    <col min="7" max="7" width="40.5703125" customWidth="1"/>
    <col min="8" max="8" width="41.85546875" style="10" bestFit="1" customWidth="1"/>
    <col min="9" max="12" width="12.5703125" customWidth="1"/>
    <col min="13" max="17" width="8.42578125" customWidth="1"/>
  </cols>
  <sheetData>
    <row r="1" spans="1:12" ht="15.75">
      <c r="A1" s="15" t="s">
        <v>2989</v>
      </c>
      <c r="C1" s="1"/>
      <c r="D1" s="1"/>
      <c r="F1" s="8"/>
      <c r="G1" s="1"/>
      <c r="H1" s="11"/>
      <c r="K1" s="7"/>
    </row>
    <row r="2" spans="1:12">
      <c r="A2" s="16" t="s">
        <v>2</v>
      </c>
      <c r="C2" s="1"/>
      <c r="D2" s="1"/>
      <c r="G2" s="1"/>
      <c r="H2" s="11"/>
      <c r="K2" s="7"/>
    </row>
    <row r="3" spans="1:12">
      <c r="A3" s="16"/>
      <c r="C3" s="1"/>
      <c r="D3" s="23" t="s">
        <v>2990</v>
      </c>
      <c r="E3" s="16" t="s">
        <v>2991</v>
      </c>
      <c r="G3" s="1"/>
      <c r="H3" s="11"/>
      <c r="K3" s="7"/>
    </row>
    <row r="4" spans="1:12">
      <c r="E4" s="6"/>
      <c r="H4" s="12"/>
    </row>
    <row r="5" spans="1:12">
      <c r="A5" s="1"/>
      <c r="B5" s="1"/>
      <c r="C5" s="1"/>
      <c r="D5" s="23" t="s">
        <v>3004</v>
      </c>
      <c r="E5" s="17" t="s">
        <v>3005</v>
      </c>
      <c r="F5" s="18" t="s">
        <v>3006</v>
      </c>
      <c r="G5" s="17" t="s">
        <v>3007</v>
      </c>
      <c r="H5" s="19"/>
      <c r="I5" s="17">
        <f>SUBTOTAL(3,I7:I67)</f>
        <v>41</v>
      </c>
      <c r="J5" s="17">
        <f t="shared" ref="J5:L5" si="0">SUBTOTAL(3,J7:J67)</f>
        <v>4</v>
      </c>
      <c r="K5" s="17">
        <f t="shared" si="0"/>
        <v>11</v>
      </c>
      <c r="L5" s="17">
        <f t="shared" si="0"/>
        <v>5</v>
      </c>
    </row>
    <row r="6" spans="1:12" ht="45">
      <c r="B6" s="20" t="s">
        <v>3008</v>
      </c>
      <c r="C6" s="20" t="s">
        <v>3009</v>
      </c>
      <c r="D6" s="22" t="s">
        <v>3010</v>
      </c>
      <c r="E6" s="21" t="s">
        <v>3011</v>
      </c>
      <c r="F6" s="21" t="s">
        <v>3012</v>
      </c>
      <c r="G6" s="21" t="s">
        <v>3223</v>
      </c>
      <c r="H6" s="21" t="s">
        <v>3014</v>
      </c>
      <c r="I6" s="24" t="s">
        <v>143</v>
      </c>
      <c r="J6" s="24" t="s">
        <v>3224</v>
      </c>
      <c r="K6" s="24" t="s">
        <v>3225</v>
      </c>
      <c r="L6" s="24" t="s">
        <v>3226</v>
      </c>
    </row>
    <row r="7" spans="1:12" ht="165.75" customHeight="1">
      <c r="B7" s="4" t="s">
        <v>101</v>
      </c>
      <c r="C7" s="14" t="s">
        <v>3227</v>
      </c>
      <c r="D7" s="4" t="s">
        <v>3228</v>
      </c>
      <c r="E7" s="5" t="s">
        <v>3021</v>
      </c>
      <c r="F7" s="13" t="s">
        <v>3022</v>
      </c>
      <c r="G7" s="4" t="s">
        <v>3229</v>
      </c>
      <c r="H7" s="5" t="s">
        <v>3230</v>
      </c>
      <c r="I7" s="25" t="s">
        <v>125</v>
      </c>
      <c r="J7" s="25"/>
      <c r="K7" s="25"/>
      <c r="L7" s="25"/>
    </row>
    <row r="8" spans="1:12" ht="109.5" customHeight="1">
      <c r="B8" s="4" t="s">
        <v>108</v>
      </c>
      <c r="C8" s="14" t="s">
        <v>3025</v>
      </c>
      <c r="D8" s="4" t="s">
        <v>3026</v>
      </c>
      <c r="E8" s="5" t="s">
        <v>3021</v>
      </c>
      <c r="F8" s="13" t="s">
        <v>3022</v>
      </c>
      <c r="G8" s="4" t="s">
        <v>3027</v>
      </c>
      <c r="H8" s="5" t="s">
        <v>3231</v>
      </c>
      <c r="I8" s="25" t="s">
        <v>125</v>
      </c>
      <c r="J8" s="25"/>
      <c r="K8" s="25"/>
      <c r="L8" s="25"/>
    </row>
    <row r="9" spans="1:12" ht="48">
      <c r="B9" s="3" t="s">
        <v>3029</v>
      </c>
      <c r="C9" s="14" t="s">
        <v>3030</v>
      </c>
      <c r="D9" s="4" t="s">
        <v>3031</v>
      </c>
      <c r="E9" s="5" t="s">
        <v>3032</v>
      </c>
      <c r="F9" s="13" t="s">
        <v>3033</v>
      </c>
      <c r="G9" s="4" t="s">
        <v>3034</v>
      </c>
      <c r="H9" s="5" t="s">
        <v>3232</v>
      </c>
      <c r="I9" s="25"/>
      <c r="J9" s="26" t="s">
        <v>125</v>
      </c>
      <c r="K9" s="25"/>
      <c r="L9" s="25"/>
    </row>
    <row r="10" spans="1:12" ht="72">
      <c r="B10" s="3" t="s">
        <v>3036</v>
      </c>
      <c r="C10" s="14" t="s">
        <v>3037</v>
      </c>
      <c r="D10" s="4" t="s">
        <v>3038</v>
      </c>
      <c r="E10" s="5" t="s">
        <v>3039</v>
      </c>
      <c r="F10" s="13" t="s">
        <v>97</v>
      </c>
      <c r="G10" s="4" t="s">
        <v>97</v>
      </c>
      <c r="H10" s="5" t="s">
        <v>3233</v>
      </c>
      <c r="I10" s="25"/>
      <c r="J10" s="25"/>
      <c r="K10" s="25" t="s">
        <v>125</v>
      </c>
      <c r="L10" s="25"/>
    </row>
    <row r="11" spans="1:12" ht="96">
      <c r="B11" s="3" t="s">
        <v>3041</v>
      </c>
      <c r="C11" s="14" t="s">
        <v>3042</v>
      </c>
      <c r="D11" s="4" t="s">
        <v>3043</v>
      </c>
      <c r="E11" s="5" t="s">
        <v>3021</v>
      </c>
      <c r="F11" s="13" t="s">
        <v>97</v>
      </c>
      <c r="G11" s="4" t="s">
        <v>3234</v>
      </c>
      <c r="H11" s="5" t="s">
        <v>3094</v>
      </c>
      <c r="I11" s="25" t="s">
        <v>125</v>
      </c>
      <c r="J11" s="25"/>
      <c r="K11" s="25"/>
      <c r="L11" s="25"/>
    </row>
    <row r="12" spans="1:12" ht="216">
      <c r="B12" s="3" t="s">
        <v>3046</v>
      </c>
      <c r="C12" s="14" t="s">
        <v>3047</v>
      </c>
      <c r="D12" s="4" t="s">
        <v>3048</v>
      </c>
      <c r="E12" s="5" t="s">
        <v>3049</v>
      </c>
      <c r="F12" s="13" t="s">
        <v>3050</v>
      </c>
      <c r="G12" s="4" t="s">
        <v>3051</v>
      </c>
      <c r="H12" s="5" t="s">
        <v>97</v>
      </c>
      <c r="I12" s="25" t="s">
        <v>125</v>
      </c>
      <c r="J12" s="25"/>
      <c r="K12" s="25"/>
      <c r="L12" s="25"/>
    </row>
    <row r="13" spans="1:12" ht="36">
      <c r="B13" s="3" t="s">
        <v>9</v>
      </c>
      <c r="C13" s="14" t="s">
        <v>3052</v>
      </c>
      <c r="D13" s="4" t="s">
        <v>3053</v>
      </c>
      <c r="E13" s="5" t="s">
        <v>3039</v>
      </c>
      <c r="F13" s="13" t="s">
        <v>97</v>
      </c>
      <c r="G13" s="4" t="s">
        <v>97</v>
      </c>
      <c r="H13" s="5" t="s">
        <v>3235</v>
      </c>
      <c r="I13" s="25"/>
      <c r="J13" s="25"/>
      <c r="K13" s="25" t="s">
        <v>125</v>
      </c>
      <c r="L13" s="25"/>
    </row>
    <row r="14" spans="1:12" ht="72">
      <c r="B14" s="3" t="s">
        <v>11</v>
      </c>
      <c r="C14" s="14" t="s">
        <v>3055</v>
      </c>
      <c r="D14" s="4" t="s">
        <v>3056</v>
      </c>
      <c r="E14" s="5" t="s">
        <v>3039</v>
      </c>
      <c r="F14" s="13" t="s">
        <v>97</v>
      </c>
      <c r="G14" s="4" t="s">
        <v>97</v>
      </c>
      <c r="H14" s="5" t="s">
        <v>3235</v>
      </c>
      <c r="I14" s="25"/>
      <c r="J14" s="25"/>
      <c r="K14" s="25" t="s">
        <v>125</v>
      </c>
      <c r="L14" s="25"/>
    </row>
    <row r="15" spans="1:12" ht="36">
      <c r="B15" s="3" t="s">
        <v>13</v>
      </c>
      <c r="C15" s="14" t="s">
        <v>3058</v>
      </c>
      <c r="D15" s="4" t="s">
        <v>3059</v>
      </c>
      <c r="E15" s="5" t="s">
        <v>3039</v>
      </c>
      <c r="F15" s="13" t="s">
        <v>97</v>
      </c>
      <c r="G15" s="4" t="s">
        <v>97</v>
      </c>
      <c r="H15" s="5" t="s">
        <v>3235</v>
      </c>
      <c r="I15" s="25"/>
      <c r="J15" s="25"/>
      <c r="K15" s="25" t="s">
        <v>125</v>
      </c>
      <c r="L15" s="25"/>
    </row>
    <row r="16" spans="1:12" ht="60">
      <c r="B16" s="3" t="s">
        <v>23</v>
      </c>
      <c r="C16" s="14" t="s">
        <v>3060</v>
      </c>
      <c r="D16" s="4" t="s">
        <v>3061</v>
      </c>
      <c r="E16" s="5" t="s">
        <v>3021</v>
      </c>
      <c r="F16" s="13" t="s">
        <v>3022</v>
      </c>
      <c r="G16" s="4" t="s">
        <v>3236</v>
      </c>
      <c r="H16" s="5" t="s">
        <v>3231</v>
      </c>
      <c r="I16" s="25" t="s">
        <v>125</v>
      </c>
      <c r="J16" s="25"/>
      <c r="K16" s="25"/>
      <c r="L16" s="25"/>
    </row>
    <row r="17" spans="2:12" ht="84">
      <c r="B17" s="3" t="s">
        <v>25</v>
      </c>
      <c r="C17" s="14" t="s">
        <v>3063</v>
      </c>
      <c r="D17" s="4" t="s">
        <v>3064</v>
      </c>
      <c r="E17" s="5" t="s">
        <v>3039</v>
      </c>
      <c r="F17" s="13" t="s">
        <v>3022</v>
      </c>
      <c r="G17" s="4" t="s">
        <v>97</v>
      </c>
      <c r="H17" s="5" t="s">
        <v>3231</v>
      </c>
      <c r="I17" s="25"/>
      <c r="J17" s="25"/>
      <c r="K17" s="25" t="s">
        <v>125</v>
      </c>
      <c r="L17" s="25"/>
    </row>
    <row r="18" spans="2:12" ht="60">
      <c r="B18" s="3" t="s">
        <v>27</v>
      </c>
      <c r="C18" s="14" t="s">
        <v>3066</v>
      </c>
      <c r="D18" s="4" t="s">
        <v>3067</v>
      </c>
      <c r="E18" s="5" t="s">
        <v>3039</v>
      </c>
      <c r="F18" s="13" t="s">
        <v>97</v>
      </c>
      <c r="G18" s="4" t="s">
        <v>97</v>
      </c>
      <c r="H18" s="5" t="s">
        <v>3237</v>
      </c>
      <c r="I18" s="25"/>
      <c r="J18" s="25"/>
      <c r="K18" s="25" t="s">
        <v>125</v>
      </c>
      <c r="L18" s="25"/>
    </row>
    <row r="19" spans="2:12" ht="60">
      <c r="B19" s="3" t="s">
        <v>3069</v>
      </c>
      <c r="C19" s="14" t="s">
        <v>3070</v>
      </c>
      <c r="D19" s="4" t="s">
        <v>3071</v>
      </c>
      <c r="E19" s="5" t="s">
        <v>3039</v>
      </c>
      <c r="F19" s="13" t="s">
        <v>97</v>
      </c>
      <c r="G19" s="4" t="s">
        <v>97</v>
      </c>
      <c r="H19" s="5" t="s">
        <v>3238</v>
      </c>
      <c r="I19" s="25"/>
      <c r="J19" s="25"/>
      <c r="K19" s="25" t="s">
        <v>125</v>
      </c>
      <c r="L19" s="25"/>
    </row>
    <row r="20" spans="2:12" ht="36">
      <c r="B20" s="3" t="s">
        <v>3073</v>
      </c>
      <c r="C20" s="14" t="s">
        <v>3074</v>
      </c>
      <c r="D20" s="4" t="s">
        <v>3075</v>
      </c>
      <c r="E20" s="13" t="s">
        <v>3032</v>
      </c>
      <c r="F20" s="13" t="s">
        <v>3033</v>
      </c>
      <c r="G20" s="4" t="s">
        <v>3051</v>
      </c>
      <c r="H20" s="13" t="s">
        <v>3239</v>
      </c>
      <c r="I20" s="25"/>
      <c r="J20" s="25" t="s">
        <v>125</v>
      </c>
      <c r="K20" s="25"/>
      <c r="L20" s="25"/>
    </row>
    <row r="21" spans="2:12" ht="36">
      <c r="B21" s="3" t="s">
        <v>3077</v>
      </c>
      <c r="C21" s="14" t="s">
        <v>3078</v>
      </c>
      <c r="D21" s="4" t="s">
        <v>3079</v>
      </c>
      <c r="E21" s="13" t="s">
        <v>3032</v>
      </c>
      <c r="F21" s="13" t="s">
        <v>3033</v>
      </c>
      <c r="G21" s="4" t="s">
        <v>3051</v>
      </c>
      <c r="H21" s="13" t="s">
        <v>3239</v>
      </c>
      <c r="I21" s="25"/>
      <c r="J21" s="25" t="s">
        <v>125</v>
      </c>
      <c r="K21" s="25"/>
      <c r="L21" s="25"/>
    </row>
    <row r="22" spans="2:12" ht="48">
      <c r="B22" s="3" t="s">
        <v>3080</v>
      </c>
      <c r="C22" s="14" t="s">
        <v>18</v>
      </c>
      <c r="D22" s="4" t="s">
        <v>3081</v>
      </c>
      <c r="E22" s="5" t="s">
        <v>3049</v>
      </c>
      <c r="F22" s="13" t="s">
        <v>3022</v>
      </c>
      <c r="G22" s="4" t="s">
        <v>3051</v>
      </c>
      <c r="H22" s="13" t="s">
        <v>97</v>
      </c>
      <c r="I22" s="25" t="s">
        <v>125</v>
      </c>
      <c r="J22" s="25"/>
      <c r="K22" s="25"/>
      <c r="L22" s="25"/>
    </row>
    <row r="23" spans="2:12" ht="48">
      <c r="B23" s="3" t="s">
        <v>3082</v>
      </c>
      <c r="C23" s="14" t="s">
        <v>3083</v>
      </c>
      <c r="D23" s="4" t="s">
        <v>3084</v>
      </c>
      <c r="E23" s="5" t="s">
        <v>3021</v>
      </c>
      <c r="F23" s="13" t="s">
        <v>97</v>
      </c>
      <c r="G23" s="4" t="s">
        <v>3085</v>
      </c>
      <c r="H23" s="5" t="s">
        <v>3240</v>
      </c>
      <c r="I23" s="25" t="s">
        <v>125</v>
      </c>
      <c r="J23" s="25"/>
      <c r="K23" s="25"/>
      <c r="L23" s="25"/>
    </row>
    <row r="24" spans="2:12" ht="60">
      <c r="B24" s="3" t="s">
        <v>3087</v>
      </c>
      <c r="C24" s="14" t="s">
        <v>3088</v>
      </c>
      <c r="D24" s="4" t="s">
        <v>3089</v>
      </c>
      <c r="E24" s="5" t="s">
        <v>3039</v>
      </c>
      <c r="F24" s="13" t="s">
        <v>97</v>
      </c>
      <c r="G24" s="4" t="s">
        <v>97</v>
      </c>
      <c r="H24" s="5" t="s">
        <v>3241</v>
      </c>
      <c r="I24" s="25"/>
      <c r="J24" s="25"/>
      <c r="K24" s="25"/>
      <c r="L24" s="25" t="s">
        <v>125</v>
      </c>
    </row>
    <row r="25" spans="2:12" ht="96">
      <c r="B25" s="3" t="s">
        <v>57</v>
      </c>
      <c r="C25" s="14" t="s">
        <v>3091</v>
      </c>
      <c r="D25" s="4" t="s">
        <v>3092</v>
      </c>
      <c r="E25" s="5" t="s">
        <v>3021</v>
      </c>
      <c r="F25" s="13" t="s">
        <v>97</v>
      </c>
      <c r="G25" s="4" t="s">
        <v>3242</v>
      </c>
      <c r="H25" s="5" t="s">
        <v>3094</v>
      </c>
      <c r="I25" s="25" t="s">
        <v>125</v>
      </c>
      <c r="J25" s="25"/>
      <c r="K25" s="25"/>
      <c r="L25" s="25"/>
    </row>
    <row r="26" spans="2:12" ht="48">
      <c r="B26" s="3" t="s">
        <v>59</v>
      </c>
      <c r="C26" s="14" t="s">
        <v>3095</v>
      </c>
      <c r="D26" s="4" t="s">
        <v>3096</v>
      </c>
      <c r="E26" s="5" t="s">
        <v>3021</v>
      </c>
      <c r="F26" s="13" t="s">
        <v>97</v>
      </c>
      <c r="G26" s="4" t="s">
        <v>3096</v>
      </c>
      <c r="H26" s="5" t="s">
        <v>3243</v>
      </c>
      <c r="I26" s="25" t="s">
        <v>125</v>
      </c>
      <c r="J26" s="25"/>
      <c r="K26" s="25"/>
      <c r="L26" s="25"/>
    </row>
    <row r="27" spans="2:12" ht="96">
      <c r="B27" s="3" t="s">
        <v>61</v>
      </c>
      <c r="C27" s="14" t="s">
        <v>3097</v>
      </c>
      <c r="D27" s="4" t="s">
        <v>3098</v>
      </c>
      <c r="E27" s="5" t="s">
        <v>3021</v>
      </c>
      <c r="F27" s="13" t="s">
        <v>97</v>
      </c>
      <c r="G27" s="4" t="s">
        <v>3244</v>
      </c>
      <c r="H27" s="5" t="s">
        <v>3094</v>
      </c>
      <c r="I27" s="25" t="s">
        <v>125</v>
      </c>
      <c r="J27" s="25"/>
      <c r="K27" s="25"/>
      <c r="L27" s="25"/>
    </row>
    <row r="28" spans="2:12" ht="96">
      <c r="B28" s="3" t="s">
        <v>63</v>
      </c>
      <c r="C28" s="14" t="s">
        <v>3100</v>
      </c>
      <c r="D28" s="4" t="s">
        <v>3101</v>
      </c>
      <c r="E28" s="5" t="s">
        <v>3021</v>
      </c>
      <c r="F28" s="13" t="s">
        <v>97</v>
      </c>
      <c r="G28" s="4" t="s">
        <v>3245</v>
      </c>
      <c r="H28" s="5" t="s">
        <v>3094</v>
      </c>
      <c r="I28" s="25" t="s">
        <v>125</v>
      </c>
      <c r="J28" s="25"/>
      <c r="K28" s="25"/>
      <c r="L28" s="25"/>
    </row>
    <row r="29" spans="2:12" ht="60">
      <c r="B29" s="3" t="s">
        <v>65</v>
      </c>
      <c r="C29" s="14" t="s">
        <v>3103</v>
      </c>
      <c r="D29" s="4" t="s">
        <v>3104</v>
      </c>
      <c r="E29" s="5" t="s">
        <v>3039</v>
      </c>
      <c r="F29" s="13" t="s">
        <v>97</v>
      </c>
      <c r="G29" s="4" t="s">
        <v>97</v>
      </c>
      <c r="H29" s="5" t="s">
        <v>3105</v>
      </c>
      <c r="I29" s="25"/>
      <c r="J29" s="25"/>
      <c r="K29" s="25" t="s">
        <v>125</v>
      </c>
      <c r="L29" s="25"/>
    </row>
    <row r="30" spans="2:12" ht="48">
      <c r="B30" s="3" t="s">
        <v>3106</v>
      </c>
      <c r="C30" s="14" t="s">
        <v>3107</v>
      </c>
      <c r="D30" s="4" t="s">
        <v>3108</v>
      </c>
      <c r="E30" s="5" t="s">
        <v>3021</v>
      </c>
      <c r="F30" s="13" t="s">
        <v>3022</v>
      </c>
      <c r="G30" s="4" t="s">
        <v>3108</v>
      </c>
      <c r="H30" s="5" t="s">
        <v>3243</v>
      </c>
      <c r="I30" s="25" t="s">
        <v>125</v>
      </c>
      <c r="J30" s="25"/>
      <c r="K30" s="25"/>
      <c r="L30" s="25"/>
    </row>
    <row r="31" spans="2:12" ht="96">
      <c r="B31" s="3" t="s">
        <v>3109</v>
      </c>
      <c r="C31" s="14" t="s">
        <v>3110</v>
      </c>
      <c r="D31" s="4" t="s">
        <v>3111</v>
      </c>
      <c r="E31" s="5" t="s">
        <v>3021</v>
      </c>
      <c r="F31" s="13" t="s">
        <v>3022</v>
      </c>
      <c r="G31" s="4" t="s">
        <v>3246</v>
      </c>
      <c r="H31" s="5" t="s">
        <v>3247</v>
      </c>
      <c r="I31" s="25" t="s">
        <v>125</v>
      </c>
      <c r="J31" s="25"/>
      <c r="K31" s="25"/>
      <c r="L31" s="25"/>
    </row>
    <row r="32" spans="2:12" ht="144">
      <c r="B32" s="3" t="s">
        <v>3114</v>
      </c>
      <c r="C32" s="14" t="s">
        <v>40</v>
      </c>
      <c r="D32" s="4" t="s">
        <v>3115</v>
      </c>
      <c r="E32" s="13" t="s">
        <v>3049</v>
      </c>
      <c r="F32" s="13" t="s">
        <v>97</v>
      </c>
      <c r="G32" s="4" t="s">
        <v>3051</v>
      </c>
      <c r="H32" s="5" t="s">
        <v>97</v>
      </c>
      <c r="I32" s="25" t="s">
        <v>125</v>
      </c>
      <c r="J32" s="25"/>
      <c r="K32" s="25"/>
      <c r="L32" s="25"/>
    </row>
    <row r="33" spans="2:12" ht="96">
      <c r="B33" s="3" t="s">
        <v>3116</v>
      </c>
      <c r="C33" s="14" t="s">
        <v>3117</v>
      </c>
      <c r="D33" s="4" t="s">
        <v>3118</v>
      </c>
      <c r="E33" s="5" t="s">
        <v>3021</v>
      </c>
      <c r="F33" s="13" t="s">
        <v>97</v>
      </c>
      <c r="G33" s="4" t="s">
        <v>3118</v>
      </c>
      <c r="H33" s="5" t="s">
        <v>3248</v>
      </c>
      <c r="I33" s="25" t="s">
        <v>125</v>
      </c>
      <c r="J33" s="25"/>
      <c r="K33" s="25"/>
      <c r="L33" s="25"/>
    </row>
    <row r="34" spans="2:12" ht="36">
      <c r="B34" s="3" t="s">
        <v>67</v>
      </c>
      <c r="C34" s="14" t="s">
        <v>3120</v>
      </c>
      <c r="D34" s="4" t="s">
        <v>3121</v>
      </c>
      <c r="E34" s="5" t="s">
        <v>3049</v>
      </c>
      <c r="F34" s="13" t="s">
        <v>97</v>
      </c>
      <c r="G34" s="4" t="s">
        <v>3051</v>
      </c>
      <c r="H34" s="5" t="s">
        <v>97</v>
      </c>
      <c r="I34" s="25" t="s">
        <v>125</v>
      </c>
      <c r="J34" s="25"/>
      <c r="K34" s="25"/>
      <c r="L34" s="25"/>
    </row>
    <row r="35" spans="2:12" ht="60">
      <c r="B35" s="3" t="s">
        <v>69</v>
      </c>
      <c r="C35" s="14" t="s">
        <v>3122</v>
      </c>
      <c r="D35" s="4" t="s">
        <v>3123</v>
      </c>
      <c r="E35" s="5" t="s">
        <v>3039</v>
      </c>
      <c r="F35" s="13" t="s">
        <v>97</v>
      </c>
      <c r="G35" s="4" t="s">
        <v>97</v>
      </c>
      <c r="H35" s="5" t="s">
        <v>3249</v>
      </c>
      <c r="I35" s="25"/>
      <c r="J35" s="25"/>
      <c r="K35" s="25" t="s">
        <v>125</v>
      </c>
      <c r="L35" s="25"/>
    </row>
    <row r="36" spans="2:12" ht="96">
      <c r="B36" s="3" t="s">
        <v>71</v>
      </c>
      <c r="C36" s="14" t="s">
        <v>3125</v>
      </c>
      <c r="D36" s="4" t="s">
        <v>3126</v>
      </c>
      <c r="E36" s="5" t="s">
        <v>3021</v>
      </c>
      <c r="F36" s="13" t="s">
        <v>3022</v>
      </c>
      <c r="G36" s="4" t="s">
        <v>3127</v>
      </c>
      <c r="H36" s="5" t="s">
        <v>3250</v>
      </c>
      <c r="I36" s="25" t="s">
        <v>125</v>
      </c>
      <c r="J36" s="25"/>
      <c r="K36" s="25"/>
      <c r="L36" s="25"/>
    </row>
    <row r="37" spans="2:12" ht="36">
      <c r="B37" s="3" t="s">
        <v>73</v>
      </c>
      <c r="C37" s="14" t="s">
        <v>3128</v>
      </c>
      <c r="D37" s="4" t="s">
        <v>3129</v>
      </c>
      <c r="E37" s="5" t="s">
        <v>3049</v>
      </c>
      <c r="F37" s="13" t="s">
        <v>3022</v>
      </c>
      <c r="G37" s="4" t="s">
        <v>3051</v>
      </c>
      <c r="H37" s="5" t="s">
        <v>97</v>
      </c>
      <c r="I37" s="25" t="s">
        <v>125</v>
      </c>
      <c r="J37" s="25"/>
      <c r="K37" s="25"/>
      <c r="L37" s="25"/>
    </row>
    <row r="38" spans="2:12" ht="72">
      <c r="B38" s="3" t="s">
        <v>3130</v>
      </c>
      <c r="C38" s="14" t="s">
        <v>3131</v>
      </c>
      <c r="D38" s="4" t="s">
        <v>3132</v>
      </c>
      <c r="E38" s="5" t="s">
        <v>3021</v>
      </c>
      <c r="F38" s="13" t="s">
        <v>97</v>
      </c>
      <c r="G38" s="4" t="s">
        <v>3132</v>
      </c>
      <c r="H38" s="5" t="s">
        <v>3133</v>
      </c>
      <c r="I38" s="25" t="s">
        <v>125</v>
      </c>
      <c r="J38" s="25"/>
      <c r="K38" s="27"/>
      <c r="L38" s="25"/>
    </row>
    <row r="39" spans="2:12" ht="72">
      <c r="B39" s="3" t="s">
        <v>3134</v>
      </c>
      <c r="C39" s="14" t="s">
        <v>3135</v>
      </c>
      <c r="D39" s="4" t="s">
        <v>3136</v>
      </c>
      <c r="E39" s="5" t="s">
        <v>3021</v>
      </c>
      <c r="F39" s="13" t="s">
        <v>97</v>
      </c>
      <c r="G39" s="4" t="s">
        <v>3136</v>
      </c>
      <c r="H39" s="5" t="s">
        <v>3133</v>
      </c>
      <c r="I39" s="25" t="s">
        <v>125</v>
      </c>
      <c r="J39" s="25"/>
      <c r="K39" s="25"/>
      <c r="L39" s="25"/>
    </row>
    <row r="40" spans="2:12" ht="48">
      <c r="B40" s="3" t="s">
        <v>3137</v>
      </c>
      <c r="C40" s="14" t="s">
        <v>3138</v>
      </c>
      <c r="D40" s="4" t="s">
        <v>3139</v>
      </c>
      <c r="E40" s="5" t="s">
        <v>3049</v>
      </c>
      <c r="F40" s="13" t="s">
        <v>97</v>
      </c>
      <c r="G40" s="4" t="s">
        <v>3051</v>
      </c>
      <c r="H40" s="5" t="s">
        <v>97</v>
      </c>
      <c r="I40" s="25" t="s">
        <v>125</v>
      </c>
      <c r="J40" s="25"/>
      <c r="K40" s="25"/>
      <c r="L40" s="25"/>
    </row>
    <row r="41" spans="2:12" ht="72">
      <c r="B41" s="3" t="s">
        <v>3140</v>
      </c>
      <c r="C41" s="14" t="s">
        <v>3141</v>
      </c>
      <c r="D41" s="4" t="s">
        <v>3142</v>
      </c>
      <c r="E41" s="5" t="s">
        <v>3021</v>
      </c>
      <c r="F41" s="13" t="s">
        <v>97</v>
      </c>
      <c r="G41" s="4" t="s">
        <v>3142</v>
      </c>
      <c r="H41" s="5" t="s">
        <v>3133</v>
      </c>
      <c r="I41" s="25" t="s">
        <v>125</v>
      </c>
      <c r="J41" s="25"/>
      <c r="K41" s="25"/>
      <c r="L41" s="25"/>
    </row>
    <row r="42" spans="2:12" ht="48">
      <c r="B42" s="3" t="s">
        <v>3143</v>
      </c>
      <c r="C42" s="14" t="s">
        <v>3144</v>
      </c>
      <c r="D42" s="4" t="s">
        <v>3145</v>
      </c>
      <c r="E42" s="5" t="s">
        <v>3049</v>
      </c>
      <c r="F42" s="13" t="s">
        <v>97</v>
      </c>
      <c r="G42" s="4" t="s">
        <v>3051</v>
      </c>
      <c r="H42" s="5" t="s">
        <v>97</v>
      </c>
      <c r="I42" s="25" t="s">
        <v>125</v>
      </c>
      <c r="J42" s="25"/>
      <c r="K42" s="25"/>
      <c r="L42" s="25"/>
    </row>
    <row r="43" spans="2:12" ht="84">
      <c r="B43" s="3" t="s">
        <v>3146</v>
      </c>
      <c r="C43" s="14" t="s">
        <v>3147</v>
      </c>
      <c r="D43" s="4" t="s">
        <v>3148</v>
      </c>
      <c r="E43" s="5" t="s">
        <v>3021</v>
      </c>
      <c r="F43" s="13" t="s">
        <v>97</v>
      </c>
      <c r="G43" s="4" t="s">
        <v>3148</v>
      </c>
      <c r="H43" s="5" t="s">
        <v>3149</v>
      </c>
      <c r="I43" s="25" t="s">
        <v>125</v>
      </c>
      <c r="J43" s="25"/>
      <c r="K43" s="25"/>
      <c r="L43" s="25"/>
    </row>
    <row r="44" spans="2:12" ht="36">
      <c r="B44" s="3" t="s">
        <v>3150</v>
      </c>
      <c r="C44" s="14" t="s">
        <v>3151</v>
      </c>
      <c r="D44" s="4" t="s">
        <v>3152</v>
      </c>
      <c r="E44" s="5" t="s">
        <v>3049</v>
      </c>
      <c r="F44" s="13" t="s">
        <v>97</v>
      </c>
      <c r="G44" s="4" t="s">
        <v>3051</v>
      </c>
      <c r="H44" s="5" t="s">
        <v>97</v>
      </c>
      <c r="I44" s="25" t="s">
        <v>125</v>
      </c>
      <c r="J44" s="25"/>
      <c r="K44" s="25"/>
      <c r="L44" s="25"/>
    </row>
    <row r="45" spans="2:12" ht="60">
      <c r="B45" s="3" t="s">
        <v>3153</v>
      </c>
      <c r="C45" s="14" t="s">
        <v>3154</v>
      </c>
      <c r="D45" s="4" t="s">
        <v>3155</v>
      </c>
      <c r="E45" s="5" t="s">
        <v>3049</v>
      </c>
      <c r="F45" s="13" t="s">
        <v>97</v>
      </c>
      <c r="G45" s="4" t="s">
        <v>3051</v>
      </c>
      <c r="H45" s="5" t="s">
        <v>97</v>
      </c>
      <c r="I45" s="25" t="s">
        <v>125</v>
      </c>
      <c r="J45" s="25"/>
      <c r="K45" s="25"/>
      <c r="L45" s="25"/>
    </row>
    <row r="46" spans="2:12" ht="36">
      <c r="B46" s="3" t="s">
        <v>3156</v>
      </c>
      <c r="C46" s="14" t="s">
        <v>3157</v>
      </c>
      <c r="D46" s="4" t="s">
        <v>3158</v>
      </c>
      <c r="E46" s="5" t="s">
        <v>3049</v>
      </c>
      <c r="F46" s="13" t="s">
        <v>97</v>
      </c>
      <c r="G46" s="4" t="s">
        <v>3051</v>
      </c>
      <c r="H46" s="5" t="s">
        <v>97</v>
      </c>
      <c r="I46" s="25" t="s">
        <v>125</v>
      </c>
      <c r="J46" s="25"/>
      <c r="K46" s="25"/>
      <c r="L46" s="25"/>
    </row>
    <row r="47" spans="2:12" ht="48">
      <c r="B47" s="3" t="s">
        <v>3159</v>
      </c>
      <c r="C47" s="14" t="s">
        <v>62</v>
      </c>
      <c r="D47" s="4" t="s">
        <v>3160</v>
      </c>
      <c r="E47" s="5" t="s">
        <v>3049</v>
      </c>
      <c r="F47" s="13" t="s">
        <v>97</v>
      </c>
      <c r="G47" s="4" t="s">
        <v>3051</v>
      </c>
      <c r="H47" s="5" t="s">
        <v>97</v>
      </c>
      <c r="I47" s="25" t="s">
        <v>125</v>
      </c>
      <c r="J47" s="25"/>
      <c r="K47" s="25"/>
      <c r="L47" s="25"/>
    </row>
    <row r="48" spans="2:12" ht="24">
      <c r="B48" s="3" t="s">
        <v>3161</v>
      </c>
      <c r="C48" s="14" t="s">
        <v>64</v>
      </c>
      <c r="D48" s="4" t="s">
        <v>3162</v>
      </c>
      <c r="E48" s="5" t="s">
        <v>3049</v>
      </c>
      <c r="F48" s="13" t="s">
        <v>97</v>
      </c>
      <c r="G48" s="4" t="s">
        <v>3051</v>
      </c>
      <c r="H48" s="5" t="s">
        <v>97</v>
      </c>
      <c r="I48" s="25" t="s">
        <v>125</v>
      </c>
      <c r="J48" s="25"/>
      <c r="K48" s="25"/>
      <c r="L48" s="25"/>
    </row>
    <row r="49" spans="2:12">
      <c r="B49" s="3" t="s">
        <v>3163</v>
      </c>
      <c r="C49" s="14" t="s">
        <v>3164</v>
      </c>
      <c r="D49" s="4" t="s">
        <v>3165</v>
      </c>
      <c r="E49" s="5" t="s">
        <v>3049</v>
      </c>
      <c r="F49" s="13" t="s">
        <v>97</v>
      </c>
      <c r="G49" s="4" t="s">
        <v>3051</v>
      </c>
      <c r="H49" s="5" t="s">
        <v>97</v>
      </c>
      <c r="I49" s="25" t="s">
        <v>125</v>
      </c>
      <c r="J49" s="25"/>
      <c r="K49" s="25"/>
      <c r="L49" s="25"/>
    </row>
    <row r="50" spans="2:12" ht="36">
      <c r="B50" s="3" t="s">
        <v>3166</v>
      </c>
      <c r="C50" s="14" t="s">
        <v>3167</v>
      </c>
      <c r="D50" s="4" t="s">
        <v>3168</v>
      </c>
      <c r="E50" s="5" t="s">
        <v>3039</v>
      </c>
      <c r="F50" s="13" t="s">
        <v>97</v>
      </c>
      <c r="G50" s="4" t="s">
        <v>97</v>
      </c>
      <c r="H50" s="5" t="s">
        <v>3241</v>
      </c>
      <c r="I50" s="25"/>
      <c r="J50" s="25"/>
      <c r="K50" s="25"/>
      <c r="L50" s="25" t="s">
        <v>125</v>
      </c>
    </row>
    <row r="51" spans="2:12" ht="96">
      <c r="B51" s="3" t="s">
        <v>3169</v>
      </c>
      <c r="C51" s="14" t="s">
        <v>3170</v>
      </c>
      <c r="D51" s="4" t="s">
        <v>3171</v>
      </c>
      <c r="E51" s="5" t="s">
        <v>3021</v>
      </c>
      <c r="F51" s="13" t="s">
        <v>97</v>
      </c>
      <c r="G51" s="4" t="s">
        <v>3251</v>
      </c>
      <c r="H51" s="5" t="s">
        <v>3094</v>
      </c>
      <c r="I51" s="25" t="s">
        <v>125</v>
      </c>
      <c r="J51" s="25"/>
      <c r="K51" s="25"/>
      <c r="L51" s="25"/>
    </row>
    <row r="52" spans="2:12" ht="72">
      <c r="B52" s="3" t="s">
        <v>3174</v>
      </c>
      <c r="C52" s="14" t="s">
        <v>3175</v>
      </c>
      <c r="D52" s="4" t="s">
        <v>3176</v>
      </c>
      <c r="E52" s="5" t="s">
        <v>3039</v>
      </c>
      <c r="F52" s="13" t="s">
        <v>97</v>
      </c>
      <c r="G52" s="4" t="s">
        <v>97</v>
      </c>
      <c r="H52" s="5" t="s">
        <v>3241</v>
      </c>
      <c r="I52" s="25"/>
      <c r="J52" s="25"/>
      <c r="K52" s="25"/>
      <c r="L52" s="25" t="s">
        <v>125</v>
      </c>
    </row>
    <row r="53" spans="2:12" ht="36">
      <c r="B53" s="3" t="s">
        <v>3177</v>
      </c>
      <c r="C53" s="14" t="s">
        <v>3178</v>
      </c>
      <c r="D53" s="4" t="s">
        <v>3179</v>
      </c>
      <c r="E53" s="5" t="s">
        <v>3032</v>
      </c>
      <c r="F53" s="13" t="s">
        <v>97</v>
      </c>
      <c r="G53" s="4" t="s">
        <v>3180</v>
      </c>
      <c r="H53" s="5" t="s">
        <v>3252</v>
      </c>
      <c r="I53" s="25" t="s">
        <v>125</v>
      </c>
      <c r="J53" s="25"/>
      <c r="K53" s="25"/>
      <c r="L53" s="25"/>
    </row>
    <row r="54" spans="2:12" ht="24">
      <c r="B54" s="3" t="s">
        <v>3182</v>
      </c>
      <c r="C54" s="14" t="s">
        <v>3183</v>
      </c>
      <c r="D54" s="4" t="s">
        <v>3184</v>
      </c>
      <c r="E54" s="5" t="s">
        <v>3049</v>
      </c>
      <c r="F54" s="13" t="s">
        <v>97</v>
      </c>
      <c r="G54" s="4" t="s">
        <v>3051</v>
      </c>
      <c r="H54" s="5" t="s">
        <v>97</v>
      </c>
      <c r="I54" s="25" t="s">
        <v>125</v>
      </c>
      <c r="J54" s="25"/>
      <c r="K54" s="25"/>
      <c r="L54" s="25"/>
    </row>
    <row r="55" spans="2:12" ht="36">
      <c r="B55" s="3" t="s">
        <v>3185</v>
      </c>
      <c r="C55" s="14" t="s">
        <v>68</v>
      </c>
      <c r="D55" s="4" t="s">
        <v>3186</v>
      </c>
      <c r="E55" s="5" t="s">
        <v>3049</v>
      </c>
      <c r="F55" s="13" t="s">
        <v>97</v>
      </c>
      <c r="G55" s="4" t="s">
        <v>3051</v>
      </c>
      <c r="H55" s="5" t="s">
        <v>97</v>
      </c>
      <c r="I55" s="25" t="s">
        <v>125</v>
      </c>
      <c r="J55" s="25"/>
      <c r="K55" s="25"/>
      <c r="L55" s="25"/>
    </row>
    <row r="56" spans="2:12" ht="36">
      <c r="B56" s="3" t="s">
        <v>3187</v>
      </c>
      <c r="C56" s="14" t="s">
        <v>3188</v>
      </c>
      <c r="D56" s="4" t="s">
        <v>3189</v>
      </c>
      <c r="E56" s="5" t="s">
        <v>3049</v>
      </c>
      <c r="F56" s="13" t="s">
        <v>97</v>
      </c>
      <c r="G56" s="4" t="s">
        <v>3051</v>
      </c>
      <c r="H56" s="5" t="s">
        <v>97</v>
      </c>
      <c r="I56" s="25" t="s">
        <v>125</v>
      </c>
      <c r="J56" s="25"/>
      <c r="K56" s="25"/>
      <c r="L56" s="25"/>
    </row>
    <row r="57" spans="2:12" ht="240">
      <c r="B57" s="3" t="s">
        <v>3190</v>
      </c>
      <c r="C57" s="14" t="s">
        <v>78</v>
      </c>
      <c r="D57" s="4" t="s">
        <v>3191</v>
      </c>
      <c r="E57" s="5" t="s">
        <v>3049</v>
      </c>
      <c r="F57" s="13" t="s">
        <v>97</v>
      </c>
      <c r="G57" s="4" t="s">
        <v>3051</v>
      </c>
      <c r="H57" s="5" t="s">
        <v>97</v>
      </c>
      <c r="I57" s="25" t="s">
        <v>125</v>
      </c>
      <c r="J57" s="25"/>
      <c r="K57" s="25"/>
      <c r="L57" s="25"/>
    </row>
    <row r="58" spans="2:12" ht="168">
      <c r="B58" s="3" t="s">
        <v>3192</v>
      </c>
      <c r="C58" s="14" t="s">
        <v>3193</v>
      </c>
      <c r="D58" s="4" t="s">
        <v>3194</v>
      </c>
      <c r="E58" s="5" t="s">
        <v>3039</v>
      </c>
      <c r="F58" s="13" t="s">
        <v>97</v>
      </c>
      <c r="G58" s="4" t="s">
        <v>97</v>
      </c>
      <c r="H58" s="5" t="s">
        <v>3253</v>
      </c>
      <c r="I58" s="25"/>
      <c r="J58" s="25"/>
      <c r="K58" s="25" t="s">
        <v>125</v>
      </c>
      <c r="L58" s="25"/>
    </row>
    <row r="59" spans="2:12" ht="156">
      <c r="B59" s="3" t="s">
        <v>3196</v>
      </c>
      <c r="C59" s="14" t="s">
        <v>80</v>
      </c>
      <c r="D59" s="4" t="s">
        <v>3197</v>
      </c>
      <c r="E59" s="5" t="s">
        <v>3049</v>
      </c>
      <c r="F59" s="13" t="s">
        <v>3198</v>
      </c>
      <c r="G59" s="4" t="s">
        <v>3051</v>
      </c>
      <c r="H59" s="5" t="s">
        <v>97</v>
      </c>
      <c r="I59" s="25" t="s">
        <v>125</v>
      </c>
      <c r="J59" s="25"/>
      <c r="K59" s="25"/>
      <c r="L59" s="25"/>
    </row>
    <row r="60" spans="2:12" ht="144">
      <c r="B60" s="3" t="s">
        <v>3199</v>
      </c>
      <c r="C60" s="14" t="s">
        <v>3200</v>
      </c>
      <c r="D60" s="4" t="s">
        <v>3201</v>
      </c>
      <c r="E60" s="5" t="s">
        <v>3032</v>
      </c>
      <c r="F60" s="13" t="s">
        <v>3033</v>
      </c>
      <c r="G60" s="4" t="s">
        <v>3202</v>
      </c>
      <c r="H60" s="5" t="s">
        <v>3254</v>
      </c>
      <c r="I60" s="25"/>
      <c r="J60" s="25" t="s">
        <v>125</v>
      </c>
      <c r="K60" s="25"/>
      <c r="L60" s="25"/>
    </row>
    <row r="61" spans="2:12" ht="84">
      <c r="B61" s="3" t="s">
        <v>3204</v>
      </c>
      <c r="C61" s="14" t="s">
        <v>3205</v>
      </c>
      <c r="D61" s="4" t="s">
        <v>3206</v>
      </c>
      <c r="E61" s="5" t="s">
        <v>3021</v>
      </c>
      <c r="F61" s="13" t="s">
        <v>97</v>
      </c>
      <c r="G61" s="4" t="s">
        <v>3207</v>
      </c>
      <c r="H61" s="5" t="s">
        <v>3255</v>
      </c>
      <c r="I61" s="25" t="s">
        <v>125</v>
      </c>
      <c r="J61" s="25"/>
      <c r="K61" s="25"/>
      <c r="L61" s="25"/>
    </row>
    <row r="62" spans="2:12" ht="96">
      <c r="B62" s="3" t="s">
        <v>3209</v>
      </c>
      <c r="C62" s="14" t="s">
        <v>3210</v>
      </c>
      <c r="D62" s="4" t="s">
        <v>3211</v>
      </c>
      <c r="E62" s="5" t="s">
        <v>3049</v>
      </c>
      <c r="F62" s="13" t="s">
        <v>97</v>
      </c>
      <c r="G62" s="4" t="s">
        <v>3051</v>
      </c>
      <c r="H62" s="5" t="s">
        <v>97</v>
      </c>
      <c r="I62" s="25" t="s">
        <v>125</v>
      </c>
      <c r="J62" s="25"/>
      <c r="K62" s="25"/>
      <c r="L62" s="25"/>
    </row>
    <row r="63" spans="2:12" ht="144">
      <c r="B63" s="3" t="s">
        <v>3212</v>
      </c>
      <c r="C63" s="14" t="s">
        <v>3213</v>
      </c>
      <c r="D63" s="4" t="s">
        <v>3214</v>
      </c>
      <c r="E63" s="5" t="s">
        <v>3039</v>
      </c>
      <c r="F63" s="13" t="s">
        <v>97</v>
      </c>
      <c r="G63" s="4" t="s">
        <v>97</v>
      </c>
      <c r="H63" s="5" t="s">
        <v>3256</v>
      </c>
      <c r="I63" s="25"/>
      <c r="J63" s="25"/>
      <c r="K63" s="25" t="s">
        <v>125</v>
      </c>
      <c r="L63" s="25"/>
    </row>
    <row r="64" spans="2:12" ht="120">
      <c r="B64" s="3" t="s">
        <v>3215</v>
      </c>
      <c r="C64" s="14" t="s">
        <v>3216</v>
      </c>
      <c r="D64" s="4" t="s">
        <v>3217</v>
      </c>
      <c r="E64" s="5" t="s">
        <v>3039</v>
      </c>
      <c r="F64" s="13" t="s">
        <v>97</v>
      </c>
      <c r="G64" s="4" t="s">
        <v>97</v>
      </c>
      <c r="H64" s="5" t="s">
        <v>3256</v>
      </c>
      <c r="I64" s="25"/>
      <c r="J64" s="25"/>
      <c r="K64" s="25"/>
      <c r="L64" s="25" t="s">
        <v>125</v>
      </c>
    </row>
    <row r="65" spans="2:12" ht="192">
      <c r="B65" s="3" t="s">
        <v>3218</v>
      </c>
      <c r="C65" s="14" t="s">
        <v>3219</v>
      </c>
      <c r="D65" s="4" t="s">
        <v>3220</v>
      </c>
      <c r="E65" s="5" t="s">
        <v>3039</v>
      </c>
      <c r="F65" s="13" t="s">
        <v>97</v>
      </c>
      <c r="G65" s="4" t="s">
        <v>97</v>
      </c>
      <c r="H65" s="5" t="s">
        <v>3256</v>
      </c>
      <c r="I65" s="25"/>
      <c r="J65" s="25"/>
      <c r="K65" s="25"/>
      <c r="L65" s="25" t="s">
        <v>125</v>
      </c>
    </row>
    <row r="66" spans="2:12">
      <c r="B66" s="3">
        <v>2.17</v>
      </c>
      <c r="C66" s="14" t="s">
        <v>3221</v>
      </c>
      <c r="D66" s="4" t="s">
        <v>97</v>
      </c>
      <c r="E66" s="5" t="s">
        <v>3049</v>
      </c>
      <c r="F66" s="13" t="s">
        <v>3022</v>
      </c>
      <c r="G66" s="4"/>
      <c r="H66" s="5"/>
      <c r="I66" s="25" t="s">
        <v>125</v>
      </c>
      <c r="J66" s="25"/>
      <c r="K66" s="25"/>
      <c r="L66" s="25"/>
    </row>
    <row r="67" spans="2:12">
      <c r="B67" s="3">
        <v>2.1800000000000002</v>
      </c>
      <c r="C67" s="14" t="s">
        <v>3222</v>
      </c>
      <c r="D67" s="4" t="s">
        <v>97</v>
      </c>
      <c r="E67" s="5" t="s">
        <v>3049</v>
      </c>
      <c r="F67" s="13" t="s">
        <v>97</v>
      </c>
      <c r="G67" s="4"/>
      <c r="H67" s="5"/>
      <c r="I67" s="25" t="s">
        <v>125</v>
      </c>
      <c r="J67" s="25"/>
      <c r="K67" s="25"/>
      <c r="L67" s="25"/>
    </row>
    <row r="68" spans="2:12">
      <c r="I68" s="9"/>
      <c r="J68" s="9"/>
      <c r="K68" s="9"/>
      <c r="L68" s="9"/>
    </row>
    <row r="69" spans="2:12">
      <c r="I69" s="9"/>
      <c r="J69" s="9"/>
      <c r="K69" s="9"/>
      <c r="L69" s="9"/>
    </row>
    <row r="70" spans="2:12">
      <c r="I70" s="9"/>
      <c r="J70" s="9"/>
      <c r="K70" s="9"/>
      <c r="L70" s="9"/>
    </row>
    <row r="71" spans="2:12" ht="12.75" customHeight="1">
      <c r="I71" s="9"/>
      <c r="J71" s="9"/>
      <c r="K71" s="9"/>
      <c r="L71" s="9"/>
    </row>
  </sheetData>
  <autoFilter ref="B6:L67" xr:uid="{8DDBBD2A-A059-40DC-AAC3-83647DD0C2FF}"/>
  <dataValidations count="1">
    <dataValidation type="list" allowBlank="1" showInputMessage="1" showErrorMessage="1" sqref="E7:E67" xr:uid="{B0177180-F2ED-4776-8429-54D89733A08E}">
      <formula1>"Yes - No Alternative Proposed, Yes - Alternative Proposed, Partial - No Alternative Proposed, Partial - Alternative Proposed, No - Not Applicable/Relevant"</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6BD8-5602-42CD-A9FC-777C6E546E07}">
  <sheetPr>
    <tabColor theme="5" tint="0.79998168889431442"/>
    <pageSetUpPr autoPageBreaks="0" fitToPage="1"/>
  </sheetPr>
  <dimension ref="A1:Z78"/>
  <sheetViews>
    <sheetView workbookViewId="0"/>
    <sheetView workbookViewId="1"/>
    <sheetView workbookViewId="2"/>
  </sheetViews>
  <sheetFormatPr defaultColWidth="8.5703125" defaultRowHeight="14.25" customHeight="1"/>
  <cols>
    <col min="1" max="1" width="5.5703125" style="2" customWidth="1"/>
    <col min="2" max="2" width="5.5703125" customWidth="1"/>
    <col min="3" max="3" width="81.5703125" customWidth="1"/>
    <col min="4" max="4" width="5.5703125" customWidth="1"/>
    <col min="5" max="5" width="28.5703125" customWidth="1"/>
    <col min="6" max="6" width="5.5703125" hidden="1" customWidth="1"/>
    <col min="7" max="7" width="28.5703125" hidden="1" customWidth="1"/>
    <col min="8" max="8" width="5.5703125" hidden="1" customWidth="1"/>
    <col min="9" max="9" width="28.5703125" hidden="1" customWidth="1"/>
    <col min="10" max="10" width="4.42578125" customWidth="1"/>
    <col min="11" max="11" width="28.5703125" customWidth="1"/>
    <col min="12" max="12" width="5.5703125" hidden="1" customWidth="1"/>
    <col min="13" max="13" width="28.5703125" hidden="1" customWidth="1"/>
    <col min="14" max="14" width="5.5703125" hidden="1" customWidth="1"/>
    <col min="15" max="15" width="28.5703125" hidden="1" customWidth="1"/>
    <col min="16" max="16" width="5.5703125" customWidth="1"/>
    <col min="17" max="17" width="28.5703125" customWidth="1"/>
    <col min="18" max="18" width="5.5703125" hidden="1" customWidth="1"/>
    <col min="19" max="19" width="28.5703125" hidden="1" customWidth="1"/>
    <col min="20" max="20" width="5.5703125" hidden="1" customWidth="1"/>
    <col min="21" max="21" width="28.5703125" hidden="1" customWidth="1"/>
    <col min="26" max="26" width="22.42578125" customWidth="1"/>
  </cols>
  <sheetData>
    <row r="1" spans="1:21" s="79" customFormat="1" ht="47.25" customHeight="1">
      <c r="A1" s="842" t="s">
        <v>242</v>
      </c>
      <c r="B1"/>
      <c r="C1" s="58" t="s">
        <v>5</v>
      </c>
      <c r="D1"/>
      <c r="E1" s="58" t="s">
        <v>351</v>
      </c>
      <c r="F1" s="2"/>
      <c r="G1" s="58" t="s">
        <v>352</v>
      </c>
      <c r="H1" s="2"/>
      <c r="I1" s="843" t="s">
        <v>353</v>
      </c>
      <c r="J1" s="313"/>
      <c r="K1" s="58" t="s">
        <v>354</v>
      </c>
      <c r="L1" s="2"/>
      <c r="M1" s="58" t="s">
        <v>352</v>
      </c>
      <c r="N1" s="2"/>
      <c r="O1" s="58" t="s">
        <v>355</v>
      </c>
      <c r="P1" s="59"/>
      <c r="Q1" s="58" t="s">
        <v>356</v>
      </c>
      <c r="R1" s="2"/>
      <c r="S1" s="58" t="s">
        <v>352</v>
      </c>
      <c r="T1" s="2"/>
      <c r="U1" s="843" t="s">
        <v>357</v>
      </c>
    </row>
    <row r="2" spans="1:21" s="79" customFormat="1" ht="15">
      <c r="A2" s="91"/>
      <c r="B2"/>
      <c r="C2"/>
      <c r="D2"/>
      <c r="E2" s="2"/>
      <c r="F2"/>
      <c r="G2" s="2"/>
      <c r="H2"/>
      <c r="I2" s="844"/>
      <c r="J2" s="313"/>
      <c r="K2" s="2"/>
      <c r="L2"/>
      <c r="M2" s="2"/>
      <c r="N2"/>
      <c r="O2" s="2"/>
      <c r="P2" s="2"/>
      <c r="Q2" s="2"/>
      <c r="R2"/>
      <c r="S2" s="2" t="s">
        <v>358</v>
      </c>
      <c r="T2"/>
      <c r="U2" s="844" t="s">
        <v>359</v>
      </c>
    </row>
    <row r="3" spans="1:21" s="79" customFormat="1" ht="15">
      <c r="A3" s="91">
        <v>1</v>
      </c>
      <c r="B3"/>
      <c r="C3" s="29" t="s">
        <v>360</v>
      </c>
      <c r="D3" s="29"/>
      <c r="E3" s="310"/>
      <c r="F3" s="311"/>
      <c r="G3" s="310"/>
      <c r="H3" s="311"/>
      <c r="I3" s="358"/>
      <c r="J3" s="313"/>
      <c r="K3" s="310"/>
      <c r="L3" s="311"/>
      <c r="M3" s="310"/>
      <c r="N3" s="311"/>
      <c r="O3" s="310"/>
      <c r="P3" s="310"/>
      <c r="Q3" s="310"/>
      <c r="R3" s="311"/>
      <c r="S3" s="310"/>
      <c r="T3" s="311"/>
      <c r="U3" s="358"/>
    </row>
    <row r="4" spans="1:21" s="79" customFormat="1" ht="15">
      <c r="A4" s="91">
        <f>IF(C4&lt;&gt;"",MAX(A1:A3)+1,"")</f>
        <v>2</v>
      </c>
      <c r="B4"/>
      <c r="C4" s="62" t="s">
        <v>361</v>
      </c>
      <c r="D4"/>
      <c r="E4" s="369">
        <f>'B-2'!J22</f>
        <v>2436713299.8406897</v>
      </c>
      <c r="F4" s="367"/>
      <c r="G4" s="369">
        <v>0</v>
      </c>
      <c r="H4" s="367"/>
      <c r="I4" s="370">
        <f>E4+G4</f>
        <v>2436713299.8406897</v>
      </c>
      <c r="J4" s="369"/>
      <c r="K4" s="369">
        <f>'B-2'!M7</f>
        <v>2363810018.072628</v>
      </c>
      <c r="L4" s="367"/>
      <c r="M4" s="369">
        <v>0</v>
      </c>
      <c r="N4" s="367"/>
      <c r="O4" s="369">
        <f>K4+M4</f>
        <v>2363810018.072628</v>
      </c>
      <c r="P4" s="369"/>
      <c r="Q4" s="369">
        <f>'B-2'!P7</f>
        <v>2312631997.3431683</v>
      </c>
      <c r="R4" s="367"/>
      <c r="S4" s="369">
        <v>0</v>
      </c>
      <c r="T4" s="367"/>
      <c r="U4" s="370">
        <f>Q4+S4</f>
        <v>2312631997.3431683</v>
      </c>
    </row>
    <row r="5" spans="1:21" s="79" customFormat="1" ht="15">
      <c r="A5" s="91">
        <f t="shared" ref="A5:A38" si="0">IF(C5&lt;&gt;"",MAX(A2:A4)+1,"")</f>
        <v>3</v>
      </c>
      <c r="B5"/>
      <c r="C5" s="62" t="s">
        <v>362</v>
      </c>
      <c r="D5"/>
      <c r="E5" s="369"/>
      <c r="F5" s="367"/>
      <c r="G5" s="369"/>
      <c r="H5" s="367"/>
      <c r="I5" s="370"/>
      <c r="J5" s="369"/>
      <c r="K5" s="369"/>
      <c r="L5" s="367"/>
      <c r="M5" s="369"/>
      <c r="N5" s="367"/>
      <c r="O5" s="369"/>
      <c r="P5" s="369"/>
      <c r="Q5" s="369"/>
      <c r="R5" s="367"/>
      <c r="S5" s="369"/>
      <c r="T5" s="367"/>
      <c r="U5" s="370"/>
    </row>
    <row r="6" spans="1:21" s="79" customFormat="1" ht="15">
      <c r="A6" s="91">
        <f t="shared" si="0"/>
        <v>4</v>
      </c>
      <c r="B6"/>
      <c r="C6" s="80" t="s">
        <v>363</v>
      </c>
      <c r="D6"/>
      <c r="E6" s="369">
        <f>'C-2 - OPTIMAL'!G84-'C-2 - OPTIMAL'!G70</f>
        <v>596558723.07010591</v>
      </c>
      <c r="F6" s="367"/>
      <c r="G6" s="369">
        <v>0</v>
      </c>
      <c r="H6" s="367"/>
      <c r="I6" s="370">
        <f t="shared" ref="I6:I10" si="1">E6+G6</f>
        <v>596558723.07010591</v>
      </c>
      <c r="J6" s="369"/>
      <c r="K6" s="369">
        <f>'C-2 - OPTIMAL'!R84-'C-2 - OPTIMAL'!R70</f>
        <v>595934381.76733649</v>
      </c>
      <c r="L6" s="367"/>
      <c r="M6" s="369">
        <v>0</v>
      </c>
      <c r="N6" s="367"/>
      <c r="O6" s="369">
        <f t="shared" ref="O6:O10" si="2">K6+M6</f>
        <v>595934381.76733649</v>
      </c>
      <c r="P6" s="369"/>
      <c r="Q6" s="369">
        <f>'C-2 - OPTIMAL'!AD84-'C-2 - OPTIMAL'!AD70</f>
        <v>588518003.91953087</v>
      </c>
      <c r="R6" s="367"/>
      <c r="S6" s="369">
        <v>0</v>
      </c>
      <c r="T6" s="367"/>
      <c r="U6" s="370">
        <f t="shared" ref="U6:U10" si="3">Q6+S6</f>
        <v>588518003.91953087</v>
      </c>
    </row>
    <row r="7" spans="1:21" s="79" customFormat="1" ht="15">
      <c r="A7" s="91">
        <f t="shared" si="0"/>
        <v>5</v>
      </c>
      <c r="B7"/>
      <c r="C7" s="80" t="s">
        <v>364</v>
      </c>
      <c r="D7"/>
      <c r="E7" s="369">
        <f>'C-2 - OPTIMAL'!H84-'C-2 - OPTIMAL'!H70</f>
        <v>14132400</v>
      </c>
      <c r="F7" s="367"/>
      <c r="G7" s="369">
        <v>0</v>
      </c>
      <c r="H7" s="367"/>
      <c r="I7" s="370">
        <f t="shared" si="1"/>
        <v>14132400</v>
      </c>
      <c r="J7" s="369"/>
      <c r="K7" s="369">
        <f>'C-2 - OPTIMAL'!S84-'C-2 - OPTIMAL'!S70</f>
        <v>14839020</v>
      </c>
      <c r="L7" s="367"/>
      <c r="M7" s="369">
        <v>0</v>
      </c>
      <c r="N7" s="367"/>
      <c r="O7" s="369">
        <f t="shared" si="2"/>
        <v>14839020</v>
      </c>
      <c r="P7" s="369"/>
      <c r="Q7" s="369">
        <f>'C-2 - OPTIMAL'!AE84-'C-2 - OPTIMAL'!AE70</f>
        <v>15580971</v>
      </c>
      <c r="R7" s="367"/>
      <c r="S7" s="369">
        <v>0</v>
      </c>
      <c r="T7" s="367"/>
      <c r="U7" s="370">
        <f t="shared" si="3"/>
        <v>15580971</v>
      </c>
    </row>
    <row r="8" spans="1:21" s="79" customFormat="1" ht="15">
      <c r="A8" s="91">
        <f t="shared" si="0"/>
        <v>6</v>
      </c>
      <c r="B8"/>
      <c r="C8" s="80" t="s">
        <v>365</v>
      </c>
      <c r="D8" s="29"/>
      <c r="E8" s="369">
        <f>'C-2 - OPTIMAL'!I84-'C-2 - OPTIMAL'!I70</f>
        <v>73628569.597069591</v>
      </c>
      <c r="F8" s="367"/>
      <c r="G8" s="369">
        <v>0</v>
      </c>
      <c r="H8" s="367"/>
      <c r="I8" s="370">
        <f t="shared" si="1"/>
        <v>73628569.597069591</v>
      </c>
      <c r="J8" s="369"/>
      <c r="K8" s="369">
        <f>'C-2 - OPTIMAL'!T84-'C-2 - OPTIMAL'!T70</f>
        <v>96288657.380952388</v>
      </c>
      <c r="L8" s="367"/>
      <c r="M8" s="369">
        <v>0</v>
      </c>
      <c r="N8" s="367"/>
      <c r="O8" s="369">
        <f t="shared" si="2"/>
        <v>96288657.380952388</v>
      </c>
      <c r="P8" s="369"/>
      <c r="Q8" s="369">
        <f>'C-2 - OPTIMAL'!AF84-'C-2 - OPTIMAL'!AF70</f>
        <v>101786406.42619047</v>
      </c>
      <c r="R8" s="367"/>
      <c r="S8" s="369">
        <v>0</v>
      </c>
      <c r="T8" s="367"/>
      <c r="U8" s="370">
        <f t="shared" si="3"/>
        <v>101786406.42619047</v>
      </c>
    </row>
    <row r="9" spans="1:21" s="79" customFormat="1" ht="15">
      <c r="A9" s="91">
        <f t="shared" si="0"/>
        <v>7</v>
      </c>
      <c r="B9"/>
      <c r="C9" s="80" t="s">
        <v>366</v>
      </c>
      <c r="D9"/>
      <c r="E9" s="369">
        <f>'C-2 - OPTIMAL'!J84-'C-2 - OPTIMAL'!J70</f>
        <v>1615244371.6216381</v>
      </c>
      <c r="F9" s="367"/>
      <c r="G9" s="369">
        <v>0</v>
      </c>
      <c r="H9" s="367"/>
      <c r="I9" s="370">
        <f t="shared" si="1"/>
        <v>1615244371.6216381</v>
      </c>
      <c r="J9" s="369"/>
      <c r="K9" s="369">
        <f>'C-2 - OPTIMAL'!U84-'C-2 - OPTIMAL'!U70</f>
        <v>1908931097.1525769</v>
      </c>
      <c r="L9" s="367"/>
      <c r="M9" s="369">
        <v>0</v>
      </c>
      <c r="N9" s="367"/>
      <c r="O9" s="369">
        <f t="shared" si="2"/>
        <v>1908931097.1525769</v>
      </c>
      <c r="P9" s="860"/>
      <c r="Q9" s="369">
        <f>'C-2 - OPTIMAL'!AG84-'C-2 - OPTIMAL'!AG70</f>
        <v>2170060986.5944591</v>
      </c>
      <c r="R9" s="367"/>
      <c r="S9" s="369">
        <v>0</v>
      </c>
      <c r="T9" s="367"/>
      <c r="U9" s="370">
        <f t="shared" si="3"/>
        <v>2170060986.5944591</v>
      </c>
    </row>
    <row r="10" spans="1:21" s="79" customFormat="1" ht="15">
      <c r="A10" s="91">
        <f t="shared" si="0"/>
        <v>8</v>
      </c>
      <c r="B10"/>
      <c r="C10" s="80" t="s">
        <v>367</v>
      </c>
      <c r="D10"/>
      <c r="E10" s="369">
        <f>'B-2'!J54+'C-2 - OPTIMAL'!F52+'C-2 - OPTIMAL'!F53</f>
        <v>399921504.75295109</v>
      </c>
      <c r="F10" s="367"/>
      <c r="G10" s="369">
        <v>0</v>
      </c>
      <c r="H10" s="367"/>
      <c r="I10" s="370">
        <f t="shared" si="1"/>
        <v>399921504.75295109</v>
      </c>
      <c r="J10" s="369"/>
      <c r="K10" s="369">
        <f>'B-2'!M54+'C-2 - OPTIMAL'!Q52+'C-2 - OPTIMAL'!Q53</f>
        <v>320439504.53069597</v>
      </c>
      <c r="L10" s="367"/>
      <c r="M10" s="369">
        <v>0</v>
      </c>
      <c r="N10" s="367"/>
      <c r="O10" s="369">
        <f t="shared" si="2"/>
        <v>320439504.53069597</v>
      </c>
      <c r="P10" s="791"/>
      <c r="Q10" s="369">
        <f>'B-2'!P54+'C-2 - OPTIMAL'!AC52+'C-2 - OPTIMAL'!AC53</f>
        <v>225107602.25570843</v>
      </c>
      <c r="R10" s="367"/>
      <c r="S10" s="369">
        <v>0</v>
      </c>
      <c r="T10" s="367"/>
      <c r="U10" s="370">
        <f t="shared" si="3"/>
        <v>225107602.25570843</v>
      </c>
    </row>
    <row r="11" spans="1:21" s="79" customFormat="1" ht="15">
      <c r="A11" s="91">
        <f>IF(C11&lt;&gt;"",MAX(A8:A10)+1,"")</f>
        <v>9</v>
      </c>
      <c r="B11"/>
      <c r="C11" s="80" t="s">
        <v>288</v>
      </c>
      <c r="D11"/>
      <c r="E11" s="369">
        <f>'C-2 - OPTIMAL'!L64</f>
        <v>158980998.42899999</v>
      </c>
      <c r="F11" s="367"/>
      <c r="G11" s="369">
        <v>0</v>
      </c>
      <c r="H11" s="367"/>
      <c r="I11" s="372">
        <f>E11+G11</f>
        <v>158980998.42899999</v>
      </c>
      <c r="J11" s="369"/>
      <c r="K11" s="369">
        <f>'C-2 - OPTIMAL'!W64</f>
        <v>166713168.24360001</v>
      </c>
      <c r="L11" s="367"/>
      <c r="M11" s="369">
        <v>0</v>
      </c>
      <c r="N11" s="367"/>
      <c r="O11" s="369">
        <f>K11+M11</f>
        <v>166713168.24360001</v>
      </c>
      <c r="P11" s="371"/>
      <c r="Q11" s="369">
        <f>'C-2 - OPTIMAL'!AI64</f>
        <v>167782434.44490001</v>
      </c>
      <c r="R11" s="367"/>
      <c r="S11" s="369">
        <v>0</v>
      </c>
      <c r="T11" s="367"/>
      <c r="U11" s="370">
        <f>Q11+S11</f>
        <v>167782434.44490001</v>
      </c>
    </row>
    <row r="12" spans="1:21" ht="15">
      <c r="A12" s="91">
        <f>IF(C12&lt;&gt;"",MAX(A10:A11)+1,"")</f>
        <v>10</v>
      </c>
      <c r="C12" s="80" t="s">
        <v>339</v>
      </c>
      <c r="E12" s="369">
        <f>'C-2 - OPTIMAL'!L82</f>
        <v>157542060.0715428</v>
      </c>
      <c r="F12" s="367"/>
      <c r="G12" s="369">
        <v>0</v>
      </c>
      <c r="H12" s="367"/>
      <c r="I12" s="370">
        <f t="shared" ref="I12" si="4">E12+G12</f>
        <v>157542060.0715428</v>
      </c>
      <c r="J12" s="369"/>
      <c r="K12" s="369">
        <f>'C-2 - OPTIMAL'!W82</f>
        <v>200183583.24224252</v>
      </c>
      <c r="L12" s="367"/>
      <c r="M12" s="369">
        <v>0</v>
      </c>
      <c r="N12" s="367"/>
      <c r="O12" s="369">
        <f t="shared" ref="O12" si="5">K12+M12</f>
        <v>200183583.24224252</v>
      </c>
      <c r="P12" s="369"/>
      <c r="Q12" s="369">
        <f>'C-2 - OPTIMAL'!AI82</f>
        <v>197193170.8206079</v>
      </c>
      <c r="R12" s="367"/>
      <c r="S12" s="369">
        <v>0</v>
      </c>
      <c r="T12" s="367"/>
      <c r="U12" s="370">
        <f t="shared" ref="U12" si="6">Q12+S12</f>
        <v>197193170.8206079</v>
      </c>
    </row>
    <row r="13" spans="1:21" s="79" customFormat="1" ht="15">
      <c r="A13" s="91">
        <f>IF(C13&lt;&gt;"",MAX(A9:A11)+1,"")</f>
        <v>10</v>
      </c>
      <c r="B13"/>
      <c r="C13" s="752" t="s">
        <v>368</v>
      </c>
      <c r="D13"/>
      <c r="E13" s="756">
        <f>SUM(E4:E12)</f>
        <v>5452721927.3829966</v>
      </c>
      <c r="F13" s="756"/>
      <c r="G13" s="756">
        <f>SUM(G4:G10)</f>
        <v>0</v>
      </c>
      <c r="H13" s="756"/>
      <c r="I13" s="846">
        <f>SUM(I4:I10)</f>
        <v>5136198868.8824539</v>
      </c>
      <c r="J13" s="369"/>
      <c r="K13" s="756">
        <f>SUM(K4:K12)</f>
        <v>5667139430.3900318</v>
      </c>
      <c r="L13" s="756"/>
      <c r="M13" s="756">
        <f>SUM(M4:M10)</f>
        <v>0</v>
      </c>
      <c r="N13" s="756"/>
      <c r="O13" s="756">
        <f>SUM(O4:O10)</f>
        <v>5300242678.9041891</v>
      </c>
      <c r="P13" s="369"/>
      <c r="Q13" s="756">
        <f>SUM(Q4:Q12)</f>
        <v>5778661572.8045645</v>
      </c>
      <c r="R13" s="756"/>
      <c r="S13" s="756">
        <f>SUM(S4:S10)</f>
        <v>0</v>
      </c>
      <c r="T13" s="756"/>
      <c r="U13" s="847">
        <f>SUM(U4:U10)</f>
        <v>5413685967.5390568</v>
      </c>
    </row>
    <row r="14" spans="1:21" s="79" customFormat="1" ht="15">
      <c r="A14" s="91" t="str">
        <f>IF(C14&lt;&gt;"",MAX(A9:A13)+1,"")</f>
        <v/>
      </c>
      <c r="B14"/>
      <c r="C14" s="29"/>
      <c r="D14" s="29"/>
      <c r="E14" s="366"/>
      <c r="F14" s="366"/>
      <c r="G14" s="366"/>
      <c r="H14" s="366"/>
      <c r="I14" s="848"/>
      <c r="J14" s="369"/>
      <c r="K14" s="366"/>
      <c r="L14" s="366"/>
      <c r="M14" s="366"/>
      <c r="N14" s="366"/>
      <c r="O14" s="366"/>
      <c r="P14" s="369"/>
      <c r="Q14" s="366"/>
      <c r="R14" s="366"/>
      <c r="S14" s="366"/>
      <c r="T14" s="366"/>
      <c r="U14" s="849"/>
    </row>
    <row r="15" spans="1:21" s="79" customFormat="1" ht="15">
      <c r="A15" s="91">
        <f>IF(C15&lt;&gt;"",MAX(A10:A14)+1,"")</f>
        <v>11</v>
      </c>
      <c r="B15"/>
      <c r="C15" s="29" t="s">
        <v>369</v>
      </c>
      <c r="D15"/>
      <c r="E15" s="371"/>
      <c r="F15" s="366"/>
      <c r="G15" s="371"/>
      <c r="H15" s="366"/>
      <c r="I15" s="373"/>
      <c r="J15" s="369"/>
      <c r="K15" s="371"/>
      <c r="L15" s="366"/>
      <c r="M15" s="371"/>
      <c r="N15" s="366"/>
      <c r="O15" s="371"/>
      <c r="P15" s="369"/>
      <c r="Q15" s="371"/>
      <c r="R15" s="366"/>
      <c r="S15" s="371"/>
      <c r="T15" s="366"/>
      <c r="U15" s="373"/>
    </row>
    <row r="16" spans="1:21" s="79" customFormat="1" ht="15">
      <c r="A16" s="91">
        <f t="shared" si="0"/>
        <v>12</v>
      </c>
      <c r="B16"/>
      <c r="C16" s="80" t="s">
        <v>370</v>
      </c>
      <c r="D16"/>
      <c r="E16" s="369">
        <f>-'B-2'!J14</f>
        <v>279076694</v>
      </c>
      <c r="F16" s="367"/>
      <c r="G16" s="369">
        <v>0</v>
      </c>
      <c r="H16" s="367"/>
      <c r="I16" s="372">
        <f>E16+G16</f>
        <v>279076694</v>
      </c>
      <c r="J16" s="369"/>
      <c r="K16" s="369">
        <f>-'B-2'!M14</f>
        <v>279076694</v>
      </c>
      <c r="L16" s="367"/>
      <c r="M16" s="369">
        <v>0</v>
      </c>
      <c r="N16" s="367"/>
      <c r="O16" s="369">
        <f>K16+M16</f>
        <v>279076694</v>
      </c>
      <c r="P16" s="860"/>
      <c r="Q16" s="369">
        <f>-'B-2'!P14</f>
        <v>279076694</v>
      </c>
      <c r="R16" s="367"/>
      <c r="S16" s="369">
        <v>0</v>
      </c>
      <c r="T16" s="367"/>
      <c r="U16" s="370">
        <f>Q16+S16</f>
        <v>279076694</v>
      </c>
    </row>
    <row r="17" spans="1:26" s="79" customFormat="1" ht="15">
      <c r="A17" s="91">
        <f t="shared" si="0"/>
        <v>13</v>
      </c>
      <c r="B17"/>
      <c r="C17" s="752" t="s">
        <v>371</v>
      </c>
      <c r="D17"/>
      <c r="E17" s="756">
        <f>SUM(E16:E16)</f>
        <v>279076694</v>
      </c>
      <c r="F17" s="756"/>
      <c r="G17" s="756">
        <f>SUM(G16:G16)</f>
        <v>0</v>
      </c>
      <c r="H17" s="756"/>
      <c r="I17" s="851">
        <f>SUM(I16:I16)</f>
        <v>279076694</v>
      </c>
      <c r="J17" s="369"/>
      <c r="K17" s="756">
        <f>SUM(K16:K16)</f>
        <v>279076694</v>
      </c>
      <c r="L17" s="756"/>
      <c r="M17" s="756">
        <f>SUM(M16:M16)</f>
        <v>0</v>
      </c>
      <c r="N17" s="756"/>
      <c r="O17" s="847">
        <f>SUM(O16:O16)</f>
        <v>279076694</v>
      </c>
      <c r="P17" s="791"/>
      <c r="Q17" s="756">
        <f>SUM(Q16:Q16)</f>
        <v>279076694</v>
      </c>
      <c r="R17" s="756"/>
      <c r="S17" s="756">
        <f>SUM(S16:S16)</f>
        <v>0</v>
      </c>
      <c r="T17" s="756"/>
      <c r="U17" s="847">
        <f>SUM(U16:U16)</f>
        <v>279076694</v>
      </c>
    </row>
    <row r="18" spans="1:26" s="79" customFormat="1" ht="15">
      <c r="A18" s="91" t="str">
        <f t="shared" si="0"/>
        <v/>
      </c>
      <c r="B18"/>
      <c r="C18"/>
      <c r="D18"/>
      <c r="E18" s="367"/>
      <c r="F18" s="367"/>
      <c r="G18" s="367"/>
      <c r="H18" s="367"/>
      <c r="I18" s="375"/>
      <c r="J18" s="369"/>
      <c r="K18" s="367"/>
      <c r="L18" s="367"/>
      <c r="M18" s="367"/>
      <c r="N18" s="367"/>
      <c r="O18" s="367"/>
      <c r="P18" s="371"/>
      <c r="Q18" s="367"/>
      <c r="R18" s="367"/>
      <c r="S18" s="367"/>
      <c r="T18" s="367"/>
      <c r="U18" s="375"/>
    </row>
    <row r="19" spans="1:26" s="79" customFormat="1" ht="15">
      <c r="A19" s="91">
        <f t="shared" si="0"/>
        <v>14</v>
      </c>
      <c r="B19"/>
      <c r="C19" s="752" t="s">
        <v>372</v>
      </c>
      <c r="D19" s="29"/>
      <c r="E19" s="756">
        <f>E13+E17</f>
        <v>5731798621.3829966</v>
      </c>
      <c r="F19" s="756"/>
      <c r="G19" s="756">
        <f>G13+G17</f>
        <v>0</v>
      </c>
      <c r="H19" s="756"/>
      <c r="I19" s="846">
        <f>I13+I17</f>
        <v>5415275562.8824539</v>
      </c>
      <c r="J19" s="369"/>
      <c r="K19" s="756">
        <f>K13+K17</f>
        <v>5946216124.3900318</v>
      </c>
      <c r="L19" s="756"/>
      <c r="M19" s="756">
        <f>M13+M17</f>
        <v>0</v>
      </c>
      <c r="N19" s="756"/>
      <c r="O19" s="847">
        <f>O13+O17</f>
        <v>5579319372.9041891</v>
      </c>
      <c r="P19" s="369"/>
      <c r="Q19" s="756">
        <f>Q13+Q17</f>
        <v>6057738266.8045645</v>
      </c>
      <c r="R19" s="756"/>
      <c r="S19" s="756">
        <f>S13+S17</f>
        <v>0</v>
      </c>
      <c r="T19" s="756"/>
      <c r="U19" s="847">
        <f>U13+U17</f>
        <v>5692762661.5390568</v>
      </c>
      <c r="Z19" s="852"/>
    </row>
    <row r="20" spans="1:26" s="79" customFormat="1" ht="15">
      <c r="A20" s="91" t="str">
        <f t="shared" si="0"/>
        <v/>
      </c>
      <c r="B20"/>
      <c r="C20"/>
      <c r="D20"/>
      <c r="E20" s="367"/>
      <c r="F20" s="367"/>
      <c r="G20" s="367"/>
      <c r="H20" s="367"/>
      <c r="I20" s="374"/>
      <c r="J20" s="369"/>
      <c r="K20" s="367"/>
      <c r="L20" s="367"/>
      <c r="M20" s="367"/>
      <c r="N20" s="367"/>
      <c r="O20" s="367"/>
      <c r="P20" s="369"/>
      <c r="Q20" s="367"/>
      <c r="R20" s="367"/>
      <c r="S20" s="367"/>
      <c r="T20" s="367"/>
      <c r="U20" s="375"/>
    </row>
    <row r="21" spans="1:26" s="79" customFormat="1" ht="15">
      <c r="A21" s="91">
        <f t="shared" si="0"/>
        <v>15</v>
      </c>
      <c r="B21"/>
      <c r="C21" s="29" t="s">
        <v>373</v>
      </c>
      <c r="D21"/>
      <c r="E21" s="367"/>
      <c r="F21" s="367"/>
      <c r="G21" s="367"/>
      <c r="H21" s="367"/>
      <c r="I21" s="375"/>
      <c r="J21" s="369"/>
      <c r="K21" s="367"/>
      <c r="L21" s="367"/>
      <c r="M21" s="367"/>
      <c r="N21" s="367"/>
      <c r="O21" s="367"/>
      <c r="P21" s="369"/>
      <c r="Q21" s="367"/>
      <c r="R21" s="367"/>
      <c r="S21" s="367"/>
      <c r="T21" s="367"/>
      <c r="U21" s="375"/>
    </row>
    <row r="22" spans="1:26" s="79" customFormat="1" ht="15">
      <c r="A22" s="91">
        <f t="shared" si="0"/>
        <v>16</v>
      </c>
      <c r="B22"/>
      <c r="C22" s="80" t="s">
        <v>374</v>
      </c>
      <c r="D22"/>
      <c r="E22" s="369">
        <f>'B-2'!J8</f>
        <v>1179202426.8818486</v>
      </c>
      <c r="F22" s="367"/>
      <c r="G22" s="369">
        <v>0</v>
      </c>
      <c r="H22" s="367"/>
      <c r="I22" s="370">
        <f>E22+G22</f>
        <v>1179202426.8818486</v>
      </c>
      <c r="J22" s="369"/>
      <c r="K22" s="369">
        <f>'B-2'!M8</f>
        <v>1153897329.9670923</v>
      </c>
      <c r="L22" s="367"/>
      <c r="M22" s="369">
        <v>0</v>
      </c>
      <c r="N22" s="367"/>
      <c r="O22" s="369">
        <f>K22+M22</f>
        <v>1153897329.9670923</v>
      </c>
      <c r="P22" s="860"/>
      <c r="Q22" s="369">
        <f>'B-2'!P8</f>
        <v>1138445034.8482292</v>
      </c>
      <c r="R22" s="367"/>
      <c r="S22" s="369">
        <v>0</v>
      </c>
      <c r="T22" s="367"/>
      <c r="U22" s="370">
        <f>Q22+S22</f>
        <v>1138445034.8482292</v>
      </c>
    </row>
    <row r="23" spans="1:26" s="79" customFormat="1" ht="15">
      <c r="A23" s="91">
        <f t="shared" si="0"/>
        <v>17</v>
      </c>
      <c r="B23"/>
      <c r="C23" s="80" t="s">
        <v>375</v>
      </c>
      <c r="D23"/>
      <c r="E23" s="377">
        <f>E4</f>
        <v>2436713299.8406897</v>
      </c>
      <c r="F23" s="367"/>
      <c r="G23" s="369">
        <v>0</v>
      </c>
      <c r="H23" s="367"/>
      <c r="I23" s="370">
        <f>E23+G23</f>
        <v>2436713299.8406897</v>
      </c>
      <c r="J23" s="369"/>
      <c r="K23" s="369">
        <f>K4</f>
        <v>2363810018.072628</v>
      </c>
      <c r="L23" s="367"/>
      <c r="M23" s="369">
        <v>0</v>
      </c>
      <c r="N23" s="367"/>
      <c r="O23" s="369">
        <f>K23+M23</f>
        <v>2363810018.072628</v>
      </c>
      <c r="P23" s="791"/>
      <c r="Q23" s="369">
        <f>Q4</f>
        <v>2312631997.3431683</v>
      </c>
      <c r="R23" s="367"/>
      <c r="S23" s="369">
        <v>0</v>
      </c>
      <c r="T23" s="367"/>
      <c r="U23" s="370">
        <f>Q23+S23</f>
        <v>2312631997.3431683</v>
      </c>
    </row>
    <row r="24" spans="1:26" s="79" customFormat="1" ht="15">
      <c r="A24" s="91">
        <f t="shared" si="0"/>
        <v>18</v>
      </c>
      <c r="B24"/>
      <c r="C24" s="80" t="s">
        <v>283</v>
      </c>
      <c r="D24" s="29"/>
      <c r="E24" s="369">
        <f>'B-2'!J9</f>
        <v>320077800</v>
      </c>
      <c r="F24" s="367"/>
      <c r="G24" s="369">
        <v>0</v>
      </c>
      <c r="H24" s="367"/>
      <c r="I24" s="370">
        <f t="shared" ref="I24" si="7">E24+G24</f>
        <v>320077800</v>
      </c>
      <c r="J24" s="369"/>
      <c r="K24" s="369">
        <f>'B-2'!M9</f>
        <v>320077800</v>
      </c>
      <c r="L24" s="367"/>
      <c r="M24" s="369">
        <v>0</v>
      </c>
      <c r="N24" s="367"/>
      <c r="O24" s="369">
        <f t="shared" ref="O24" si="8">K24+M24</f>
        <v>320077800</v>
      </c>
      <c r="P24" s="371"/>
      <c r="Q24" s="369">
        <f>'B-2'!P9</f>
        <v>320077800</v>
      </c>
      <c r="R24" s="367"/>
      <c r="S24" s="369">
        <v>0</v>
      </c>
      <c r="T24" s="367"/>
      <c r="U24" s="370">
        <f t="shared" ref="U24" si="9">Q24+S24</f>
        <v>320077800</v>
      </c>
    </row>
    <row r="25" spans="1:26" s="79" customFormat="1" ht="15">
      <c r="A25" s="91">
        <f t="shared" si="0"/>
        <v>19</v>
      </c>
      <c r="B25"/>
      <c r="C25" s="80" t="s">
        <v>286</v>
      </c>
      <c r="D25"/>
      <c r="E25" s="369">
        <f>'B-2'!J12</f>
        <v>56501060.585000008</v>
      </c>
      <c r="F25" s="367"/>
      <c r="G25" s="369">
        <v>0</v>
      </c>
      <c r="H25" s="367"/>
      <c r="I25" s="372">
        <f>E25+G25</f>
        <v>56501060.585000008</v>
      </c>
      <c r="J25" s="369"/>
      <c r="K25" s="369">
        <f>'B-2'!M12</f>
        <v>56695460.585000008</v>
      </c>
      <c r="L25" s="367"/>
      <c r="M25" s="369">
        <v>0</v>
      </c>
      <c r="N25" s="367"/>
      <c r="O25" s="369">
        <f>K25+M25</f>
        <v>56695460.585000008</v>
      </c>
      <c r="P25" s="369"/>
      <c r="Q25" s="369">
        <f>'B-2'!P12</f>
        <v>56370898.120000005</v>
      </c>
      <c r="R25" s="367"/>
      <c r="S25" s="369">
        <v>0</v>
      </c>
      <c r="T25" s="367"/>
      <c r="U25" s="370">
        <f>Q25+S25</f>
        <v>56370898.120000005</v>
      </c>
    </row>
    <row r="26" spans="1:26" s="79" customFormat="1" ht="15">
      <c r="A26" s="91">
        <f>IF(C26&lt;&gt;"",MAX(A24:A25)+1,"")</f>
        <v>20</v>
      </c>
      <c r="B26"/>
      <c r="C26" s="752" t="s">
        <v>376</v>
      </c>
      <c r="D26"/>
      <c r="E26" s="756">
        <f>SUM(E22:E25)</f>
        <v>3992494587.307538</v>
      </c>
      <c r="F26" s="756"/>
      <c r="G26" s="756">
        <f>SUM(G22:G25)</f>
        <v>0</v>
      </c>
      <c r="H26" s="756"/>
      <c r="I26" s="847">
        <f>SUM(I22:I25)</f>
        <v>3992494587.307538</v>
      </c>
      <c r="J26" s="369"/>
      <c r="K26" s="756">
        <f>SUM(K22:K25)</f>
        <v>3894480608.6247206</v>
      </c>
      <c r="L26" s="756"/>
      <c r="M26" s="756">
        <f>SUM(M22:M25)</f>
        <v>0</v>
      </c>
      <c r="N26" s="756"/>
      <c r="O26" s="756">
        <f>SUM(O22:O25)</f>
        <v>3894480608.6247206</v>
      </c>
      <c r="P26" s="369"/>
      <c r="Q26" s="853">
        <f>SUM(Q22:Q25)</f>
        <v>3827525730.3113976</v>
      </c>
      <c r="R26" s="756"/>
      <c r="S26" s="756">
        <f>SUM(S22:S25)</f>
        <v>0</v>
      </c>
      <c r="T26" s="756"/>
      <c r="U26" s="847">
        <f>SUM(U22:U25)</f>
        <v>3827525730.3113976</v>
      </c>
    </row>
    <row r="27" spans="1:26" s="79" customFormat="1" ht="15">
      <c r="A27" s="91" t="str">
        <f>IF(C27&lt;&gt;"",MAX(A25:A26)+1,"")</f>
        <v/>
      </c>
      <c r="B27"/>
      <c r="C27" s="29"/>
      <c r="D27"/>
      <c r="E27" s="366"/>
      <c r="F27" s="367"/>
      <c r="G27" s="366"/>
      <c r="H27" s="367"/>
      <c r="I27" s="849"/>
      <c r="J27" s="369"/>
      <c r="K27" s="366"/>
      <c r="L27" s="367"/>
      <c r="M27" s="366"/>
      <c r="N27" s="367"/>
      <c r="O27" s="366"/>
      <c r="P27" s="369"/>
      <c r="Q27" s="366"/>
      <c r="R27" s="367"/>
      <c r="S27" s="366"/>
      <c r="T27" s="367"/>
      <c r="U27" s="849"/>
    </row>
    <row r="28" spans="1:26" s="79" customFormat="1" ht="15">
      <c r="A28" s="91">
        <f>IF(C28&lt;&gt;"",MAX(A26:A27)+1,"")</f>
        <v>21</v>
      </c>
      <c r="B28"/>
      <c r="C28" s="29" t="s">
        <v>377</v>
      </c>
      <c r="D28"/>
      <c r="E28" s="366">
        <f>E26-E19</f>
        <v>-1739304034.0754585</v>
      </c>
      <c r="F28" s="367"/>
      <c r="G28" s="366"/>
      <c r="H28" s="367"/>
      <c r="I28" s="366">
        <f>I26-I19</f>
        <v>-1422780975.5749159</v>
      </c>
      <c r="J28" s="369"/>
      <c r="K28" s="366">
        <f>K26-K19</f>
        <v>-2051735515.7653112</v>
      </c>
      <c r="L28" s="367"/>
      <c r="M28" s="366"/>
      <c r="N28" s="367"/>
      <c r="O28" s="366">
        <f>O26-O19</f>
        <v>-1684838764.2794685</v>
      </c>
      <c r="P28" s="369"/>
      <c r="Q28" s="366">
        <f>Q26-Q19</f>
        <v>-2230212536.4931669</v>
      </c>
      <c r="R28" s="367"/>
      <c r="S28" s="366"/>
      <c r="T28" s="367"/>
      <c r="U28" s="366">
        <f>U26-U19</f>
        <v>-1865236931.2276592</v>
      </c>
    </row>
    <row r="29" spans="1:26" s="79" customFormat="1" ht="15">
      <c r="A29" s="91"/>
      <c r="B29"/>
      <c r="C29" s="29"/>
      <c r="D29"/>
      <c r="E29" s="366"/>
      <c r="F29" s="367"/>
      <c r="G29" s="366"/>
      <c r="H29" s="367"/>
      <c r="I29" s="366"/>
      <c r="J29" s="369"/>
      <c r="K29" s="366"/>
      <c r="L29" s="367"/>
      <c r="M29" s="366"/>
      <c r="N29" s="367"/>
      <c r="O29" s="366"/>
      <c r="P29" s="369"/>
      <c r="Q29" s="366"/>
      <c r="R29" s="367"/>
      <c r="S29" s="366"/>
      <c r="T29" s="367"/>
      <c r="U29" s="366"/>
    </row>
    <row r="30" spans="1:26" s="79" customFormat="1" ht="15">
      <c r="A30" s="91">
        <f>IF(C30&lt;&gt;"",MAX(A26:A28)+1,"")</f>
        <v>22</v>
      </c>
      <c r="B30"/>
      <c r="C30" s="29" t="s">
        <v>378</v>
      </c>
      <c r="D30"/>
      <c r="E30" s="366">
        <f>'B-4'!F9</f>
        <v>177670927.43338946</v>
      </c>
      <c r="F30" s="367"/>
      <c r="G30" s="366"/>
      <c r="H30" s="367"/>
      <c r="I30" s="366">
        <f>E30</f>
        <v>177670927.43338946</v>
      </c>
      <c r="J30" s="369"/>
      <c r="K30" s="366">
        <f>'B-4'!H9</f>
        <v>174538616.65049714</v>
      </c>
      <c r="L30" s="367"/>
      <c r="M30" s="366"/>
      <c r="N30" s="367"/>
      <c r="O30" s="366">
        <f>K30</f>
        <v>174538616.65049714</v>
      </c>
      <c r="P30" s="369"/>
      <c r="Q30" s="366">
        <f>'B-4'!J9</f>
        <v>164416886.79613808</v>
      </c>
      <c r="R30" s="367"/>
      <c r="S30" s="366"/>
      <c r="T30" s="367"/>
      <c r="U30" s="366">
        <f>Q30</f>
        <v>164416886.79613808</v>
      </c>
    </row>
    <row r="31" spans="1:26" s="79" customFormat="1" ht="15">
      <c r="A31" s="91"/>
      <c r="B31"/>
      <c r="C31" s="29"/>
      <c r="D31"/>
      <c r="E31" s="366"/>
      <c r="F31" s="367"/>
      <c r="G31" s="366"/>
      <c r="H31" s="367"/>
      <c r="I31" s="849"/>
      <c r="J31" s="369"/>
      <c r="K31" s="366"/>
      <c r="L31" s="367"/>
      <c r="M31" s="366"/>
      <c r="N31" s="367"/>
      <c r="O31" s="366"/>
      <c r="P31" s="369"/>
      <c r="Q31" s="366"/>
      <c r="R31" s="367"/>
      <c r="S31" s="366"/>
      <c r="T31" s="367"/>
      <c r="U31" s="849"/>
    </row>
    <row r="32" spans="1:26" s="79" customFormat="1" ht="17.25">
      <c r="A32" s="91">
        <f>IF(C32&lt;&gt;"",MAX(A11:A30)+1,"")</f>
        <v>23</v>
      </c>
      <c r="C32" s="854" t="s">
        <v>379</v>
      </c>
      <c r="D32"/>
      <c r="E32" s="855">
        <f>E28-E30</f>
        <v>-1916974961.508848</v>
      </c>
      <c r="F32" s="855"/>
      <c r="G32" s="855">
        <f>G26-G19</f>
        <v>0</v>
      </c>
      <c r="H32" s="855"/>
      <c r="I32" s="855">
        <f>I28-I30</f>
        <v>-1600451903.0083053</v>
      </c>
      <c r="J32" s="369"/>
      <c r="K32" s="855">
        <f>K28-K30</f>
        <v>-2226274132.4158082</v>
      </c>
      <c r="L32" s="855"/>
      <c r="M32" s="855">
        <f>M26-M19</f>
        <v>0</v>
      </c>
      <c r="N32" s="855"/>
      <c r="O32" s="855">
        <f>O28-O30</f>
        <v>-1859377380.9299657</v>
      </c>
      <c r="P32" s="860"/>
      <c r="Q32" s="855">
        <f>Q28-Q30</f>
        <v>-2394629423.2893052</v>
      </c>
      <c r="R32" s="855"/>
      <c r="S32" s="855">
        <f>S26-S19</f>
        <v>0</v>
      </c>
      <c r="T32" s="855"/>
      <c r="U32" s="855">
        <f>U28-U30</f>
        <v>-2029653818.0237973</v>
      </c>
    </row>
    <row r="33" spans="1:21" s="79" customFormat="1" ht="17.25">
      <c r="A33" s="91">
        <f>IF(C33&lt;&gt;"",MAX(A13:A32)+1,"")</f>
        <v>24</v>
      </c>
      <c r="C33" s="782" t="s">
        <v>380</v>
      </c>
      <c r="D33"/>
      <c r="E33" s="858">
        <f>-E32/E26</f>
        <v>0.48014466133606437</v>
      </c>
      <c r="F33" s="859"/>
      <c r="G33" s="859"/>
      <c r="H33" s="859"/>
      <c r="I33" s="865"/>
      <c r="J33" s="369"/>
      <c r="K33" s="858">
        <f>-K32/K26</f>
        <v>0.57164853446323483</v>
      </c>
      <c r="L33" s="859"/>
      <c r="M33" s="859"/>
      <c r="N33" s="859"/>
      <c r="O33" s="859"/>
      <c r="P33" s="860"/>
      <c r="Q33" s="858">
        <f>-Q32/Q26</f>
        <v>0.62563378851394014</v>
      </c>
      <c r="R33" s="859"/>
      <c r="S33" s="859"/>
      <c r="T33" s="859"/>
      <c r="U33" s="866"/>
    </row>
    <row r="34" spans="1:21" s="79" customFormat="1" ht="15">
      <c r="A34" s="91" t="str">
        <f>IF(C34&lt;&gt;"",MAX(A26:A32)+1,"")</f>
        <v/>
      </c>
      <c r="B34"/>
      <c r="C34"/>
      <c r="D34" s="29"/>
      <c r="E34" s="367"/>
      <c r="F34" s="367"/>
      <c r="G34" s="367"/>
      <c r="H34" s="367"/>
      <c r="I34" s="867"/>
      <c r="J34" s="369"/>
      <c r="K34" s="367"/>
      <c r="L34" s="367"/>
      <c r="M34" s="367"/>
      <c r="N34" s="367"/>
      <c r="O34" s="368"/>
      <c r="P34" s="791"/>
      <c r="Q34" s="367"/>
      <c r="R34" s="367"/>
      <c r="S34" s="367"/>
      <c r="T34" s="367"/>
      <c r="U34" s="861"/>
    </row>
    <row r="35" spans="1:21" ht="15">
      <c r="A35" s="91">
        <f>IF(C35&lt;&gt;"",MAX(A27:A34)+1,"")</f>
        <v>25</v>
      </c>
      <c r="C35" s="29" t="s">
        <v>381</v>
      </c>
      <c r="E35" s="367"/>
      <c r="F35" s="367"/>
      <c r="G35" s="367"/>
      <c r="H35" s="367"/>
      <c r="I35" s="375"/>
      <c r="J35" s="369"/>
      <c r="K35" s="367"/>
      <c r="L35" s="367"/>
      <c r="M35" s="367"/>
      <c r="N35" s="367"/>
      <c r="O35" s="367"/>
      <c r="P35" s="371"/>
      <c r="Q35" s="367"/>
      <c r="R35" s="367"/>
      <c r="S35" s="367"/>
      <c r="T35" s="367"/>
      <c r="U35" s="375"/>
    </row>
    <row r="36" spans="1:21" ht="15">
      <c r="A36" s="91">
        <f>IF(C36&lt;&gt;"",MAX(A32:A35)+1,"")</f>
        <v>26</v>
      </c>
      <c r="C36" s="80" t="s">
        <v>382</v>
      </c>
      <c r="E36" s="369">
        <f>'B-3'!E30</f>
        <v>254658456</v>
      </c>
      <c r="F36" s="367"/>
      <c r="G36" s="369">
        <v>0</v>
      </c>
      <c r="H36" s="367"/>
      <c r="I36" s="370">
        <f>E36+G36</f>
        <v>254658456</v>
      </c>
      <c r="J36" s="369"/>
      <c r="K36" s="369">
        <f>'B-3'!G30</f>
        <v>251885568</v>
      </c>
      <c r="L36" s="367"/>
      <c r="M36" s="369">
        <v>0</v>
      </c>
      <c r="N36" s="367"/>
      <c r="O36" s="370">
        <f>K36+M36</f>
        <v>251885568</v>
      </c>
      <c r="P36" s="369"/>
      <c r="Q36" s="369">
        <f>'B-3'!I30</f>
        <v>248307648</v>
      </c>
      <c r="R36" s="367"/>
      <c r="S36" s="369">
        <v>0</v>
      </c>
      <c r="T36" s="367"/>
      <c r="U36" s="370">
        <f>Q36+S36</f>
        <v>248307648</v>
      </c>
    </row>
    <row r="37" spans="1:21" ht="15">
      <c r="A37" s="91">
        <f t="shared" si="0"/>
        <v>27</v>
      </c>
      <c r="C37" s="80" t="s">
        <v>383</v>
      </c>
      <c r="E37" s="369">
        <f>'B-3'!E55</f>
        <v>337577968.77796483</v>
      </c>
      <c r="F37" s="367"/>
      <c r="G37" s="369">
        <v>0</v>
      </c>
      <c r="H37" s="367"/>
      <c r="I37" s="370">
        <f>E37+G37</f>
        <v>337577968.77796483</v>
      </c>
      <c r="J37" s="369"/>
      <c r="K37" s="369">
        <f>'B-3'!G55</f>
        <v>329909820.8349905</v>
      </c>
      <c r="L37" s="367"/>
      <c r="M37" s="369">
        <v>0</v>
      </c>
      <c r="N37" s="367"/>
      <c r="O37" s="370">
        <f>K37+M37</f>
        <v>329909820.8349905</v>
      </c>
      <c r="P37" s="369"/>
      <c r="Q37" s="369">
        <f>'B-3'!I55</f>
        <v>299748641.32046038</v>
      </c>
      <c r="R37" s="367"/>
      <c r="S37" s="369">
        <v>0</v>
      </c>
      <c r="T37" s="367"/>
      <c r="U37" s="370">
        <f>Q37+S37</f>
        <v>299748641.32046038</v>
      </c>
    </row>
    <row r="38" spans="1:21" ht="17.25">
      <c r="A38" s="91">
        <f t="shared" si="0"/>
        <v>28</v>
      </c>
      <c r="B38" s="79"/>
      <c r="C38" s="854" t="s">
        <v>384</v>
      </c>
      <c r="E38" s="855">
        <f>-SUM(E36:E37)</f>
        <v>-592236424.77796483</v>
      </c>
      <c r="F38" s="855"/>
      <c r="G38" s="855">
        <v>0</v>
      </c>
      <c r="H38" s="856"/>
      <c r="I38" s="855">
        <f>-SUM(I36:I37)</f>
        <v>-592236424.77796483</v>
      </c>
      <c r="J38" s="369"/>
      <c r="K38" s="855">
        <f>-SUM(K36:K37)</f>
        <v>-581795388.8349905</v>
      </c>
      <c r="L38" s="855"/>
      <c r="M38" s="855">
        <v>0</v>
      </c>
      <c r="N38" s="855"/>
      <c r="O38" s="855">
        <f>-SUM(O36:O37)</f>
        <v>-581795388.8349905</v>
      </c>
      <c r="P38" s="371"/>
      <c r="Q38" s="855">
        <f>-SUM(Q36:Q37)</f>
        <v>-548056289.32046032</v>
      </c>
      <c r="R38" s="855"/>
      <c r="S38" s="855">
        <v>0</v>
      </c>
      <c r="T38" s="855"/>
      <c r="U38" s="855">
        <f>-SUM(U36:U37)</f>
        <v>-548056289.32046032</v>
      </c>
    </row>
    <row r="39" spans="1:21" ht="15">
      <c r="A39" s="91"/>
      <c r="B39" s="79"/>
      <c r="E39" s="368"/>
      <c r="F39" s="368"/>
      <c r="G39" s="368"/>
      <c r="H39" s="368"/>
      <c r="I39" s="861"/>
      <c r="J39" s="369"/>
      <c r="K39" s="368"/>
      <c r="L39" s="368"/>
      <c r="M39" s="368"/>
      <c r="N39" s="368"/>
      <c r="O39" s="368"/>
      <c r="P39" s="369"/>
      <c r="Q39" s="368"/>
      <c r="R39" s="368"/>
      <c r="S39" s="368"/>
      <c r="T39" s="368"/>
      <c r="U39" s="861"/>
    </row>
    <row r="40" spans="1:21" ht="15">
      <c r="A40" s="91">
        <f>IF(C40&lt;&gt;"",MAX(A38:A39)+1,"")</f>
        <v>29</v>
      </c>
      <c r="C40" s="29" t="s">
        <v>385</v>
      </c>
      <c r="E40" s="369"/>
      <c r="F40" s="367"/>
      <c r="G40" s="369"/>
      <c r="H40" s="367"/>
      <c r="I40" s="370"/>
      <c r="J40" s="369"/>
      <c r="K40" s="369"/>
      <c r="L40" s="367"/>
      <c r="M40" s="369"/>
      <c r="N40" s="367"/>
      <c r="O40" s="369"/>
      <c r="P40" s="791"/>
      <c r="Q40" s="369"/>
      <c r="R40" s="367"/>
      <c r="S40" s="369"/>
      <c r="T40" s="367"/>
      <c r="U40" s="370"/>
    </row>
    <row r="41" spans="1:21" ht="15">
      <c r="A41" s="91">
        <f>IF(C41&lt;&gt;"",MAX(A40:A40)+1,"")</f>
        <v>30</v>
      </c>
      <c r="C41" s="80" t="s">
        <v>386</v>
      </c>
      <c r="E41" s="369">
        <f>'D-1-Optimal'!H93</f>
        <v>1795182547.2063231</v>
      </c>
      <c r="F41" s="367"/>
      <c r="G41" s="369">
        <v>0</v>
      </c>
      <c r="H41" s="367"/>
      <c r="I41" s="370">
        <f t="shared" ref="I41" si="10">E41+G41</f>
        <v>1795182547.2063231</v>
      </c>
      <c r="J41" s="369"/>
      <c r="K41" s="369">
        <f>'D-1-Optimal'!L93</f>
        <v>2490151012.8661623</v>
      </c>
      <c r="L41" s="367"/>
      <c r="M41" s="369">
        <v>0</v>
      </c>
      <c r="N41" s="367"/>
      <c r="O41" s="369">
        <f t="shared" ref="O41" si="11">K41+M41</f>
        <v>2490151012.8661623</v>
      </c>
      <c r="P41" s="371"/>
      <c r="Q41" s="369">
        <f>'D-1-Optimal'!P93</f>
        <v>2302590943.686079</v>
      </c>
      <c r="R41" s="367"/>
      <c r="S41" s="369">
        <v>0</v>
      </c>
      <c r="T41" s="367"/>
      <c r="U41" s="370">
        <f t="shared" ref="U41" si="12">Q41+S41</f>
        <v>2302590943.686079</v>
      </c>
    </row>
    <row r="42" spans="1:21" ht="15">
      <c r="A42" s="91" t="str">
        <f>IF(C42&lt;&gt;"",MAX(A41:A41)+1,"")</f>
        <v/>
      </c>
      <c r="E42" s="312"/>
      <c r="F42" s="312"/>
      <c r="G42" s="312"/>
      <c r="H42" s="312"/>
      <c r="I42" s="862"/>
      <c r="J42" s="313"/>
      <c r="K42" s="312"/>
      <c r="L42" s="312"/>
      <c r="M42" s="312"/>
      <c r="N42" s="312"/>
      <c r="O42" s="312"/>
      <c r="P42" s="314"/>
      <c r="Q42" s="312"/>
      <c r="R42" s="312"/>
      <c r="S42" s="312"/>
      <c r="T42" s="312"/>
      <c r="U42" s="862"/>
    </row>
    <row r="43" spans="1:21" s="2" customFormat="1" ht="15">
      <c r="A43" s="91" t="str">
        <f>IF(C43&lt;&gt;"",MAX(A32:A32)+1,"")</f>
        <v/>
      </c>
      <c r="B43"/>
      <c r="C43"/>
      <c r="D43"/>
      <c r="E43"/>
      <c r="F43"/>
      <c r="G43"/>
      <c r="H43"/>
      <c r="I43" s="359"/>
      <c r="J43" s="316"/>
      <c r="K43"/>
      <c r="L43"/>
      <c r="M43"/>
      <c r="N43"/>
      <c r="O43" s="316"/>
      <c r="P43" s="316"/>
      <c r="Q43"/>
      <c r="R43"/>
      <c r="S43"/>
      <c r="T43"/>
      <c r="U43" s="359"/>
    </row>
    <row r="44" spans="1:21" s="2" customFormat="1" ht="15">
      <c r="A44" s="91"/>
      <c r="B44"/>
      <c r="C44"/>
      <c r="D44"/>
      <c r="E44" s="768"/>
      <c r="F44"/>
      <c r="G44"/>
      <c r="H44"/>
      <c r="I44" s="359"/>
      <c r="J44" s="316"/>
      <c r="K44" s="768"/>
      <c r="L44"/>
      <c r="M44"/>
      <c r="N44"/>
      <c r="O44" s="316"/>
      <c r="P44" s="316"/>
      <c r="Q44" s="768"/>
      <c r="R44"/>
      <c r="S44"/>
      <c r="T44"/>
      <c r="U44" s="359"/>
    </row>
    <row r="45" spans="1:21" ht="15">
      <c r="A45" s="91"/>
      <c r="E45" s="360"/>
      <c r="I45" s="863"/>
      <c r="K45" s="360"/>
      <c r="Q45" s="360"/>
      <c r="U45" s="863"/>
    </row>
    <row r="46" spans="1:21" ht="15">
      <c r="A46" s="91"/>
      <c r="E46" s="360"/>
      <c r="I46" s="863"/>
      <c r="K46" s="360"/>
      <c r="Q46" s="360"/>
      <c r="U46" s="863"/>
    </row>
    <row r="47" spans="1:21" ht="15">
      <c r="A47" s="91"/>
      <c r="E47" s="360"/>
      <c r="I47" s="863"/>
      <c r="K47" s="360"/>
      <c r="Q47" s="360"/>
      <c r="U47" s="863"/>
    </row>
    <row r="48" spans="1:21" ht="14.25" customHeight="1">
      <c r="A48" s="91"/>
      <c r="E48" s="360"/>
      <c r="I48" s="863"/>
      <c r="K48" s="360"/>
      <c r="Q48" s="360"/>
      <c r="U48" s="863"/>
    </row>
    <row r="49" customFormat="1" ht="15"/>
    <row r="50" customFormat="1" ht="14.25" customHeight="1"/>
    <row r="51" customFormat="1" ht="15"/>
    <row r="52" customFormat="1" ht="15"/>
    <row r="53" customFormat="1" ht="14.25" customHeight="1"/>
    <row r="54" customFormat="1" ht="14.25" customHeight="1"/>
    <row r="55" customFormat="1" ht="14.25" customHeight="1"/>
    <row r="56" customFormat="1" ht="14.25" customHeight="1"/>
    <row r="57" customFormat="1" ht="14.25" customHeight="1"/>
    <row r="58" customFormat="1" ht="15"/>
    <row r="59" customFormat="1" ht="14.25" customHeight="1"/>
    <row r="60" customFormat="1" ht="15"/>
    <row r="61" customFormat="1" ht="15"/>
    <row r="62" customFormat="1" ht="15"/>
    <row r="63" customFormat="1" ht="14.25" customHeight="1"/>
    <row r="64" customFormat="1" ht="15"/>
    <row r="65" spans="1:17" ht="15">
      <c r="A65"/>
    </row>
    <row r="66" spans="1:17" ht="15">
      <c r="A66"/>
    </row>
    <row r="67" spans="1:17" ht="15">
      <c r="A67"/>
    </row>
    <row r="68" spans="1:17" ht="15">
      <c r="A68"/>
    </row>
    <row r="69" spans="1:17" ht="15">
      <c r="E69" s="864"/>
      <c r="K69" s="864"/>
      <c r="Q69" s="864"/>
    </row>
    <row r="73" spans="1:17" ht="15">
      <c r="E73" s="864"/>
      <c r="K73" s="864"/>
      <c r="Q73" s="864"/>
    </row>
    <row r="74" spans="1:17" ht="15">
      <c r="E74" s="864"/>
      <c r="K74" s="864"/>
      <c r="Q74" s="864"/>
    </row>
    <row r="75" spans="1:17" ht="15">
      <c r="E75" s="864"/>
      <c r="K75" s="864"/>
      <c r="Q75" s="864"/>
    </row>
    <row r="76" spans="1:17" ht="15">
      <c r="E76" s="864"/>
      <c r="K76" s="864"/>
      <c r="Q76" s="864"/>
    </row>
    <row r="77" spans="1:17" ht="15">
      <c r="E77" s="864"/>
      <c r="K77" s="864"/>
      <c r="Q77" s="864"/>
    </row>
    <row r="78" spans="1:17" ht="15">
      <c r="E78" s="864"/>
      <c r="K78" s="864"/>
      <c r="Q78" s="864"/>
    </row>
  </sheetData>
  <pageMargins left="0.7" right="0.7" top="0.75" bottom="0.75" header="0.3" footer="0.3"/>
  <pageSetup scale="63" orientation="landscape" r:id="rId1"/>
  <headerFooter>
    <oddHeader xml:space="preserve">&amp;LPuerto Rico Electric Power Authority 
Docket NEPR-AP-2023-0003
Determination of Base Rates Revenue Requirement
&amp;RSchedule B-1.1 (Optimal)
Page &amp;P of &amp;N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C7DE3FCD5909941A849D7A4651DDB81" ma:contentTypeVersion="20" ma:contentTypeDescription="Create a new document." ma:contentTypeScope="" ma:versionID="5029034ce3f5c4b3944ad9cc513e97f0">
  <xsd:schema xmlns:xsd="http://www.w3.org/2001/XMLSchema" xmlns:xs="http://www.w3.org/2001/XMLSchema" xmlns:p="http://schemas.microsoft.com/office/2006/metadata/properties" xmlns:ns2="36d0de0c-286c-42d2-88f9-9cfcebd81471" xmlns:ns3="32f3a428-6f88-4a3b-a56e-a51f3802cd3a" targetNamespace="http://schemas.microsoft.com/office/2006/metadata/properties" ma:root="true" ma:fieldsID="de01587128a1f802eded39fe07afa289" ns2:_="" ns3:_="">
    <xsd:import namespace="36d0de0c-286c-42d2-88f9-9cfcebd81471"/>
    <xsd:import namespace="32f3a428-6f88-4a3b-a56e-a51f3802cd3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_Flow_SignoffStatus" minOccurs="0"/>
                <xsd:element ref="ns2:Comments" minOccurs="0"/>
                <xsd:element ref="ns2:MediaServiceSearchProperties" minOccurs="0"/>
                <xsd:element ref="ns2:Status" minOccurs="0"/>
                <xsd:element ref="ns2:LastAction"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LastAction2_x002e_0" minOccurs="0"/>
                <xsd:element ref="ns2:PREBsWebpage" minOccurs="0"/>
                <xsd:element ref="ns2:Inpu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0de0c-286c-42d2-88f9-9cfcebd814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Flow_SignoffStatus" ma:index="11" nillable="true" ma:displayName="Sign-off status" ma:internalName="Sign_x002d_off_x0020_status">
      <xsd:simpleType>
        <xsd:restriction base="dms:Text"/>
      </xsd:simpleType>
    </xsd:element>
    <xsd:element name="Comments" ma:index="12" nillable="true" ma:displayName="Comments" ma:format="Dropdown" ma:internalName="Comments">
      <xsd:simpleType>
        <xsd:restriction base="dms:Note">
          <xsd:maxLength value="255"/>
        </xsd:restriction>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Status" ma:index="14" nillable="true" ma:displayName="Status" ma:description="Open - docket with constant activity.&#10;&#10;Dormant - docket that have been closed or will no longer have activity. This status must be changed if PREB issues a R&amp;O requiring a report, update, or conference related to said docket.&#10;&#10;Closed - docket has been officially closed by the PREB through R&amp;O." ma:format="Dropdown" ma:internalName="Status">
      <xsd:simpleType>
        <xsd:restriction base="dms:Choice">
          <xsd:enumeration value="Open"/>
          <xsd:enumeration value="Dormant"/>
          <xsd:enumeration value="Closed"/>
          <xsd:enumeration value="Open"/>
          <xsd:enumeration value="Dormant"/>
          <xsd:enumeration value="Closed"/>
          <xsd:enumeration value="Pending"/>
        </xsd:restriction>
      </xsd:simpleType>
    </xsd:element>
    <xsd:element name="LastAction" ma:index="15" nillable="true" ma:displayName="Last Action" ma:description="The last action taken in the docket will be displayed in this column." ma:format="Dropdown" ma:internalName="LastAction">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9950e38-0095-4bd7-ac52-55c480c4bc0c"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LastAction2_x002e_0" ma:index="23" nillable="true" ma:displayName="Last Action Link" ma:format="Hyperlink" ma:internalName="LastAction2_x002e_0">
      <xsd:complexType>
        <xsd:complexContent>
          <xsd:extension base="dms:URL">
            <xsd:sequence>
              <xsd:element name="Url" type="dms:ValidUrl" minOccurs="0" nillable="true"/>
              <xsd:element name="Description" type="xsd:string" nillable="true"/>
            </xsd:sequence>
          </xsd:extension>
        </xsd:complexContent>
      </xsd:complexType>
    </xsd:element>
    <xsd:element name="PREBsWebpage" ma:index="24" nillable="true" ma:displayName="PREB's Webpage" ma:description="Link to the docket on PREB's Webpage" ma:format="Hyperlink" ma:internalName="PREBsWebpage">
      <xsd:complexType>
        <xsd:complexContent>
          <xsd:extension base="dms:URL">
            <xsd:sequence>
              <xsd:element name="Url" type="dms:ValidUrl" minOccurs="0" nillable="true"/>
              <xsd:element name="Description" type="xsd:string" nillable="true"/>
            </xsd:sequence>
          </xsd:extension>
        </xsd:complexContent>
      </xsd:complexType>
    </xsd:element>
    <xsd:element name="Input" ma:index="25" nillable="true" ma:displayName="Input " ma:format="Dropdown" ma:internalName="Inpu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f3a428-6f88-4a3b-a56e-a51f3802cd3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652a190-c5de-468a-a212-3b3cca4a9d49}" ma:internalName="TaxCatchAll" ma:showField="CatchAllData" ma:web="5e1628cc-a815-47df-b5ad-ee310ca8d5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BsWebpage xmlns="36d0de0c-286c-42d2-88f9-9cfcebd81471">
      <Url xsi:nil="true"/>
      <Description xsi:nil="true"/>
    </PREBsWebpage>
    <lcf76f155ced4ddcb4097134ff3c332f xmlns="36d0de0c-286c-42d2-88f9-9cfcebd81471">
      <Terms xmlns="http://schemas.microsoft.com/office/infopath/2007/PartnerControls"/>
    </lcf76f155ced4ddcb4097134ff3c332f>
    <LastAction2_x002e_0 xmlns="36d0de0c-286c-42d2-88f9-9cfcebd81471">
      <Url xsi:nil="true"/>
      <Description xsi:nil="true"/>
    </LastAction2_x002e_0>
    <Input xmlns="36d0de0c-286c-42d2-88f9-9cfcebd81471" xsi:nil="true"/>
    <TaxCatchAll xmlns="32f3a428-6f88-4a3b-a56e-a51f3802cd3a" xsi:nil="true"/>
    <Status xmlns="36d0de0c-286c-42d2-88f9-9cfcebd81471" xsi:nil="true"/>
    <LastAction xmlns="36d0de0c-286c-42d2-88f9-9cfcebd81471" xsi:nil="true"/>
    <Comments xmlns="36d0de0c-286c-42d2-88f9-9cfcebd81471" xsi:nil="true"/>
    <_Flow_SignoffStatus xmlns="36d0de0c-286c-42d2-88f9-9cfcebd81471" xsi:nil="true"/>
  </documentManagement>
</p:properties>
</file>

<file path=customXml/itemProps1.xml><?xml version="1.0" encoding="utf-8"?>
<ds:datastoreItem xmlns:ds="http://schemas.openxmlformats.org/officeDocument/2006/customXml" ds:itemID="{0DF69881-22DB-491C-B71B-6C6E217439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0de0c-286c-42d2-88f9-9cfcebd81471"/>
    <ds:schemaRef ds:uri="32f3a428-6f88-4a3b-a56e-a51f3802cd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2543D2-F6EE-4ED1-8519-E3D6AB1105D8}">
  <ds:schemaRefs>
    <ds:schemaRef ds:uri="http://schemas.microsoft.com/sharepoint/v3/contenttype/forms"/>
  </ds:schemaRefs>
</ds:datastoreItem>
</file>

<file path=customXml/itemProps3.xml><?xml version="1.0" encoding="utf-8"?>
<ds:datastoreItem xmlns:ds="http://schemas.openxmlformats.org/officeDocument/2006/customXml" ds:itemID="{B8DFAF9D-9FDB-4F7C-ACF7-7CE76EE35A0F}">
  <ds:schemaRefs>
    <ds:schemaRef ds:uri="http://purl.org/dc/dcmitype/"/>
    <ds:schemaRef ds:uri="http://purl.org/dc/terms/"/>
    <ds:schemaRef ds:uri="http://schemas.microsoft.com/office/2006/documentManagement/types"/>
    <ds:schemaRef ds:uri="36d0de0c-286c-42d2-88f9-9cfcebd81471"/>
    <ds:schemaRef ds:uri="http://www.w3.org/XML/1998/namespace"/>
    <ds:schemaRef ds:uri="32f3a428-6f88-4a3b-a56e-a51f3802cd3a"/>
    <ds:schemaRef ds:uri="http://schemas.openxmlformats.org/package/2006/metadata/core-properties"/>
    <ds:schemaRef ds:uri="http://purl.org/dc/elements/1.1/"/>
    <ds:schemaRef ds:uri="http://schemas.microsoft.com/office/infopath/2007/PartnerControls"/>
    <ds:schemaRef ds:uri="http://schemas.microsoft.com/office/2006/metadata/properties"/>
  </ds:schemaRefs>
</ds:datastoreItem>
</file>

<file path=docMetadata/LabelInfo.xml><?xml version="1.0" encoding="utf-8"?>
<clbl:labelList xmlns:clbl="http://schemas.microsoft.com/office/2020/mipLabelMetadata">
  <clbl:label id="{78d53608-54ca-4a74-8beb-8a1399c1189c}" enabled="0" method="" siteId="{78d53608-54ca-4a74-8beb-8a1399c1189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78</vt:i4>
      </vt:variant>
      <vt:variant>
        <vt:lpstr>Named Ranges</vt:lpstr>
      </vt:variant>
      <vt:variant>
        <vt:i4>68</vt:i4>
      </vt:variant>
    </vt:vector>
  </HeadingPairs>
  <TitlesOfParts>
    <vt:vector size="146" baseType="lpstr">
      <vt:lpstr>Cover</vt:lpstr>
      <vt:lpstr>TOC</vt:lpstr>
      <vt:lpstr>Index</vt:lpstr>
      <vt:lpstr>Schedule Details</vt:lpstr>
      <vt:lpstr>Schedules A &gt;&gt;&gt;</vt:lpstr>
      <vt:lpstr>A-1</vt:lpstr>
      <vt:lpstr>A-2</vt:lpstr>
      <vt:lpstr>Schedules B &gt;&gt;&gt;</vt:lpstr>
      <vt:lpstr>B-1 - OPTIMAL</vt:lpstr>
      <vt:lpstr>B-1 - CONSTRAINED</vt:lpstr>
      <vt:lpstr>BAD DEBT</vt:lpstr>
      <vt:lpstr>B-2</vt:lpstr>
      <vt:lpstr>B-3</vt:lpstr>
      <vt:lpstr>B-4</vt:lpstr>
      <vt:lpstr>B-5</vt:lpstr>
      <vt:lpstr>B-6</vt:lpstr>
      <vt:lpstr>B-7</vt:lpstr>
      <vt:lpstr>Schedules C &gt;&gt;&gt;</vt:lpstr>
      <vt:lpstr>C-1</vt:lpstr>
      <vt:lpstr>C-2 - OPTIMAL</vt:lpstr>
      <vt:lpstr>C-2 - CONSTRAINED</vt:lpstr>
      <vt:lpstr>Information</vt:lpstr>
      <vt:lpstr>Sheet1</vt:lpstr>
      <vt:lpstr>C-2 Optimal</vt:lpstr>
      <vt:lpstr>C-2 Constrained</vt:lpstr>
      <vt:lpstr>FY26-FY28_PREPA Consolidated</vt:lpstr>
      <vt:lpstr>Genera - Updates</vt:lpstr>
      <vt:lpstr>LUMA’s Updates to RR</vt:lpstr>
      <vt:lpstr>C-3</vt:lpstr>
      <vt:lpstr>C-4</vt:lpstr>
      <vt:lpstr>C-5</vt:lpstr>
      <vt:lpstr>C-6</vt:lpstr>
      <vt:lpstr>C-7</vt:lpstr>
      <vt:lpstr>C-8</vt:lpstr>
      <vt:lpstr>C-8 Lighting</vt:lpstr>
      <vt:lpstr>C-9</vt:lpstr>
      <vt:lpstr>C-10</vt:lpstr>
      <vt:lpstr>C-11</vt:lpstr>
      <vt:lpstr>Schedule D &gt;&gt;&gt;</vt:lpstr>
      <vt:lpstr>D-1-Optimal</vt:lpstr>
      <vt:lpstr>D-2-Optimal</vt:lpstr>
      <vt:lpstr>D-3-Optimal</vt:lpstr>
      <vt:lpstr>D-4-Optimal</vt:lpstr>
      <vt:lpstr>D-1-Constrained</vt:lpstr>
      <vt:lpstr>D-2-Constrained</vt:lpstr>
      <vt:lpstr>D-3-Constrained</vt:lpstr>
      <vt:lpstr>D-4-Constrained</vt:lpstr>
      <vt:lpstr>Schedule E &gt;&gt;&gt;</vt:lpstr>
      <vt:lpstr>E-1</vt:lpstr>
      <vt:lpstr>E-2 FY2026</vt:lpstr>
      <vt:lpstr>E-2 FY2027</vt:lpstr>
      <vt:lpstr>E-2 FY2028</vt:lpstr>
      <vt:lpstr>E-2 Lighting FY2026</vt:lpstr>
      <vt:lpstr>E-2 Lighting FY2027</vt:lpstr>
      <vt:lpstr>E-2 Lighting FY2028</vt:lpstr>
      <vt:lpstr>E-2 Riders</vt:lpstr>
      <vt:lpstr>E-3</vt:lpstr>
      <vt:lpstr>E-4</vt:lpstr>
      <vt:lpstr>E-5</vt:lpstr>
      <vt:lpstr>Schedule F &gt;&gt;&gt;</vt:lpstr>
      <vt:lpstr>F-1</vt:lpstr>
      <vt:lpstr>F-2</vt:lpstr>
      <vt:lpstr>F-3</vt:lpstr>
      <vt:lpstr>F-3 (old)</vt:lpstr>
      <vt:lpstr>F-4</vt:lpstr>
      <vt:lpstr>F-5</vt:lpstr>
      <vt:lpstr>F-6</vt:lpstr>
      <vt:lpstr>F-7</vt:lpstr>
      <vt:lpstr>Schedule G</vt:lpstr>
      <vt:lpstr>Schedule H</vt:lpstr>
      <vt:lpstr>Schedule I</vt:lpstr>
      <vt:lpstr>Schedule J</vt:lpstr>
      <vt:lpstr>Reference Sheets&gt;</vt:lpstr>
      <vt:lpstr>Consumer Analysis(C8 Reference)</vt:lpstr>
      <vt:lpstr>Consumer Analysis Lighting</vt:lpstr>
      <vt:lpstr>A Outline</vt:lpstr>
      <vt:lpstr>Prev. References</vt:lpstr>
      <vt:lpstr>Filing Requirements-working</vt:lpstr>
      <vt:lpstr>'B-1 - OPTIMAL'!Print_Area</vt:lpstr>
      <vt:lpstr>'B-2'!Print_Area</vt:lpstr>
      <vt:lpstr>'B-3'!Print_Area</vt:lpstr>
      <vt:lpstr>'B-4'!Print_Area</vt:lpstr>
      <vt:lpstr>'B-7'!Print_Area</vt:lpstr>
      <vt:lpstr>'C-11'!Print_Area</vt:lpstr>
      <vt:lpstr>'C-2 - CONSTRAINED'!Print_Area</vt:lpstr>
      <vt:lpstr>'C-2 - OPTIMAL'!Print_Area</vt:lpstr>
      <vt:lpstr>'C-2 Constrained'!Print_Area</vt:lpstr>
      <vt:lpstr>'C-2 Optimal'!Print_Area</vt:lpstr>
      <vt:lpstr>'C-3'!Print_Area</vt:lpstr>
      <vt:lpstr>'C-4'!Print_Area</vt:lpstr>
      <vt:lpstr>'C-6'!Print_Area</vt:lpstr>
      <vt:lpstr>'C-7'!Print_Area</vt:lpstr>
      <vt:lpstr>'C-8'!Print_Area</vt:lpstr>
      <vt:lpstr>'C-8 Lighting'!Print_Area</vt:lpstr>
      <vt:lpstr>'C-9'!Print_Area</vt:lpstr>
      <vt:lpstr>'D-1-Constrained'!Print_Area</vt:lpstr>
      <vt:lpstr>'D-1-Optimal'!Print_Area</vt:lpstr>
      <vt:lpstr>'D-2-Constrained'!Print_Area</vt:lpstr>
      <vt:lpstr>'D-2-Optimal'!Print_Area</vt:lpstr>
      <vt:lpstr>'D-3-Constrained'!Print_Area</vt:lpstr>
      <vt:lpstr>'D-3-Optimal'!Print_Area</vt:lpstr>
      <vt:lpstr>'D-4-Constrained'!Print_Area</vt:lpstr>
      <vt:lpstr>'D-4-Optimal'!Print_Area</vt:lpstr>
      <vt:lpstr>'E-1'!Print_Area</vt:lpstr>
      <vt:lpstr>'E-2 FY2026'!Print_Area</vt:lpstr>
      <vt:lpstr>'E-2 FY2028'!Print_Area</vt:lpstr>
      <vt:lpstr>'E-2 Lighting FY2026'!Print_Area</vt:lpstr>
      <vt:lpstr>'E-2 Lighting FY2027'!Print_Area</vt:lpstr>
      <vt:lpstr>'E-2 Lighting FY2028'!Print_Area</vt:lpstr>
      <vt:lpstr>'E-2 Riders'!Print_Area</vt:lpstr>
      <vt:lpstr>'E-3'!Print_Area</vt:lpstr>
      <vt:lpstr>'E-4'!Print_Area</vt:lpstr>
      <vt:lpstr>'F-1'!Print_Area</vt:lpstr>
      <vt:lpstr>'F-2'!Print_Area</vt:lpstr>
      <vt:lpstr>'F-3'!Print_Area</vt:lpstr>
      <vt:lpstr>'F-4'!Print_Area</vt:lpstr>
      <vt:lpstr>'F-5'!Print_Area</vt:lpstr>
      <vt:lpstr>'F-6'!Print_Area</vt:lpstr>
      <vt:lpstr>'FY26-FY28_PREPA Consolidated'!Print_Area</vt:lpstr>
      <vt:lpstr>'Schedule G'!Print_Area</vt:lpstr>
      <vt:lpstr>'Schedule H'!Print_Area</vt:lpstr>
      <vt:lpstr>'Schedule I'!Print_Area</vt:lpstr>
      <vt:lpstr>'Schedule J'!Print_Area</vt:lpstr>
      <vt:lpstr>'B-2'!Print_Titles</vt:lpstr>
      <vt:lpstr>'B-3'!Print_Titles</vt:lpstr>
      <vt:lpstr>'C-11'!Print_Titles</vt:lpstr>
      <vt:lpstr>'C-2 - CONSTRAINED'!Print_Titles</vt:lpstr>
      <vt:lpstr>'C-2 - OPTIMAL'!Print_Titles</vt:lpstr>
      <vt:lpstr>'C-2 Constrained'!Print_Titles</vt:lpstr>
      <vt:lpstr>'C-2 Optimal'!Print_Titles</vt:lpstr>
      <vt:lpstr>'C-8'!Print_Titles</vt:lpstr>
      <vt:lpstr>'C-8 Lighting'!Print_Titles</vt:lpstr>
      <vt:lpstr>'D-1-Constrained'!Print_Titles</vt:lpstr>
      <vt:lpstr>'D-1-Optimal'!Print_Titles</vt:lpstr>
      <vt:lpstr>'D-2-Constrained'!Print_Titles</vt:lpstr>
      <vt:lpstr>'D-2-Optimal'!Print_Titles</vt:lpstr>
      <vt:lpstr>'D-3-Constrained'!Print_Titles</vt:lpstr>
      <vt:lpstr>'D-3-Optimal'!Print_Titles</vt:lpstr>
      <vt:lpstr>'D-4-Constrained'!Print_Titles</vt:lpstr>
      <vt:lpstr>'D-4-Optimal'!Print_Titles</vt:lpstr>
      <vt:lpstr>'E-2 FY2026'!Print_Titles</vt:lpstr>
      <vt:lpstr>'E-2 FY2027'!Print_Titles</vt:lpstr>
      <vt:lpstr>'E-2 FY2028'!Print_Titles</vt:lpstr>
      <vt:lpstr>'E-2 Lighting FY2026'!Print_Titles</vt:lpstr>
      <vt:lpstr>'E-2 Lighting FY2027'!Print_Titles</vt:lpstr>
      <vt:lpstr>'E-2 Lighting FY2028'!Print_Titles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Gerner</dc:creator>
  <cp:keywords/>
  <dc:description/>
  <cp:lastModifiedBy>Maribel Cruz de Jesús</cp:lastModifiedBy>
  <cp:revision/>
  <cp:lastPrinted>2025-11-12T15:31:55Z</cp:lastPrinted>
  <dcterms:created xsi:type="dcterms:W3CDTF">2023-05-16T15:33:09Z</dcterms:created>
  <dcterms:modified xsi:type="dcterms:W3CDTF">2025-11-13T11:07:21Z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{68A51833-58A5-45AA-A836-EFCB2CD6F727}</vt:lpwstr>
  </property>
  <property fmtid="{D5CDD505-2E9C-101B-9397-08002B2CF9AE}" pid="3" name="ContentTypeId">
    <vt:lpwstr>0x0101002C7DE3FCD5909941A849D7A4651DDB81</vt:lpwstr>
  </property>
  <property fmtid="{D5CDD505-2E9C-101B-9397-08002B2CF9AE}" pid="4" name="MediaServiceImageTags">
    <vt:lpwstr/>
  </property>
  <property fmtid="{D5CDD505-2E9C-101B-9397-08002B2CF9AE}" pid="5" name="_dlc_DocIdItemGuid">
    <vt:lpwstr>fbdb3095-8f33-4118-ad91-18ed9e8e02d7</vt:lpwstr>
  </property>
  <property fmtid="{D5CDD505-2E9C-101B-9397-08002B2CF9AE}" pid="6" name="MSIP_Label_e3a1bc8a-c77f-42fc-94c5-4575f811706d_Enabled">
    <vt:lpwstr>true</vt:lpwstr>
  </property>
  <property fmtid="{D5CDD505-2E9C-101B-9397-08002B2CF9AE}" pid="7" name="MSIP_Label_e3a1bc8a-c77f-42fc-94c5-4575f811706d_SetDate">
    <vt:lpwstr>2025-08-29T01:52:44Z</vt:lpwstr>
  </property>
  <property fmtid="{D5CDD505-2E9C-101B-9397-08002B2CF9AE}" pid="8" name="MSIP_Label_e3a1bc8a-c77f-42fc-94c5-4575f811706d_Method">
    <vt:lpwstr>Standard</vt:lpwstr>
  </property>
  <property fmtid="{D5CDD505-2E9C-101B-9397-08002B2CF9AE}" pid="9" name="MSIP_Label_e3a1bc8a-c77f-42fc-94c5-4575f811706d_Name">
    <vt:lpwstr>e3a1bc8a-c77f-42fc-94c5-4575f811706d</vt:lpwstr>
  </property>
  <property fmtid="{D5CDD505-2E9C-101B-9397-08002B2CF9AE}" pid="10" name="MSIP_Label_e3a1bc8a-c77f-42fc-94c5-4575f811706d_SiteId">
    <vt:lpwstr>fb7083da-754c-45a4-8b6b-a05941a3a3e9</vt:lpwstr>
  </property>
  <property fmtid="{D5CDD505-2E9C-101B-9397-08002B2CF9AE}" pid="11" name="MSIP_Label_e3a1bc8a-c77f-42fc-94c5-4575f811706d_ActionId">
    <vt:lpwstr>0cc1a397-eaa1-4b5a-8337-b921bc86fe9e</vt:lpwstr>
  </property>
  <property fmtid="{D5CDD505-2E9C-101B-9397-08002B2CF9AE}" pid="12" name="MSIP_Label_e3a1bc8a-c77f-42fc-94c5-4575f811706d_ContentBits">
    <vt:lpwstr>0</vt:lpwstr>
  </property>
  <property fmtid="{D5CDD505-2E9C-101B-9397-08002B2CF9AE}" pid="13" name="MSIP_Label_e3a1bc8a-c77f-42fc-94c5-4575f811706d_Tag">
    <vt:lpwstr>10, 3, 0, 1</vt:lpwstr>
  </property>
</Properties>
</file>