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8_{9A345B27-916B-45C8-A3B7-CE2FD45CCEEA}" xr6:coauthVersionLast="47" xr6:coauthVersionMax="47" xr10:uidLastSave="{00000000-0000-0000-0000-000000000000}"/>
  <bookViews>
    <workbookView xWindow="3045" yWindow="3465" windowWidth="14310" windowHeight="11295" activeTab="6" xr2:uid="{3B6E08CC-E6B8-41F9-A32C-FD2C5CD8960A}"/>
  </bookViews>
  <sheets>
    <sheet name="Cover Page" sheetId="11" r:id="rId1"/>
    <sheet name="Data Base" sheetId="1" r:id="rId2"/>
    <sheet name="Scn1" sheetId="2" r:id="rId3"/>
    <sheet name="Scn2" sheetId="4" r:id="rId4"/>
    <sheet name="Scn3" sheetId="6" r:id="rId5"/>
    <sheet name="Summary" sheetId="5" r:id="rId6"/>
    <sheet name="Average Consumption" sheetId="13" r:id="rId7"/>
  </sheets>
  <definedNames>
    <definedName name="_ftn1" localSheetId="1">'Data Base'!#REF!</definedName>
    <definedName name="_ftn1" localSheetId="2">'Scn1'!#REF!</definedName>
    <definedName name="_ftn1" localSheetId="3">'Scn2'!#REF!</definedName>
    <definedName name="_ftn1" localSheetId="4">'Scn3'!#REF!</definedName>
    <definedName name="_ftnref1" localSheetId="1">'Data Base'!$A$7</definedName>
    <definedName name="_ftnref1" localSheetId="2">'Scn1'!$A$7</definedName>
    <definedName name="_ftnref1" localSheetId="3">'Scn2'!$A$7</definedName>
    <definedName name="_ftnref1" localSheetId="4">'Scn3'!$A$7</definedName>
    <definedName name="_xlnm.Print_Area">#REF!</definedName>
    <definedName name="PRINT_AREA_M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3" l="1"/>
  <c r="N12" i="13"/>
  <c r="N13" i="13"/>
  <c r="N14" i="13"/>
  <c r="N15" i="13"/>
  <c r="D28" i="5"/>
  <c r="D25" i="4"/>
  <c r="C25" i="4"/>
  <c r="E25" i="4"/>
  <c r="F24" i="4" s="1"/>
  <c r="E24" i="4"/>
  <c r="D24" i="4"/>
  <c r="C24" i="4"/>
  <c r="E23" i="4"/>
  <c r="D23" i="4"/>
  <c r="C23" i="4"/>
  <c r="G37" i="5"/>
  <c r="I49" i="2"/>
  <c r="G49" i="2"/>
  <c r="F49" i="2"/>
  <c r="E49" i="2"/>
  <c r="D49" i="2"/>
  <c r="C49" i="2"/>
  <c r="E14" i="4"/>
  <c r="D14" i="4"/>
  <c r="C14" i="4"/>
  <c r="E39" i="4"/>
  <c r="E36" i="4"/>
  <c r="E33" i="4"/>
  <c r="E32" i="4"/>
  <c r="E31" i="4"/>
  <c r="E30" i="4"/>
  <c r="E29" i="4"/>
  <c r="E28" i="4"/>
  <c r="E22" i="4"/>
  <c r="E21" i="4"/>
  <c r="E20" i="4"/>
  <c r="E19" i="4"/>
  <c r="E18" i="4"/>
  <c r="E17" i="4"/>
  <c r="E16" i="4"/>
  <c r="E15" i="4"/>
  <c r="E13" i="4"/>
  <c r="E9" i="4"/>
  <c r="E8" i="4"/>
  <c r="E7" i="4"/>
  <c r="D39" i="4"/>
  <c r="D36" i="4"/>
  <c r="D33" i="4"/>
  <c r="D32" i="4"/>
  <c r="D31" i="4"/>
  <c r="D30" i="4"/>
  <c r="D29" i="4"/>
  <c r="D28" i="4"/>
  <c r="D22" i="4"/>
  <c r="D21" i="4"/>
  <c r="D20" i="4"/>
  <c r="D19" i="4"/>
  <c r="D18" i="4"/>
  <c r="D17" i="4"/>
  <c r="D16" i="4"/>
  <c r="D15" i="4"/>
  <c r="D13" i="4"/>
  <c r="D9" i="4"/>
  <c r="D8" i="4"/>
  <c r="D7" i="4"/>
  <c r="D10" i="4" s="1"/>
  <c r="C16" i="4"/>
  <c r="C15" i="4"/>
  <c r="C13" i="4"/>
  <c r="C39" i="4"/>
  <c r="C36" i="4"/>
  <c r="C33" i="4"/>
  <c r="C32" i="4"/>
  <c r="C31" i="4"/>
  <c r="C30" i="4"/>
  <c r="C29" i="4"/>
  <c r="C28" i="4"/>
  <c r="C22" i="4"/>
  <c r="C21" i="4"/>
  <c r="C20" i="4"/>
  <c r="C19" i="4"/>
  <c r="C18" i="4"/>
  <c r="C17" i="4"/>
  <c r="M9" i="4"/>
  <c r="L9" i="4"/>
  <c r="C9" i="4"/>
  <c r="M8" i="4"/>
  <c r="L8" i="4"/>
  <c r="C8" i="4"/>
  <c r="M7" i="4"/>
  <c r="L7" i="4"/>
  <c r="C7" i="4"/>
  <c r="P50" i="13"/>
  <c r="P49" i="13"/>
  <c r="P48" i="13"/>
  <c r="P47" i="13"/>
  <c r="P46" i="13"/>
  <c r="P45" i="13"/>
  <c r="M49" i="13"/>
  <c r="M48" i="13"/>
  <c r="M47" i="13"/>
  <c r="L50" i="13"/>
  <c r="L49" i="13"/>
  <c r="L48" i="13"/>
  <c r="L47" i="13"/>
  <c r="L46" i="13"/>
  <c r="M46" i="13" s="1"/>
  <c r="L45" i="13"/>
  <c r="M45" i="13" s="1"/>
  <c r="D34" i="4" l="1"/>
  <c r="E10" i="4"/>
  <c r="E34" i="4"/>
  <c r="C34" i="4"/>
  <c r="C10" i="4"/>
  <c r="F9" i="4"/>
  <c r="F7" i="4"/>
  <c r="D41" i="4" l="1"/>
  <c r="E41" i="4"/>
  <c r="F25" i="4" s="1"/>
  <c r="F29" i="4"/>
  <c r="F33" i="4"/>
  <c r="F32" i="4"/>
  <c r="F31" i="4"/>
  <c r="F30" i="4"/>
  <c r="F28" i="4"/>
  <c r="F23" i="4"/>
  <c r="F22" i="4"/>
  <c r="F19" i="4"/>
  <c r="F14" i="4"/>
  <c r="F13" i="4"/>
  <c r="F21" i="4"/>
  <c r="F20" i="4"/>
  <c r="F18" i="4"/>
  <c r="F17" i="4"/>
  <c r="F15" i="4"/>
  <c r="F16" i="4"/>
  <c r="C41" i="4"/>
  <c r="F8" i="4"/>
  <c r="F39" i="4" l="1"/>
  <c r="F34" i="4"/>
  <c r="F10" i="4"/>
  <c r="F36" i="4"/>
  <c r="F41" i="4" l="1"/>
  <c r="E30" i="5" l="1"/>
  <c r="E31" i="5" s="1"/>
  <c r="E29" i="5"/>
  <c r="E14" i="5"/>
  <c r="E13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E36" i="5" l="1"/>
  <c r="E35" i="5"/>
  <c r="E32" i="5"/>
  <c r="E27" i="5"/>
  <c r="E26" i="5"/>
  <c r="E25" i="5"/>
  <c r="E21" i="5"/>
  <c r="E20" i="5"/>
  <c r="E24" i="5" s="1"/>
  <c r="E19" i="5"/>
  <c r="E23" i="5" s="1"/>
  <c r="E18" i="5"/>
  <c r="E22" i="5" s="1"/>
  <c r="E11" i="5"/>
  <c r="E9" i="5"/>
  <c r="E10" i="5"/>
  <c r="E47" i="2"/>
  <c r="D47" i="2"/>
  <c r="C47" i="2"/>
  <c r="E44" i="2"/>
  <c r="D44" i="2"/>
  <c r="C44" i="2"/>
  <c r="C38" i="2"/>
  <c r="C39" i="2"/>
  <c r="C40" i="2"/>
  <c r="C41" i="2"/>
  <c r="C37" i="2"/>
  <c r="D38" i="2"/>
  <c r="E38" i="2"/>
  <c r="D39" i="2"/>
  <c r="E39" i="2"/>
  <c r="D40" i="2"/>
  <c r="E40" i="2"/>
  <c r="D41" i="2"/>
  <c r="E41" i="2"/>
  <c r="E37" i="2"/>
  <c r="D37" i="2"/>
  <c r="C27" i="2"/>
  <c r="D27" i="2"/>
  <c r="E27" i="2"/>
  <c r="C28" i="2"/>
  <c r="D28" i="2"/>
  <c r="E28" i="2"/>
  <c r="C29" i="2"/>
  <c r="D29" i="2"/>
  <c r="E29" i="2"/>
  <c r="C30" i="2"/>
  <c r="D30" i="2"/>
  <c r="E30" i="2"/>
  <c r="C31" i="2"/>
  <c r="D31" i="2"/>
  <c r="E31" i="2"/>
  <c r="C32" i="2"/>
  <c r="D32" i="2"/>
  <c r="E32" i="2"/>
  <c r="E26" i="2"/>
  <c r="D26" i="2"/>
  <c r="C26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E15" i="2"/>
  <c r="D15" i="2"/>
  <c r="C15" i="2"/>
  <c r="E12" i="2"/>
  <c r="D12" i="2"/>
  <c r="C12" i="2"/>
  <c r="E11" i="2"/>
  <c r="D11" i="2"/>
  <c r="C11" i="2"/>
  <c r="E10" i="2"/>
  <c r="D10" i="2"/>
  <c r="C10" i="2"/>
  <c r="E9" i="2"/>
  <c r="D9" i="2"/>
  <c r="C9" i="2"/>
  <c r="E8" i="2"/>
  <c r="D8" i="2"/>
  <c r="C8" i="2"/>
  <c r="E7" i="2"/>
  <c r="D7" i="2"/>
  <c r="C7" i="2"/>
  <c r="E36" i="2"/>
  <c r="D36" i="2"/>
  <c r="C36" i="2"/>
  <c r="M9" i="6"/>
  <c r="L9" i="6"/>
  <c r="M8" i="6"/>
  <c r="L8" i="6"/>
  <c r="M7" i="6"/>
  <c r="L7" i="6"/>
  <c r="M6" i="6"/>
  <c r="L6" i="6"/>
  <c r="L10" i="6" s="1"/>
  <c r="L11" i="6" s="1"/>
  <c r="L5" i="6"/>
  <c r="M6" i="4"/>
  <c r="L6" i="4"/>
  <c r="L10" i="4" s="1"/>
  <c r="L5" i="4"/>
  <c r="E28" i="5" l="1"/>
  <c r="L11" i="4"/>
  <c r="G10" i="4" s="1"/>
  <c r="E34" i="5"/>
  <c r="E33" i="5"/>
  <c r="E15" i="5"/>
  <c r="E9" i="6"/>
  <c r="D9" i="6"/>
  <c r="E8" i="6"/>
  <c r="D8" i="6"/>
  <c r="E7" i="6"/>
  <c r="D7" i="6"/>
  <c r="C9" i="6"/>
  <c r="C8" i="6"/>
  <c r="C7" i="6"/>
  <c r="C27" i="6"/>
  <c r="E26" i="6"/>
  <c r="D26" i="6"/>
  <c r="C26" i="6"/>
  <c r="E25" i="6"/>
  <c r="D25" i="6"/>
  <c r="C25" i="6"/>
  <c r="E20" i="6"/>
  <c r="D20" i="6"/>
  <c r="C20" i="6"/>
  <c r="E18" i="6"/>
  <c r="D18" i="6"/>
  <c r="C18" i="6"/>
  <c r="E17" i="6"/>
  <c r="D17" i="6"/>
  <c r="C17" i="6"/>
  <c r="E16" i="6"/>
  <c r="D16" i="6"/>
  <c r="C16" i="6"/>
  <c r="E19" i="6"/>
  <c r="D19" i="6"/>
  <c r="C19" i="6"/>
  <c r="E15" i="6"/>
  <c r="D15" i="6"/>
  <c r="C15" i="6"/>
  <c r="E13" i="6"/>
  <c r="D13" i="6"/>
  <c r="C13" i="6"/>
  <c r="E14" i="6"/>
  <c r="D14" i="6"/>
  <c r="C14" i="6"/>
  <c r="G25" i="4" l="1"/>
  <c r="G36" i="4"/>
  <c r="H36" i="4" s="1"/>
  <c r="G39" i="4"/>
  <c r="H39" i="4" s="1"/>
  <c r="G34" i="4"/>
  <c r="G7" i="4"/>
  <c r="H7" i="4" s="1"/>
  <c r="G8" i="4"/>
  <c r="H8" i="4" s="1"/>
  <c r="I8" i="4" s="1"/>
  <c r="G9" i="4"/>
  <c r="H9" i="4" s="1"/>
  <c r="I9" i="4" s="1"/>
  <c r="E16" i="5"/>
  <c r="E42" i="2"/>
  <c r="D42" i="2"/>
  <c r="C42" i="2"/>
  <c r="C33" i="2"/>
  <c r="E24" i="2"/>
  <c r="D24" i="2"/>
  <c r="C24" i="2"/>
  <c r="E13" i="2"/>
  <c r="D13" i="2"/>
  <c r="C13" i="2"/>
  <c r="G41" i="4" l="1"/>
  <c r="G18" i="4"/>
  <c r="H18" i="4" s="1"/>
  <c r="G24" i="4"/>
  <c r="H24" i="4" s="1"/>
  <c r="I24" i="4" s="1"/>
  <c r="G22" i="4"/>
  <c r="H22" i="4" s="1"/>
  <c r="I22" i="4" s="1"/>
  <c r="G15" i="4"/>
  <c r="H15" i="4" s="1"/>
  <c r="I15" i="4" s="1"/>
  <c r="G16" i="4"/>
  <c r="H16" i="4" s="1"/>
  <c r="D17" i="5" s="1"/>
  <c r="G21" i="4"/>
  <c r="H21" i="4" s="1"/>
  <c r="I21" i="4" s="1"/>
  <c r="G13" i="4"/>
  <c r="H13" i="4" s="1"/>
  <c r="D13" i="5" s="1"/>
  <c r="G14" i="4"/>
  <c r="H14" i="4" s="1"/>
  <c r="I14" i="4" s="1"/>
  <c r="G19" i="4"/>
  <c r="H19" i="4" s="1"/>
  <c r="D20" i="5" s="1"/>
  <c r="H20" i="5" s="1"/>
  <c r="G23" i="4"/>
  <c r="H23" i="4" s="1"/>
  <c r="I23" i="4" s="1"/>
  <c r="G17" i="4"/>
  <c r="H17" i="4" s="1"/>
  <c r="D18" i="5" s="1"/>
  <c r="H18" i="5" s="1"/>
  <c r="G20" i="4"/>
  <c r="H20" i="4" s="1"/>
  <c r="I20" i="4" s="1"/>
  <c r="D36" i="5"/>
  <c r="H36" i="5" s="1"/>
  <c r="I36" i="5" s="1"/>
  <c r="I39" i="4"/>
  <c r="G29" i="4"/>
  <c r="H29" i="4" s="1"/>
  <c r="G28" i="4"/>
  <c r="H28" i="4" s="1"/>
  <c r="G30" i="4"/>
  <c r="H30" i="4" s="1"/>
  <c r="G31" i="4"/>
  <c r="H31" i="4" s="1"/>
  <c r="G32" i="4"/>
  <c r="H32" i="4" s="1"/>
  <c r="G33" i="4"/>
  <c r="H33" i="4" s="1"/>
  <c r="D35" i="5"/>
  <c r="I36" i="4"/>
  <c r="I19" i="4"/>
  <c r="D21" i="5"/>
  <c r="I18" i="4"/>
  <c r="D19" i="5"/>
  <c r="H19" i="5" s="1"/>
  <c r="D16" i="5"/>
  <c r="I7" i="4"/>
  <c r="I10" i="4" s="1"/>
  <c r="D7" i="5"/>
  <c r="I16" i="4"/>
  <c r="E17" i="5"/>
  <c r="D26" i="5" l="1"/>
  <c r="D27" i="5"/>
  <c r="H27" i="5" s="1"/>
  <c r="I27" i="5" s="1"/>
  <c r="D14" i="5"/>
  <c r="H14" i="5" s="1"/>
  <c r="I13" i="4"/>
  <c r="D25" i="5"/>
  <c r="H25" i="5" s="1"/>
  <c r="F36" i="5"/>
  <c r="N38" i="13" s="1"/>
  <c r="Q38" i="13" s="1"/>
  <c r="I17" i="4"/>
  <c r="F13" i="5"/>
  <c r="N18" i="13" s="1"/>
  <c r="Q18" i="13" s="1"/>
  <c r="H13" i="5"/>
  <c r="F26" i="5"/>
  <c r="N33" i="13" s="1"/>
  <c r="Q33" i="13" s="1"/>
  <c r="H26" i="5"/>
  <c r="F25" i="5"/>
  <c r="N32" i="13" s="1"/>
  <c r="Q32" i="13" s="1"/>
  <c r="F17" i="5"/>
  <c r="N22" i="13" s="1"/>
  <c r="Q22" i="13" s="1"/>
  <c r="H17" i="5"/>
  <c r="F16" i="5"/>
  <c r="N21" i="13" s="1"/>
  <c r="Q21" i="13" s="1"/>
  <c r="H16" i="5"/>
  <c r="F21" i="5"/>
  <c r="N26" i="13" s="1"/>
  <c r="Q26" i="13" s="1"/>
  <c r="H21" i="5"/>
  <c r="F35" i="5"/>
  <c r="N42" i="13" s="1"/>
  <c r="Q42" i="13" s="1"/>
  <c r="H35" i="5"/>
  <c r="I35" i="5" s="1"/>
  <c r="F7" i="5"/>
  <c r="H7" i="5"/>
  <c r="F14" i="5"/>
  <c r="N19" i="13" s="1"/>
  <c r="Q19" i="13" s="1"/>
  <c r="D33" i="5"/>
  <c r="I32" i="4"/>
  <c r="D34" i="5"/>
  <c r="I33" i="4"/>
  <c r="D32" i="5"/>
  <c r="I31" i="4"/>
  <c r="D31" i="5"/>
  <c r="I30" i="4"/>
  <c r="I25" i="4"/>
  <c r="D29" i="5"/>
  <c r="I28" i="4"/>
  <c r="D30" i="5"/>
  <c r="I29" i="4"/>
  <c r="D22" i="5"/>
  <c r="F18" i="5"/>
  <c r="N23" i="13" s="1"/>
  <c r="Q23" i="13" s="1"/>
  <c r="F27" i="5"/>
  <c r="N34" i="13" s="1"/>
  <c r="Q34" i="13" s="1"/>
  <c r="F19" i="5"/>
  <c r="N24" i="13" s="1"/>
  <c r="Q24" i="13" s="1"/>
  <c r="D23" i="5"/>
  <c r="F20" i="5"/>
  <c r="N25" i="13" s="1"/>
  <c r="Q25" i="13" s="1"/>
  <c r="D24" i="5"/>
  <c r="F41" i="2"/>
  <c r="F28" i="2"/>
  <c r="F7" i="2"/>
  <c r="F40" i="2"/>
  <c r="F27" i="2"/>
  <c r="F39" i="2"/>
  <c r="F26" i="2"/>
  <c r="F38" i="2"/>
  <c r="F23" i="2"/>
  <c r="F37" i="2"/>
  <c r="F22" i="2"/>
  <c r="F21" i="2"/>
  <c r="F20" i="2"/>
  <c r="F19" i="2"/>
  <c r="F12" i="2"/>
  <c r="F18" i="2"/>
  <c r="F11" i="2"/>
  <c r="F31" i="2"/>
  <c r="F17" i="2"/>
  <c r="F10" i="2"/>
  <c r="F47" i="2"/>
  <c r="F30" i="2"/>
  <c r="F9" i="2"/>
  <c r="F44" i="2"/>
  <c r="F29" i="2"/>
  <c r="F15" i="2"/>
  <c r="F32" i="2"/>
  <c r="F16" i="2"/>
  <c r="F8" i="2"/>
  <c r="F36" i="2"/>
  <c r="F33" i="2"/>
  <c r="F24" i="2"/>
  <c r="F42" i="2"/>
  <c r="E23" i="6"/>
  <c r="D23" i="6"/>
  <c r="C23" i="6"/>
  <c r="D15" i="5" l="1"/>
  <c r="I34" i="4"/>
  <c r="F22" i="5"/>
  <c r="N29" i="13" s="1"/>
  <c r="Q29" i="13" s="1"/>
  <c r="H22" i="5"/>
  <c r="F33" i="5"/>
  <c r="N49" i="13" s="1"/>
  <c r="O49" i="13" s="1"/>
  <c r="H33" i="5"/>
  <c r="I33" i="5" s="1"/>
  <c r="F30" i="5"/>
  <c r="N46" i="13" s="1"/>
  <c r="Q46" i="13" s="1"/>
  <c r="R46" i="13" s="1"/>
  <c r="H30" i="5"/>
  <c r="I30" i="5" s="1"/>
  <c r="F15" i="5"/>
  <c r="N20" i="13" s="1"/>
  <c r="Q20" i="13" s="1"/>
  <c r="H15" i="5"/>
  <c r="F32" i="5"/>
  <c r="N48" i="13" s="1"/>
  <c r="O48" i="13" s="1"/>
  <c r="H32" i="5"/>
  <c r="I32" i="5" s="1"/>
  <c r="F34" i="5"/>
  <c r="N50" i="13" s="1"/>
  <c r="Q50" i="13" s="1"/>
  <c r="R50" i="13" s="1"/>
  <c r="H34" i="5"/>
  <c r="I34" i="5" s="1"/>
  <c r="F29" i="5"/>
  <c r="N45" i="13" s="1"/>
  <c r="Q45" i="13" s="1"/>
  <c r="R45" i="13" s="1"/>
  <c r="H29" i="5"/>
  <c r="I29" i="5" s="1"/>
  <c r="F28" i="5"/>
  <c r="N35" i="13" s="1"/>
  <c r="Q35" i="13" s="1"/>
  <c r="H28" i="5"/>
  <c r="I28" i="5" s="1"/>
  <c r="I41" i="4"/>
  <c r="F24" i="5"/>
  <c r="N31" i="13" s="1"/>
  <c r="Q31" i="13" s="1"/>
  <c r="H24" i="5"/>
  <c r="F23" i="5"/>
  <c r="N30" i="13" s="1"/>
  <c r="Q30" i="13" s="1"/>
  <c r="H23" i="5"/>
  <c r="I23" i="5" s="1"/>
  <c r="F31" i="5"/>
  <c r="N47" i="13" s="1"/>
  <c r="O47" i="13" s="1"/>
  <c r="H31" i="5"/>
  <c r="I31" i="5" s="1"/>
  <c r="F13" i="2"/>
  <c r="Q49" i="13" l="1"/>
  <c r="R49" i="13" s="1"/>
  <c r="O45" i="13"/>
  <c r="Q47" i="13"/>
  <c r="R47" i="13" s="1"/>
  <c r="O46" i="13"/>
  <c r="Q48" i="13"/>
  <c r="R48" i="13" s="1"/>
  <c r="P42" i="13"/>
  <c r="P38" i="13"/>
  <c r="P35" i="13"/>
  <c r="P34" i="13"/>
  <c r="P33" i="13"/>
  <c r="P32" i="13"/>
  <c r="P31" i="13"/>
  <c r="P30" i="13"/>
  <c r="P29" i="13"/>
  <c r="P26" i="13"/>
  <c r="P25" i="13"/>
  <c r="P24" i="13"/>
  <c r="P23" i="13"/>
  <c r="P22" i="13"/>
  <c r="P21" i="13"/>
  <c r="P20" i="13"/>
  <c r="P19" i="13"/>
  <c r="P18" i="13"/>
  <c r="P15" i="13"/>
  <c r="P14" i="13"/>
  <c r="P13" i="13"/>
  <c r="P12" i="13"/>
  <c r="P11" i="13"/>
  <c r="P10" i="13"/>
  <c r="L42" i="13"/>
  <c r="L38" i="13"/>
  <c r="L35" i="13"/>
  <c r="L34" i="13"/>
  <c r="L33" i="13"/>
  <c r="L32" i="13"/>
  <c r="L31" i="13"/>
  <c r="L30" i="13"/>
  <c r="L29" i="13"/>
  <c r="L26" i="13"/>
  <c r="L25" i="13"/>
  <c r="L24" i="13"/>
  <c r="L23" i="13"/>
  <c r="L22" i="13"/>
  <c r="L21" i="13"/>
  <c r="L20" i="13"/>
  <c r="L19" i="13"/>
  <c r="L18" i="13"/>
  <c r="L15" i="13"/>
  <c r="L14" i="13"/>
  <c r="L13" i="13"/>
  <c r="L12" i="13"/>
  <c r="L11" i="13"/>
  <c r="L10" i="13"/>
  <c r="M50" i="13" l="1"/>
  <c r="O50" i="13" s="1"/>
  <c r="M42" i="13"/>
  <c r="M38" i="13"/>
  <c r="M34" i="13"/>
  <c r="M33" i="13"/>
  <c r="M32" i="13"/>
  <c r="M31" i="13"/>
  <c r="M30" i="13"/>
  <c r="M29" i="13"/>
  <c r="M26" i="13"/>
  <c r="M25" i="13"/>
  <c r="M24" i="13"/>
  <c r="M23" i="13"/>
  <c r="M22" i="13"/>
  <c r="M21" i="13"/>
  <c r="M20" i="13"/>
  <c r="M19" i="13"/>
  <c r="M18" i="13"/>
  <c r="M35" i="13"/>
  <c r="M10" i="13"/>
  <c r="M15" i="13" l="1"/>
  <c r="M14" i="13"/>
  <c r="M13" i="13"/>
  <c r="M12" i="13"/>
  <c r="M11" i="13"/>
  <c r="M6" i="2" l="1"/>
  <c r="M7" i="2"/>
  <c r="M8" i="2"/>
  <c r="M9" i="2"/>
  <c r="L6" i="2"/>
  <c r="L7" i="2"/>
  <c r="L8" i="2"/>
  <c r="L9" i="2"/>
  <c r="L5" i="2"/>
  <c r="D8" i="11"/>
  <c r="L10" i="2" l="1"/>
  <c r="L11" i="2" s="1"/>
  <c r="G47" i="2" l="1"/>
  <c r="G12" i="2"/>
  <c r="G44" i="2"/>
  <c r="G39" i="2"/>
  <c r="G27" i="2"/>
  <c r="G20" i="2"/>
  <c r="G22" i="2"/>
  <c r="G37" i="2"/>
  <c r="G28" i="2"/>
  <c r="G10" i="2"/>
  <c r="G17" i="2"/>
  <c r="G9" i="2"/>
  <c r="G38" i="2"/>
  <c r="G15" i="2"/>
  <c r="G21" i="2"/>
  <c r="G31" i="2"/>
  <c r="G19" i="2"/>
  <c r="G41" i="2"/>
  <c r="G8" i="2"/>
  <c r="G40" i="2"/>
  <c r="G11" i="2"/>
  <c r="G30" i="2"/>
  <c r="G7" i="2"/>
  <c r="G23" i="2"/>
  <c r="G16" i="2"/>
  <c r="G36" i="2"/>
  <c r="G18" i="2"/>
  <c r="G29" i="2"/>
  <c r="G32" i="2"/>
  <c r="G26" i="2"/>
  <c r="H44" i="2"/>
  <c r="G33" i="2"/>
  <c r="G24" i="2"/>
  <c r="G42" i="2"/>
  <c r="E57" i="1"/>
  <c r="E27" i="6" s="1"/>
  <c r="J10" i="1"/>
  <c r="J11" i="1" s="1"/>
  <c r="I44" i="2" l="1"/>
  <c r="C35" i="5"/>
  <c r="G13" i="2"/>
  <c r="H47" i="2"/>
  <c r="H32" i="2"/>
  <c r="H31" i="2"/>
  <c r="H30" i="2"/>
  <c r="H28" i="2"/>
  <c r="H26" i="2"/>
  <c r="C22" i="5" s="1"/>
  <c r="H29" i="2"/>
  <c r="H27" i="2"/>
  <c r="H15" i="2"/>
  <c r="C13" i="5" s="1"/>
  <c r="H17" i="2"/>
  <c r="C15" i="5" s="1"/>
  <c r="H23" i="2"/>
  <c r="C21" i="5" s="1"/>
  <c r="H21" i="2"/>
  <c r="C19" i="5" s="1"/>
  <c r="H19" i="2"/>
  <c r="C17" i="5" s="1"/>
  <c r="H18" i="2"/>
  <c r="C16" i="5" s="1"/>
  <c r="H16" i="2"/>
  <c r="C14" i="5" s="1"/>
  <c r="H22" i="2"/>
  <c r="C20" i="5" s="1"/>
  <c r="H20" i="2"/>
  <c r="C18" i="5" s="1"/>
  <c r="H41" i="2"/>
  <c r="H39" i="2"/>
  <c r="H38" i="2"/>
  <c r="H37" i="2"/>
  <c r="H36" i="2"/>
  <c r="C29" i="5" s="1"/>
  <c r="H40" i="2"/>
  <c r="H11" i="2"/>
  <c r="H10" i="2"/>
  <c r="H12" i="2"/>
  <c r="I37" i="2" l="1"/>
  <c r="C30" i="5"/>
  <c r="I38" i="2"/>
  <c r="C31" i="5"/>
  <c r="I27" i="2"/>
  <c r="C23" i="5"/>
  <c r="I29" i="2"/>
  <c r="C25" i="5"/>
  <c r="I30" i="2"/>
  <c r="C26" i="5"/>
  <c r="I32" i="2"/>
  <c r="C28" i="5"/>
  <c r="I47" i="2"/>
  <c r="C36" i="5"/>
  <c r="I41" i="2"/>
  <c r="C34" i="5"/>
  <c r="I39" i="2"/>
  <c r="C32" i="5"/>
  <c r="I28" i="2"/>
  <c r="C24" i="5"/>
  <c r="I31" i="2"/>
  <c r="C27" i="5"/>
  <c r="I10" i="2"/>
  <c r="C10" i="5"/>
  <c r="I40" i="2"/>
  <c r="C33" i="5"/>
  <c r="I12" i="2"/>
  <c r="C12" i="5"/>
  <c r="I11" i="2"/>
  <c r="C11" i="5"/>
  <c r="I36" i="2"/>
  <c r="I26" i="2"/>
  <c r="I23" i="2"/>
  <c r="I15" i="2"/>
  <c r="I22" i="2"/>
  <c r="I17" i="2"/>
  <c r="I20" i="2"/>
  <c r="I16" i="2"/>
  <c r="I18" i="2"/>
  <c r="I19" i="2"/>
  <c r="I21" i="2"/>
  <c r="C21" i="6"/>
  <c r="D21" i="6"/>
  <c r="E21" i="6"/>
  <c r="F14" i="6" s="1"/>
  <c r="C10" i="6"/>
  <c r="E10" i="6"/>
  <c r="D10" i="6"/>
  <c r="I33" i="2" l="1"/>
  <c r="I24" i="2"/>
  <c r="I42" i="2"/>
  <c r="F7" i="6"/>
  <c r="F16" i="6"/>
  <c r="F15" i="6"/>
  <c r="F17" i="6"/>
  <c r="F18" i="6"/>
  <c r="F13" i="6"/>
  <c r="F20" i="6"/>
  <c r="F19" i="6"/>
  <c r="F8" i="6"/>
  <c r="F9" i="6"/>
  <c r="E66" i="1" l="1"/>
  <c r="D66" i="1"/>
  <c r="C66" i="1"/>
  <c r="D57" i="1"/>
  <c r="D27" i="6" s="1"/>
  <c r="C33" i="1"/>
  <c r="E24" i="1"/>
  <c r="D24" i="1"/>
  <c r="C24" i="1"/>
  <c r="E13" i="1"/>
  <c r="D13" i="1"/>
  <c r="D73" i="1" s="1"/>
  <c r="C13" i="1"/>
  <c r="C73" i="1" s="1"/>
  <c r="E73" i="1" l="1"/>
  <c r="D28" i="6" l="1"/>
  <c r="E28" i="6"/>
  <c r="C28" i="6"/>
  <c r="C30" i="6" s="1"/>
  <c r="E30" i="6" l="1"/>
  <c r="F23" i="6" s="1"/>
  <c r="G23" i="6" s="1"/>
  <c r="D30" i="6"/>
  <c r="F27" i="6"/>
  <c r="F25" i="6"/>
  <c r="F26" i="6"/>
  <c r="H23" i="6" l="1"/>
  <c r="F10" i="6"/>
  <c r="F21" i="6"/>
  <c r="G21" i="6" s="1"/>
  <c r="F28" i="6"/>
  <c r="G28" i="6" s="1"/>
  <c r="D8" i="5" l="1"/>
  <c r="D11" i="5"/>
  <c r="H11" i="5" s="1"/>
  <c r="I23" i="6"/>
  <c r="G10" i="6"/>
  <c r="F30" i="6"/>
  <c r="G14" i="6"/>
  <c r="H14" i="6" s="1"/>
  <c r="G13" i="6"/>
  <c r="H13" i="6" s="1"/>
  <c r="G19" i="6"/>
  <c r="H19" i="6" s="1"/>
  <c r="G17" i="6"/>
  <c r="H17" i="6" s="1"/>
  <c r="G15" i="6"/>
  <c r="H15" i="6" s="1"/>
  <c r="G18" i="6"/>
  <c r="H18" i="6" s="1"/>
  <c r="G20" i="6"/>
  <c r="H20" i="6" s="1"/>
  <c r="G16" i="6"/>
  <c r="H16" i="6" s="1"/>
  <c r="G25" i="6"/>
  <c r="H25" i="6" s="1"/>
  <c r="G26" i="6"/>
  <c r="H26" i="6" s="1"/>
  <c r="G27" i="6"/>
  <c r="H27" i="6" s="1"/>
  <c r="F8" i="5" l="1"/>
  <c r="H8" i="5"/>
  <c r="D12" i="5"/>
  <c r="F11" i="5"/>
  <c r="N10" i="13"/>
  <c r="D9" i="5"/>
  <c r="I19" i="6"/>
  <c r="G7" i="6"/>
  <c r="H7" i="6" s="1"/>
  <c r="G30" i="6"/>
  <c r="G8" i="6"/>
  <c r="H8" i="6" s="1"/>
  <c r="G9" i="6"/>
  <c r="H9" i="6" s="1"/>
  <c r="I25" i="6"/>
  <c r="I26" i="6"/>
  <c r="I16" i="6"/>
  <c r="I15" i="6"/>
  <c r="I20" i="6"/>
  <c r="I17" i="6"/>
  <c r="I13" i="6"/>
  <c r="I18" i="6"/>
  <c r="I14" i="6"/>
  <c r="I27" i="6"/>
  <c r="F9" i="5" l="1"/>
  <c r="H9" i="5"/>
  <c r="F12" i="5"/>
  <c r="H12" i="5"/>
  <c r="Q13" i="13"/>
  <c r="Q12" i="13"/>
  <c r="Q11" i="13"/>
  <c r="Q10" i="13"/>
  <c r="D10" i="5"/>
  <c r="I22" i="5"/>
  <c r="O18" i="13"/>
  <c r="O26" i="13"/>
  <c r="I16" i="5"/>
  <c r="E7" i="5"/>
  <c r="E8" i="5" s="1"/>
  <c r="I8" i="6"/>
  <c r="I9" i="6"/>
  <c r="I7" i="6"/>
  <c r="I28" i="6"/>
  <c r="I21" i="6"/>
  <c r="E12" i="5"/>
  <c r="F10" i="5" l="1"/>
  <c r="H10" i="5"/>
  <c r="Q15" i="13"/>
  <c r="Q14" i="13"/>
  <c r="I8" i="5"/>
  <c r="I9" i="5"/>
  <c r="O10" i="13"/>
  <c r="I7" i="5"/>
  <c r="R26" i="13"/>
  <c r="R18" i="13"/>
  <c r="I15" i="5"/>
  <c r="O25" i="13"/>
  <c r="I21" i="5"/>
  <c r="O33" i="13"/>
  <c r="I13" i="5"/>
  <c r="O23" i="13"/>
  <c r="I24" i="5"/>
  <c r="I14" i="5"/>
  <c r="O24" i="13"/>
  <c r="O34" i="13"/>
  <c r="I26" i="5"/>
  <c r="O38" i="13"/>
  <c r="I11" i="5"/>
  <c r="O19" i="13"/>
  <c r="I20" i="5"/>
  <c r="O32" i="13"/>
  <c r="I10" i="6"/>
  <c r="I30" i="6" s="1"/>
  <c r="H37" i="5" l="1"/>
  <c r="I10" i="5"/>
  <c r="R10" i="13"/>
  <c r="R12" i="13"/>
  <c r="O12" i="13"/>
  <c r="R14" i="13"/>
  <c r="O14" i="13"/>
  <c r="R24" i="13"/>
  <c r="R33" i="13"/>
  <c r="R25" i="13"/>
  <c r="R32" i="13"/>
  <c r="R19" i="13"/>
  <c r="R23" i="13"/>
  <c r="R38" i="13"/>
  <c r="I12" i="5"/>
  <c r="O20" i="13"/>
  <c r="I17" i="5"/>
  <c r="O29" i="13"/>
  <c r="I19" i="5"/>
  <c r="O31" i="13"/>
  <c r="O15" i="13"/>
  <c r="O11" i="13"/>
  <c r="O13" i="13"/>
  <c r="I18" i="5"/>
  <c r="O30" i="13"/>
  <c r="I25" i="5"/>
  <c r="O42" i="13"/>
  <c r="I37" i="5" l="1"/>
  <c r="O22" i="13"/>
  <c r="R13" i="13"/>
  <c r="R29" i="13"/>
  <c r="R42" i="13"/>
  <c r="R11" i="13"/>
  <c r="R15" i="13"/>
  <c r="R30" i="13"/>
  <c r="R20" i="13"/>
  <c r="O21" i="13"/>
  <c r="O35" i="13"/>
  <c r="R31" i="13" l="1"/>
  <c r="R21" i="13"/>
  <c r="R22" i="13"/>
  <c r="R35" i="13" l="1"/>
  <c r="R34" i="13" l="1"/>
  <c r="H7" i="2" l="1"/>
  <c r="H9" i="2"/>
  <c r="H8" i="2"/>
  <c r="I9" i="2" l="1"/>
  <c r="C9" i="5"/>
  <c r="I8" i="2"/>
  <c r="C8" i="5"/>
  <c r="I7" i="2"/>
  <c r="I13" i="2" s="1"/>
  <c r="C7" i="5"/>
</calcChain>
</file>

<file path=xl/sharedStrings.xml><?xml version="1.0" encoding="utf-8"?>
<sst xmlns="http://schemas.openxmlformats.org/spreadsheetml/2006/main" count="331" uniqueCount="156">
  <si>
    <t xml:space="preserve">Title: </t>
  </si>
  <si>
    <t>Pension Fix Charge (January - June 2026)</t>
  </si>
  <si>
    <t>Sub-Title:</t>
  </si>
  <si>
    <t>Date</t>
  </si>
  <si>
    <t>Date Reviewed</t>
  </si>
  <si>
    <t>If you have any questions please contact:</t>
  </si>
  <si>
    <t>Owner</t>
  </si>
  <si>
    <t>Reviewer</t>
  </si>
  <si>
    <t xml:space="preserve">Name: </t>
  </si>
  <si>
    <t xml:space="preserve">Email: </t>
  </si>
  <si>
    <t>Color Legend</t>
  </si>
  <si>
    <t>Key Practices</t>
  </si>
  <si>
    <t>Dos / Don'ts</t>
  </si>
  <si>
    <t>Description</t>
  </si>
  <si>
    <t>R</t>
  </si>
  <si>
    <t>G</t>
  </si>
  <si>
    <t>B</t>
  </si>
  <si>
    <t>Example</t>
  </si>
  <si>
    <t>Blue</t>
  </si>
  <si>
    <t>Hardcodes</t>
  </si>
  <si>
    <t>=1234</t>
  </si>
  <si>
    <t>Black</t>
  </si>
  <si>
    <t>Formulas within worksheet</t>
  </si>
  <si>
    <t>=A1*A2</t>
  </si>
  <si>
    <t>Green</t>
  </si>
  <si>
    <t>Linked to another worksheet within workbook</t>
  </si>
  <si>
    <t>=Sheet1!A2</t>
  </si>
  <si>
    <t>Red</t>
  </si>
  <si>
    <t>Linked to another workbook</t>
  </si>
  <si>
    <t>=[Book2]Sheet1!$A$1</t>
  </si>
  <si>
    <t>Orange</t>
  </si>
  <si>
    <t>Different formula, not consistent with next row, column</t>
  </si>
  <si>
    <t>=[*different formula*]</t>
  </si>
  <si>
    <t>Purple</t>
  </si>
  <si>
    <t>Links to data providers (e.g. databases, programs, etc.)</t>
  </si>
  <si>
    <t>=CIQ(IQ_Total_REV)</t>
  </si>
  <si>
    <t>Data Base - Forecast FY 2026 (Rate Review_Rev Req, Permanent Rate Dockets)</t>
  </si>
  <si>
    <t>Rate</t>
  </si>
  <si>
    <t>Customers</t>
  </si>
  <si>
    <t>GWh</t>
  </si>
  <si>
    <t>Total - Base Rate</t>
  </si>
  <si>
    <t>Approved Amount (M$)</t>
  </si>
  <si>
    <t>Sept</t>
  </si>
  <si>
    <t>Actual</t>
  </si>
  <si>
    <t>RH3 103</t>
  </si>
  <si>
    <t>Oct</t>
  </si>
  <si>
    <t>RH3 104</t>
  </si>
  <si>
    <t>Nov</t>
  </si>
  <si>
    <t>Forecast</t>
  </si>
  <si>
    <t>LRS 109</t>
  </si>
  <si>
    <t>Dec</t>
  </si>
  <si>
    <t>LRS 110</t>
  </si>
  <si>
    <t>Total (Sept-Dec)</t>
  </si>
  <si>
    <t>GRS 111</t>
  </si>
  <si>
    <t>To be billed Jan-Jun</t>
  </si>
  <si>
    <t>GRS 112</t>
  </si>
  <si>
    <t>TOTAL</t>
  </si>
  <si>
    <t>PHONE CABIN 060</t>
  </si>
  <si>
    <t>CATV 070</t>
  </si>
  <si>
    <t>CATV 071</t>
  </si>
  <si>
    <t>CATV 080</t>
  </si>
  <si>
    <t>USSL 082</t>
  </si>
  <si>
    <t>GSS 211</t>
  </si>
  <si>
    <t>GSP 212</t>
  </si>
  <si>
    <t>GST 213</t>
  </si>
  <si>
    <t>TOU-P 862</t>
  </si>
  <si>
    <t>GSS 311</t>
  </si>
  <si>
    <t>GSP 312</t>
  </si>
  <si>
    <t>GST 313</t>
  </si>
  <si>
    <t>LIS 333</t>
  </si>
  <si>
    <t>PPBB 343</t>
  </si>
  <si>
    <t>TOU-T 363</t>
  </si>
  <si>
    <t>TOU-T 963</t>
  </si>
  <si>
    <t>PLGUM 001</t>
  </si>
  <si>
    <t>PLGUM 002</t>
  </si>
  <si>
    <t>PLGUM 003</t>
  </si>
  <si>
    <t>PLGUM 004</t>
  </si>
  <si>
    <t>PLGUM 005</t>
  </si>
  <si>
    <t>PLGUM 006</t>
  </si>
  <si>
    <t>PLGUM 007</t>
  </si>
  <si>
    <t>PLGUM 010</t>
  </si>
  <si>
    <t>PLGUM 011</t>
  </si>
  <si>
    <t>PLGUM 012</t>
  </si>
  <si>
    <t>PLGUM 013</t>
  </si>
  <si>
    <t>PLGUM 014</t>
  </si>
  <si>
    <t>PLGUM 015</t>
  </si>
  <si>
    <t>PLGUM 020</t>
  </si>
  <si>
    <t>PLGUM 021</t>
  </si>
  <si>
    <t>PLGUM 022</t>
  </si>
  <si>
    <t>PLGUM 023</t>
  </si>
  <si>
    <t>PLGUM 024</t>
  </si>
  <si>
    <t>PLGUM 025</t>
  </si>
  <si>
    <t>PLGUM 026</t>
  </si>
  <si>
    <t>PLGUM 027</t>
  </si>
  <si>
    <t>PLGUM 028</t>
  </si>
  <si>
    <t>TOTAL PLG UNMETER</t>
  </si>
  <si>
    <t>PLG BUS SHELTER 072</t>
  </si>
  <si>
    <t>PLG POLICE 073</t>
  </si>
  <si>
    <t>LP-13 414</t>
  </si>
  <si>
    <t>PLG 421</t>
  </si>
  <si>
    <t>PLG 422</t>
  </si>
  <si>
    <t>PLG 423</t>
  </si>
  <si>
    <t>PLG 424</t>
  </si>
  <si>
    <t>GST 513</t>
  </si>
  <si>
    <t>GAS 711</t>
  </si>
  <si>
    <t>Scenario 1</t>
  </si>
  <si>
    <t>Dist Rate and total Cotst</t>
  </si>
  <si>
    <t xml:space="preserve">Cost allocation </t>
  </si>
  <si>
    <t>Cost per customer</t>
  </si>
  <si>
    <t>Recover 6 month</t>
  </si>
  <si>
    <t>Unmeteres 072 and 073</t>
  </si>
  <si>
    <t>Scenario 2- Excluding Unmetered PL 001-056</t>
  </si>
  <si>
    <t>RH3</t>
  </si>
  <si>
    <t>LRS</t>
  </si>
  <si>
    <t>GRS</t>
  </si>
  <si>
    <t>GSS (211,311)</t>
  </si>
  <si>
    <t>GSP  (212,312)</t>
  </si>
  <si>
    <t>GST (213,313)</t>
  </si>
  <si>
    <t>TOU-P</t>
  </si>
  <si>
    <t>LIS</t>
  </si>
  <si>
    <t xml:space="preserve">PPBB </t>
  </si>
  <si>
    <t>Unmetered 072 and 073</t>
  </si>
  <si>
    <t>Scenario 3</t>
  </si>
  <si>
    <t xml:space="preserve">TOU-T </t>
  </si>
  <si>
    <t>GAS</t>
  </si>
  <si>
    <t>GST (513)</t>
  </si>
  <si>
    <t>060-072-073</t>
  </si>
  <si>
    <t>070,071,080,082</t>
  </si>
  <si>
    <t>Metrered PL</t>
  </si>
  <si>
    <t xml:space="preserve">Summary </t>
  </si>
  <si>
    <t>Rates</t>
  </si>
  <si>
    <t>Scn1</t>
  </si>
  <si>
    <t>Scn2</t>
  </si>
  <si>
    <t xml:space="preserve">Scn3 </t>
  </si>
  <si>
    <t>Selected</t>
  </si>
  <si>
    <t>Monthly</t>
  </si>
  <si>
    <t>6 month</t>
  </si>
  <si>
    <t xml:space="preserve"> PLG 422</t>
  </si>
  <si>
    <t xml:space="preserve"> PLG 423</t>
  </si>
  <si>
    <t>Average Consumption (January to September 2025)</t>
  </si>
  <si>
    <t>Average per Customer</t>
  </si>
  <si>
    <t>Cost per kWh Pension</t>
  </si>
  <si>
    <t>Billed Consumption per Customer</t>
  </si>
  <si>
    <t>Average kWh/Customer</t>
  </si>
  <si>
    <t>$ Volumetric</t>
  </si>
  <si>
    <t>$ Fix (Scn2) recommended</t>
  </si>
  <si>
    <t>Diff.</t>
  </si>
  <si>
    <t>Residential</t>
  </si>
  <si>
    <t>Average</t>
  </si>
  <si>
    <t>Commercial</t>
  </si>
  <si>
    <t>Industrial</t>
  </si>
  <si>
    <t>Agriculture</t>
  </si>
  <si>
    <t>Other Authorities</t>
  </si>
  <si>
    <t>Public Lighting</t>
  </si>
  <si>
    <t>Color</t>
  </si>
  <si>
    <t>Dist Rate and 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</si>
</sst>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#,##0.0000"/>
    <numFmt numFmtId="167" formatCode="_(* #,##0.000_);_(* \(#,##0.000\);_(* &quot;-&quot;??_);_(@_)"/>
    <numFmt numFmtId="168" formatCode="_(* #,##0.0_);_(* \(#,##0.0\);_(* &quot;-&quot;??_);_(@_)"/>
    <numFmt numFmtId="169" formatCode="0.0%"/>
    <numFmt numFmtId="170" formatCode="_(* #,##0_);_(* \(#,##0\);_(* &quot;-&quot;??_);_(@_)"/>
    <numFmt numFmtId="171" formatCode="#,##0.000"/>
    <numFmt numFmtId="172" formatCode="[$-409]dd/mmm/yy;@"/>
    <numFmt numFmtId="173" formatCode="#,##0_);\(#,##0\);0_)"/>
    <numFmt numFmtId="174" formatCode="_(* #,##0.0_);_(* \(#,##0.0\);_(* &quot;-&quot;?_);_(@_)"/>
    <numFmt numFmtId="175" formatCode="&quot;$&quot;#,##0.00"/>
    <numFmt numFmtId="176" formatCode="0.000000"/>
    <numFmt numFmtId="177" formatCode="&quot;$&quot;#,##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2"/>
      <color rgb="FF0000FF"/>
      <name val="Arial"/>
      <family val="2"/>
    </font>
    <font>
      <b/>
      <u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u val="singleAccounting"/>
      <sz val="12"/>
      <color theme="1"/>
      <name val="Arial"/>
      <family val="2"/>
    </font>
    <font>
      <sz val="12"/>
      <color rgb="FF009100"/>
      <name val="Arial"/>
      <family val="2"/>
    </font>
    <font>
      <sz val="12"/>
      <color rgb="FFC00000"/>
      <name val="Arial"/>
      <family val="2"/>
    </font>
    <font>
      <sz val="12"/>
      <color rgb="FFFA6919"/>
      <name val="Arial"/>
      <family val="2"/>
    </font>
    <font>
      <sz val="12"/>
      <color rgb="FF800080"/>
      <name val="Arial"/>
      <family val="2"/>
    </font>
    <font>
      <sz val="8"/>
      <name val="Aptos Narrow"/>
      <family val="2"/>
      <scheme val="minor"/>
    </font>
    <font>
      <b/>
      <u val="doubleAccounting"/>
      <sz val="12"/>
      <color theme="1"/>
      <name val="Arial"/>
      <family val="2"/>
    </font>
    <font>
      <sz val="10"/>
      <name val="Bookman Old Style"/>
      <family val="1"/>
    </font>
    <font>
      <sz val="12"/>
      <name val="Comic Sans MS"/>
      <family val="4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theme="6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Dot">
        <color auto="1"/>
      </top>
      <bottom style="dashDotDot">
        <color auto="1"/>
      </bottom>
      <diagonal/>
    </border>
    <border>
      <left/>
      <right style="hair">
        <color indexed="64"/>
      </right>
      <top style="dashDotDot">
        <color auto="1"/>
      </top>
      <bottom style="dashDotDot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204">
    <xf numFmtId="0" fontId="0" fillId="0" borderId="0" xfId="0"/>
    <xf numFmtId="0" fontId="3" fillId="0" borderId="0" xfId="0" applyFont="1"/>
    <xf numFmtId="3" fontId="3" fillId="0" borderId="3" xfId="0" applyNumberFormat="1" applyFont="1" applyBorder="1"/>
    <xf numFmtId="164" fontId="3" fillId="0" borderId="0" xfId="0" applyNumberFormat="1" applyFont="1"/>
    <xf numFmtId="49" fontId="3" fillId="0" borderId="0" xfId="1" applyNumberFormat="1" applyFont="1" applyAlignment="1">
      <alignment horizontal="left"/>
    </xf>
    <xf numFmtId="3" fontId="3" fillId="0" borderId="3" xfId="1" applyNumberFormat="1" applyFont="1" applyBorder="1"/>
    <xf numFmtId="164" fontId="3" fillId="0" borderId="0" xfId="1" applyNumberFormat="1" applyFont="1"/>
    <xf numFmtId="0" fontId="3" fillId="0" borderId="4" xfId="0" applyFont="1" applyBorder="1"/>
    <xf numFmtId="3" fontId="3" fillId="0" borderId="5" xfId="1" applyNumberFormat="1" applyFont="1" applyBorder="1"/>
    <xf numFmtId="164" fontId="3" fillId="0" borderId="4" xfId="1" applyNumberFormat="1" applyFont="1" applyBorder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49" fontId="3" fillId="0" borderId="6" xfId="1" applyNumberFormat="1" applyFont="1" applyBorder="1" applyAlignment="1">
      <alignment horizontal="left"/>
    </xf>
    <xf numFmtId="3" fontId="3" fillId="0" borderId="7" xfId="1" applyNumberFormat="1" applyFont="1" applyBorder="1"/>
    <xf numFmtId="164" fontId="3" fillId="0" borderId="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0" fontId="3" fillId="0" borderId="9" xfId="0" applyFont="1" applyBorder="1"/>
    <xf numFmtId="0" fontId="2" fillId="0" borderId="11" xfId="0" applyFont="1" applyBorder="1"/>
    <xf numFmtId="3" fontId="4" fillId="0" borderId="12" xfId="0" applyNumberFormat="1" applyFont="1" applyBorder="1"/>
    <xf numFmtId="164" fontId="4" fillId="0" borderId="11" xfId="0" applyNumberFormat="1" applyFont="1" applyBorder="1"/>
    <xf numFmtId="4" fontId="3" fillId="0" borderId="3" xfId="0" applyNumberFormat="1" applyFont="1" applyBorder="1"/>
    <xf numFmtId="166" fontId="3" fillId="0" borderId="3" xfId="1" applyNumberFormat="1" applyFont="1" applyBorder="1"/>
    <xf numFmtId="166" fontId="3" fillId="0" borderId="5" xfId="1" applyNumberFormat="1" applyFont="1" applyBorder="1"/>
    <xf numFmtId="166" fontId="3" fillId="0" borderId="7" xfId="1" applyNumberFormat="1" applyFont="1" applyBorder="1"/>
    <xf numFmtId="166" fontId="4" fillId="0" borderId="12" xfId="0" applyNumberFormat="1" applyFont="1" applyBorder="1"/>
    <xf numFmtId="49" fontId="3" fillId="0" borderId="0" xfId="1" applyNumberFormat="1" applyFont="1" applyBorder="1" applyAlignment="1">
      <alignment horizontal="left"/>
    </xf>
    <xf numFmtId="164" fontId="3" fillId="0" borderId="0" xfId="0" applyNumberFormat="1" applyFont="1" applyAlignment="1">
      <alignment horizontal="right"/>
    </xf>
    <xf numFmtId="171" fontId="3" fillId="0" borderId="5" xfId="1" applyNumberFormat="1" applyFont="1" applyBorder="1"/>
    <xf numFmtId="3" fontId="3" fillId="0" borderId="0" xfId="1" applyNumberFormat="1" applyFont="1" applyBorder="1"/>
    <xf numFmtId="171" fontId="3" fillId="0" borderId="0" xfId="1" applyNumberFormat="1" applyFont="1" applyBorder="1"/>
    <xf numFmtId="0" fontId="5" fillId="0" borderId="0" xfId="0" applyFont="1"/>
    <xf numFmtId="0" fontId="4" fillId="0" borderId="0" xfId="0" applyFont="1"/>
    <xf numFmtId="44" fontId="5" fillId="0" borderId="0" xfId="2" applyFont="1"/>
    <xf numFmtId="43" fontId="5" fillId="0" borderId="0" xfId="0" applyNumberFormat="1" applyFont="1"/>
    <xf numFmtId="3" fontId="5" fillId="0" borderId="0" xfId="0" applyNumberFormat="1" applyFont="1"/>
    <xf numFmtId="43" fontId="5" fillId="0" borderId="0" xfId="1" applyFont="1"/>
    <xf numFmtId="0" fontId="7" fillId="2" borderId="19" xfId="4" applyFont="1" applyFill="1" applyBorder="1" applyAlignment="1">
      <alignment vertical="center"/>
    </xf>
    <xf numFmtId="0" fontId="5" fillId="0" borderId="0" xfId="4" applyFont="1"/>
    <xf numFmtId="0" fontId="5" fillId="2" borderId="13" xfId="4" applyFont="1" applyFill="1" applyBorder="1"/>
    <xf numFmtId="0" fontId="5" fillId="2" borderId="14" xfId="4" applyFont="1" applyFill="1" applyBorder="1"/>
    <xf numFmtId="0" fontId="5" fillId="2" borderId="15" xfId="4" applyFont="1" applyFill="1" applyBorder="1"/>
    <xf numFmtId="0" fontId="5" fillId="2" borderId="16" xfId="4" applyFont="1" applyFill="1" applyBorder="1"/>
    <xf numFmtId="0" fontId="5" fillId="2" borderId="0" xfId="4" applyFont="1" applyFill="1"/>
    <xf numFmtId="0" fontId="5" fillId="2" borderId="17" xfId="4" applyFont="1" applyFill="1" applyBorder="1"/>
    <xf numFmtId="0" fontId="4" fillId="2" borderId="18" xfId="4" applyFont="1" applyFill="1" applyBorder="1" applyAlignment="1">
      <alignment vertical="center"/>
    </xf>
    <xf numFmtId="0" fontId="5" fillId="2" borderId="19" xfId="4" applyFont="1" applyFill="1" applyBorder="1" applyAlignment="1">
      <alignment vertical="center"/>
    </xf>
    <xf numFmtId="0" fontId="5" fillId="2" borderId="20" xfId="4" applyFont="1" applyFill="1" applyBorder="1" applyAlignment="1">
      <alignment vertical="center"/>
    </xf>
    <xf numFmtId="0" fontId="4" fillId="2" borderId="21" xfId="4" applyFont="1" applyFill="1" applyBorder="1" applyAlignment="1">
      <alignment vertical="center"/>
    </xf>
    <xf numFmtId="0" fontId="5" fillId="2" borderId="9" xfId="4" applyFont="1" applyFill="1" applyBorder="1" applyAlignment="1">
      <alignment vertical="center"/>
    </xf>
    <xf numFmtId="0" fontId="5" fillId="2" borderId="22" xfId="4" applyFont="1" applyFill="1" applyBorder="1" applyAlignment="1">
      <alignment vertical="center"/>
    </xf>
    <xf numFmtId="0" fontId="4" fillId="2" borderId="18" xfId="4" applyFont="1" applyFill="1" applyBorder="1"/>
    <xf numFmtId="172" fontId="5" fillId="2" borderId="19" xfId="4" applyNumberFormat="1" applyFont="1" applyFill="1" applyBorder="1" applyAlignment="1">
      <alignment horizontal="center"/>
    </xf>
    <xf numFmtId="0" fontId="5" fillId="2" borderId="19" xfId="4" applyFont="1" applyFill="1" applyBorder="1"/>
    <xf numFmtId="0" fontId="4" fillId="2" borderId="19" xfId="4" applyFont="1" applyFill="1" applyBorder="1"/>
    <xf numFmtId="172" fontId="8" fillId="2" borderId="19" xfId="4" applyNumberFormat="1" applyFont="1" applyFill="1" applyBorder="1" applyAlignment="1">
      <alignment horizontal="center"/>
    </xf>
    <xf numFmtId="0" fontId="5" fillId="2" borderId="20" xfId="4" applyFont="1" applyFill="1" applyBorder="1"/>
    <xf numFmtId="0" fontId="9" fillId="0" borderId="21" xfId="4" applyFont="1" applyBorder="1"/>
    <xf numFmtId="0" fontId="5" fillId="2" borderId="9" xfId="4" applyFont="1" applyFill="1" applyBorder="1"/>
    <xf numFmtId="0" fontId="9" fillId="2" borderId="9" xfId="4" applyFont="1" applyFill="1" applyBorder="1"/>
    <xf numFmtId="0" fontId="5" fillId="2" borderId="22" xfId="4" applyFont="1" applyFill="1" applyBorder="1"/>
    <xf numFmtId="0" fontId="9" fillId="0" borderId="23" xfId="4" applyFont="1" applyBorder="1"/>
    <xf numFmtId="0" fontId="9" fillId="2" borderId="0" xfId="4" applyFont="1" applyFill="1"/>
    <xf numFmtId="0" fontId="5" fillId="2" borderId="24" xfId="4" applyFont="1" applyFill="1" applyBorder="1"/>
    <xf numFmtId="0" fontId="4" fillId="2" borderId="23" xfId="4" applyFont="1" applyFill="1" applyBorder="1"/>
    <xf numFmtId="0" fontId="4" fillId="2" borderId="0" xfId="4" applyFont="1" applyFill="1"/>
    <xf numFmtId="0" fontId="5" fillId="2" borderId="21" xfId="4" applyFont="1" applyFill="1" applyBorder="1"/>
    <xf numFmtId="0" fontId="10" fillId="3" borderId="18" xfId="4" applyFont="1" applyFill="1" applyBorder="1"/>
    <xf numFmtId="0" fontId="11" fillId="3" borderId="19" xfId="4" applyFont="1" applyFill="1" applyBorder="1"/>
    <xf numFmtId="0" fontId="10" fillId="3" borderId="0" xfId="4" applyFont="1" applyFill="1"/>
    <xf numFmtId="0" fontId="10" fillId="3" borderId="19" xfId="4" applyFont="1" applyFill="1" applyBorder="1"/>
    <xf numFmtId="0" fontId="12" fillId="2" borderId="23" xfId="4" applyFont="1" applyFill="1" applyBorder="1"/>
    <xf numFmtId="0" fontId="12" fillId="2" borderId="0" xfId="4" applyFont="1" applyFill="1"/>
    <xf numFmtId="0" fontId="12" fillId="2" borderId="0" xfId="4" applyFont="1" applyFill="1" applyAlignment="1">
      <alignment horizontal="center"/>
    </xf>
    <xf numFmtId="0" fontId="8" fillId="2" borderId="25" xfId="4" applyFont="1" applyFill="1" applyBorder="1"/>
    <xf numFmtId="0" fontId="5" fillId="2" borderId="25" xfId="4" applyFont="1" applyFill="1" applyBorder="1"/>
    <xf numFmtId="173" fontId="5" fillId="2" borderId="25" xfId="4" applyNumberFormat="1" applyFont="1" applyFill="1" applyBorder="1"/>
    <xf numFmtId="173" fontId="5" fillId="2" borderId="26" xfId="4" applyNumberFormat="1" applyFont="1" applyFill="1" applyBorder="1"/>
    <xf numFmtId="0" fontId="8" fillId="2" borderId="25" xfId="4" quotePrefix="1" applyFont="1" applyFill="1" applyBorder="1"/>
    <xf numFmtId="0" fontId="8" fillId="2" borderId="0" xfId="4" applyFont="1" applyFill="1"/>
    <xf numFmtId="0" fontId="5" fillId="2" borderId="25" xfId="4" quotePrefix="1" applyFont="1" applyFill="1" applyBorder="1"/>
    <xf numFmtId="0" fontId="13" fillId="2" borderId="25" xfId="4" applyFont="1" applyFill="1" applyBorder="1"/>
    <xf numFmtId="0" fontId="13" fillId="2" borderId="25" xfId="4" quotePrefix="1" applyFont="1" applyFill="1" applyBorder="1"/>
    <xf numFmtId="0" fontId="14" fillId="2" borderId="25" xfId="4" applyFont="1" applyFill="1" applyBorder="1"/>
    <xf numFmtId="0" fontId="14" fillId="2" borderId="25" xfId="4" quotePrefix="1" applyFont="1" applyFill="1" applyBorder="1"/>
    <xf numFmtId="0" fontId="15" fillId="2" borderId="25" xfId="4" applyFont="1" applyFill="1" applyBorder="1"/>
    <xf numFmtId="0" fontId="15" fillId="2" borderId="25" xfId="4" quotePrefix="1" applyFont="1" applyFill="1" applyBorder="1"/>
    <xf numFmtId="0" fontId="16" fillId="2" borderId="25" xfId="4" applyFont="1" applyFill="1" applyBorder="1"/>
    <xf numFmtId="0" fontId="16" fillId="2" borderId="25" xfId="4" quotePrefix="1" applyFont="1" applyFill="1" applyBorder="1"/>
    <xf numFmtId="0" fontId="5" fillId="2" borderId="27" xfId="4" applyFont="1" applyFill="1" applyBorder="1"/>
    <xf numFmtId="0" fontId="5" fillId="2" borderId="1" xfId="4" applyFont="1" applyFill="1" applyBorder="1"/>
    <xf numFmtId="0" fontId="5" fillId="2" borderId="28" xfId="4" applyFont="1" applyFill="1" applyBorder="1"/>
    <xf numFmtId="169" fontId="5" fillId="0" borderId="0" xfId="3" applyNumberFormat="1" applyFont="1"/>
    <xf numFmtId="168" fontId="5" fillId="0" borderId="0" xfId="1" applyNumberFormat="1" applyFont="1"/>
    <xf numFmtId="168" fontId="5" fillId="0" borderId="0" xfId="0" applyNumberFormat="1" applyFont="1"/>
    <xf numFmtId="3" fontId="5" fillId="0" borderId="3" xfId="0" applyNumberFormat="1" applyFont="1" applyBorder="1"/>
    <xf numFmtId="164" fontId="5" fillId="0" borderId="0" xfId="0" applyNumberFormat="1" applyFont="1"/>
    <xf numFmtId="167" fontId="5" fillId="0" borderId="0" xfId="0" applyNumberFormat="1" applyFont="1"/>
    <xf numFmtId="170" fontId="5" fillId="0" borderId="0" xfId="1" applyNumberFormat="1" applyFont="1"/>
    <xf numFmtId="166" fontId="5" fillId="0" borderId="0" xfId="0" applyNumberFormat="1" applyFont="1"/>
    <xf numFmtId="3" fontId="8" fillId="0" borderId="3" xfId="1" applyNumberFormat="1" applyFont="1" applyBorder="1"/>
    <xf numFmtId="164" fontId="8" fillId="0" borderId="0" xfId="1" applyNumberFormat="1" applyFont="1"/>
    <xf numFmtId="166" fontId="8" fillId="0" borderId="3" xfId="1" applyNumberFormat="1" applyFont="1" applyBorder="1"/>
    <xf numFmtId="3" fontId="8" fillId="0" borderId="8" xfId="1" applyNumberFormat="1" applyFont="1" applyBorder="1"/>
    <xf numFmtId="3" fontId="8" fillId="0" borderId="9" xfId="1" applyNumberFormat="1" applyFont="1" applyBorder="1"/>
    <xf numFmtId="164" fontId="8" fillId="0" borderId="10" xfId="1" applyNumberFormat="1" applyFont="1" applyBorder="1"/>
    <xf numFmtId="166" fontId="8" fillId="0" borderId="8" xfId="1" applyNumberFormat="1" applyFont="1" applyBorder="1"/>
    <xf numFmtId="165" fontId="8" fillId="0" borderId="0" xfId="1" applyNumberFormat="1" applyFont="1"/>
    <xf numFmtId="3" fontId="13" fillId="0" borderId="3" xfId="1" applyNumberFormat="1" applyFont="1" applyBorder="1"/>
    <xf numFmtId="164" fontId="13" fillId="0" borderId="0" xfId="1" applyNumberFormat="1" applyFont="1"/>
    <xf numFmtId="166" fontId="13" fillId="0" borderId="3" xfId="1" applyNumberFormat="1" applyFont="1" applyBorder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24" xfId="0" applyFont="1" applyBorder="1" applyAlignment="1">
      <alignment horizontal="left"/>
    </xf>
    <xf numFmtId="170" fontId="8" fillId="0" borderId="24" xfId="0" applyNumberFormat="1" applyFont="1" applyBorder="1" applyAlignment="1">
      <alignment horizontal="left"/>
    </xf>
    <xf numFmtId="174" fontId="5" fillId="0" borderId="0" xfId="0" applyNumberFormat="1" applyFont="1"/>
    <xf numFmtId="164" fontId="3" fillId="0" borderId="5" xfId="1" applyNumberFormat="1" applyFont="1" applyBorder="1"/>
    <xf numFmtId="0" fontId="4" fillId="0" borderId="0" xfId="0" applyFont="1" applyAlignment="1">
      <alignment horizontal="center"/>
    </xf>
    <xf numFmtId="175" fontId="5" fillId="0" borderId="0" xfId="0" applyNumberFormat="1" applyFont="1"/>
    <xf numFmtId="0" fontId="7" fillId="0" borderId="0" xfId="0" applyFont="1"/>
    <xf numFmtId="43" fontId="7" fillId="0" borderId="0" xfId="0" applyNumberFormat="1" applyFont="1"/>
    <xf numFmtId="176" fontId="5" fillId="0" borderId="0" xfId="0" applyNumberFormat="1" applyFont="1"/>
    <xf numFmtId="0" fontId="10" fillId="5" borderId="0" xfId="0" applyFont="1" applyFill="1" applyAlignment="1">
      <alignment horizontal="center"/>
    </xf>
    <xf numFmtId="17" fontId="10" fillId="5" borderId="24" xfId="0" applyNumberFormat="1" applyFont="1" applyFill="1" applyBorder="1" applyAlignment="1">
      <alignment horizontal="center"/>
    </xf>
    <xf numFmtId="0" fontId="21" fillId="5" borderId="0" xfId="0" applyFont="1" applyFill="1" applyAlignment="1">
      <alignment horizontal="centerContinuous"/>
    </xf>
    <xf numFmtId="0" fontId="22" fillId="5" borderId="0" xfId="0" applyFont="1" applyFill="1" applyAlignment="1">
      <alignment horizontal="centerContinuous"/>
    </xf>
    <xf numFmtId="0" fontId="22" fillId="5" borderId="24" xfId="0" applyFont="1" applyFill="1" applyBorder="1" applyAlignment="1">
      <alignment horizontal="centerContinuous"/>
    </xf>
    <xf numFmtId="0" fontId="10" fillId="5" borderId="24" xfId="0" applyFont="1" applyFill="1" applyBorder="1" applyAlignment="1">
      <alignment horizontal="center"/>
    </xf>
    <xf numFmtId="0" fontId="5" fillId="0" borderId="24" xfId="0" applyFont="1" applyBorder="1"/>
    <xf numFmtId="170" fontId="5" fillId="0" borderId="24" xfId="0" applyNumberFormat="1" applyFont="1" applyBorder="1"/>
    <xf numFmtId="170" fontId="8" fillId="0" borderId="22" xfId="0" applyNumberFormat="1" applyFont="1" applyBorder="1" applyAlignment="1">
      <alignment horizontal="left"/>
    </xf>
    <xf numFmtId="170" fontId="5" fillId="0" borderId="22" xfId="0" applyNumberFormat="1" applyFont="1" applyBorder="1"/>
    <xf numFmtId="175" fontId="5" fillId="0" borderId="9" xfId="0" applyNumberFormat="1" applyFont="1" applyBorder="1"/>
    <xf numFmtId="0" fontId="10" fillId="5" borderId="1" xfId="0" applyFont="1" applyFill="1" applyBorder="1"/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0" fontId="10" fillId="5" borderId="1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8" fontId="5" fillId="0" borderId="0" xfId="0" applyNumberFormat="1" applyFont="1"/>
    <xf numFmtId="8" fontId="5" fillId="0" borderId="9" xfId="0" applyNumberFormat="1" applyFont="1" applyBorder="1"/>
    <xf numFmtId="0" fontId="4" fillId="0" borderId="0" xfId="0" applyFont="1" applyAlignment="1">
      <alignment horizontal="left"/>
    </xf>
    <xf numFmtId="49" fontId="2" fillId="0" borderId="0" xfId="1" applyNumberFormat="1" applyFont="1" applyAlignment="1">
      <alignment horizontal="left"/>
    </xf>
    <xf numFmtId="0" fontId="10" fillId="5" borderId="3" xfId="0" applyFont="1" applyFill="1" applyBorder="1" applyAlignment="1">
      <alignment horizontal="center"/>
    </xf>
    <xf numFmtId="0" fontId="5" fillId="0" borderId="3" xfId="0" applyFont="1" applyBorder="1"/>
    <xf numFmtId="8" fontId="5" fillId="0" borderId="3" xfId="0" applyNumberFormat="1" applyFont="1" applyBorder="1"/>
    <xf numFmtId="8" fontId="5" fillId="0" borderId="8" xfId="0" applyNumberFormat="1" applyFont="1" applyBorder="1"/>
    <xf numFmtId="0" fontId="11" fillId="5" borderId="18" xfId="0" applyFont="1" applyFill="1" applyBorder="1"/>
    <xf numFmtId="0" fontId="11" fillId="5" borderId="20" xfId="0" applyFont="1" applyFill="1" applyBorder="1"/>
    <xf numFmtId="0" fontId="11" fillId="5" borderId="23" xfId="0" applyFont="1" applyFill="1" applyBorder="1"/>
    <xf numFmtId="0" fontId="11" fillId="5" borderId="24" xfId="0" applyFont="1" applyFill="1" applyBorder="1"/>
    <xf numFmtId="0" fontId="11" fillId="5" borderId="21" xfId="0" applyFont="1" applyFill="1" applyBorder="1"/>
    <xf numFmtId="43" fontId="11" fillId="5" borderId="9" xfId="0" applyNumberFormat="1" applyFont="1" applyFill="1" applyBorder="1"/>
    <xf numFmtId="0" fontId="11" fillId="5" borderId="22" xfId="0" applyFont="1" applyFill="1" applyBorder="1"/>
    <xf numFmtId="0" fontId="10" fillId="5" borderId="23" xfId="0" applyFont="1" applyFill="1" applyBorder="1"/>
    <xf numFmtId="175" fontId="11" fillId="5" borderId="0" xfId="0" applyNumberFormat="1" applyFont="1" applyFill="1"/>
    <xf numFmtId="175" fontId="10" fillId="5" borderId="0" xfId="0" applyNumberFormat="1" applyFont="1" applyFill="1"/>
    <xf numFmtId="175" fontId="11" fillId="5" borderId="29" xfId="0" applyNumberFormat="1" applyFont="1" applyFill="1" applyBorder="1"/>
    <xf numFmtId="43" fontId="18" fillId="7" borderId="0" xfId="0" applyNumberFormat="1" applyFont="1" applyFill="1"/>
    <xf numFmtId="4" fontId="5" fillId="0" borderId="0" xfId="0" applyNumberFormat="1" applyFont="1"/>
    <xf numFmtId="0" fontId="5" fillId="0" borderId="4" xfId="0" applyFont="1" applyBorder="1"/>
    <xf numFmtId="3" fontId="13" fillId="0" borderId="5" xfId="1" applyNumberFormat="1" applyFont="1" applyBorder="1"/>
    <xf numFmtId="166" fontId="13" fillId="0" borderId="5" xfId="1" applyNumberFormat="1" applyFont="1" applyBorder="1"/>
    <xf numFmtId="0" fontId="5" fillId="0" borderId="0" xfId="0" applyFont="1" applyAlignment="1">
      <alignment horizontal="center" wrapText="1"/>
    </xf>
    <xf numFmtId="177" fontId="5" fillId="0" borderId="0" xfId="0" applyNumberFormat="1" applyFont="1"/>
    <xf numFmtId="177" fontId="5" fillId="0" borderId="0" xfId="1" applyNumberFormat="1" applyFont="1"/>
    <xf numFmtId="175" fontId="5" fillId="0" borderId="0" xfId="2" applyNumberFormat="1" applyFont="1"/>
    <xf numFmtId="175" fontId="5" fillId="4" borderId="0" xfId="0" applyNumberFormat="1" applyFont="1" applyFill="1"/>
    <xf numFmtId="43" fontId="5" fillId="0" borderId="4" xfId="0" applyNumberFormat="1" applyFont="1" applyBorder="1"/>
    <xf numFmtId="168" fontId="5" fillId="0" borderId="4" xfId="0" applyNumberFormat="1" applyFont="1" applyBorder="1"/>
    <xf numFmtId="164" fontId="10" fillId="5" borderId="2" xfId="0" applyNumberFormat="1" applyFont="1" applyFill="1" applyBorder="1" applyAlignment="1">
      <alignment horizontal="center" wrapText="1"/>
    </xf>
    <xf numFmtId="164" fontId="3" fillId="0" borderId="3" xfId="0" applyNumberFormat="1" applyFont="1" applyBorder="1"/>
    <xf numFmtId="164" fontId="13" fillId="0" borderId="3" xfId="1" applyNumberFormat="1" applyFont="1" applyBorder="1"/>
    <xf numFmtId="164" fontId="5" fillId="0" borderId="3" xfId="0" applyNumberFormat="1" applyFont="1" applyBorder="1"/>
    <xf numFmtId="164" fontId="3" fillId="0" borderId="3" xfId="1" applyNumberFormat="1" applyFont="1" applyBorder="1"/>
    <xf numFmtId="164" fontId="13" fillId="0" borderId="5" xfId="1" applyNumberFormat="1" applyFont="1" applyBorder="1"/>
    <xf numFmtId="169" fontId="5" fillId="0" borderId="0" xfId="3" applyNumberFormat="1" applyFont="1" applyBorder="1"/>
    <xf numFmtId="169" fontId="10" fillId="5" borderId="0" xfId="3" applyNumberFormat="1" applyFont="1" applyFill="1" applyBorder="1" applyAlignment="1">
      <alignment horizontal="center" wrapText="1"/>
    </xf>
    <xf numFmtId="169" fontId="3" fillId="0" borderId="4" xfId="3" applyNumberFormat="1" applyFont="1" applyBorder="1"/>
    <xf numFmtId="170" fontId="5" fillId="0" borderId="4" xfId="1" applyNumberFormat="1" applyFont="1" applyBorder="1"/>
    <xf numFmtId="169" fontId="5" fillId="0" borderId="4" xfId="3" applyNumberFormat="1" applyFont="1" applyBorder="1"/>
    <xf numFmtId="174" fontId="5" fillId="0" borderId="11" xfId="0" applyNumberFormat="1" applyFont="1" applyBorder="1"/>
    <xf numFmtId="0" fontId="5" fillId="0" borderId="11" xfId="0" applyFont="1" applyBorder="1"/>
    <xf numFmtId="43" fontId="5" fillId="0" borderId="11" xfId="0" applyNumberFormat="1" applyFont="1" applyBorder="1"/>
    <xf numFmtId="0" fontId="11" fillId="8" borderId="0" xfId="0" applyFont="1" applyFill="1"/>
    <xf numFmtId="4" fontId="11" fillId="8" borderId="0" xfId="0" applyNumberFormat="1" applyFont="1" applyFill="1"/>
    <xf numFmtId="4" fontId="11" fillId="8" borderId="31" xfId="0" applyNumberFormat="1" applyFont="1" applyFill="1" applyBorder="1"/>
    <xf numFmtId="169" fontId="5" fillId="0" borderId="11" xfId="3" applyNumberFormat="1" applyFont="1" applyBorder="1"/>
    <xf numFmtId="43" fontId="5" fillId="0" borderId="11" xfId="1" applyFont="1" applyBorder="1"/>
    <xf numFmtId="4" fontId="10" fillId="5" borderId="0" xfId="0" applyNumberFormat="1" applyFont="1" applyFill="1" applyAlignment="1">
      <alignment horizontal="center" wrapText="1"/>
    </xf>
    <xf numFmtId="164" fontId="13" fillId="0" borderId="4" xfId="1" applyNumberFormat="1" applyFont="1" applyBorder="1"/>
    <xf numFmtId="49" fontId="3" fillId="0" borderId="9" xfId="1" applyNumberFormat="1" applyFont="1" applyBorder="1" applyAlignment="1">
      <alignment horizontal="left"/>
    </xf>
    <xf numFmtId="164" fontId="3" fillId="0" borderId="32" xfId="0" applyNumberFormat="1" applyFont="1" applyBorder="1"/>
    <xf numFmtId="164" fontId="3" fillId="0" borderId="33" xfId="1" applyNumberFormat="1" applyFont="1" applyBorder="1"/>
    <xf numFmtId="164" fontId="3" fillId="0" borderId="30" xfId="1" applyNumberFormat="1" applyFont="1" applyBorder="1"/>
    <xf numFmtId="164" fontId="5" fillId="0" borderId="33" xfId="0" applyNumberFormat="1" applyFont="1" applyBorder="1"/>
    <xf numFmtId="0" fontId="5" fillId="0" borderId="33" xfId="0" applyFont="1" applyBorder="1"/>
    <xf numFmtId="164" fontId="13" fillId="0" borderId="33" xfId="1" applyNumberFormat="1" applyFont="1" applyBorder="1"/>
    <xf numFmtId="164" fontId="3" fillId="0" borderId="30" xfId="0" applyNumberFormat="1" applyFont="1" applyBorder="1" applyAlignment="1">
      <alignment horizontal="right"/>
    </xf>
    <xf numFmtId="3" fontId="5" fillId="0" borderId="3" xfId="1" applyNumberFormat="1" applyFont="1" applyBorder="1"/>
    <xf numFmtId="164" fontId="5" fillId="0" borderId="0" xfId="1" applyNumberFormat="1" applyFont="1"/>
    <xf numFmtId="166" fontId="5" fillId="0" borderId="3" xfId="1" applyNumberFormat="1" applyFont="1" applyBorder="1"/>
    <xf numFmtId="0" fontId="10" fillId="5" borderId="24" xfId="0" applyFont="1" applyFill="1" applyBorder="1" applyAlignment="1">
      <alignment horizontal="center" wrapText="1"/>
    </xf>
    <xf numFmtId="169" fontId="3" fillId="0" borderId="11" xfId="3" applyNumberFormat="1" applyFont="1" applyBorder="1"/>
  </cellXfs>
  <cellStyles count="11">
    <cellStyle name="Comma" xfId="1" builtinId="3"/>
    <cellStyle name="Comma 19 3" xfId="9" xr:uid="{B9522E9C-3CC4-481A-BEAF-4A0DCCB717E0}"/>
    <cellStyle name="Comma 2" xfId="7" xr:uid="{757D3216-2816-4E08-A9E2-1AE7B1A5CE4C}"/>
    <cellStyle name="Comma 7 4" xfId="10" xr:uid="{0C39918A-6D64-46DC-A6FC-2D112F0164E1}"/>
    <cellStyle name="Currency" xfId="2" builtinId="4"/>
    <cellStyle name="Currency 2" xfId="6" xr:uid="{25A32E74-8877-44E7-AB70-06419496D2B9}"/>
    <cellStyle name="Normal" xfId="0" builtinId="0"/>
    <cellStyle name="Normal 2" xfId="5" xr:uid="{EA03D5D2-3554-4E4F-833A-E4C9F78779C2}"/>
    <cellStyle name="Normal 3 5 3" xfId="8" xr:uid="{838A3A66-7954-4308-AA3B-998A18994D7D}"/>
    <cellStyle name="Normal 40" xfId="4" xr:uid="{297C7127-8F64-4879-8E38-3EA46F94833E}"/>
    <cellStyle name="Percent" xfId="3" builtinId="5"/>
  </cellStyles>
  <dxfs count="0"/>
  <tableStyles count="0" defaultTableStyle="TableStyleMedium2" defaultPivotStyle="PivotStyleLight16"/>
  <colors>
    <mruColors>
      <color rgb="FF0091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3</xdr:col>
      <xdr:colOff>238555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20B553-0602-43AE-90C5-B1B9CB720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52400"/>
          <a:ext cx="189590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1013033</xdr:colOff>
      <xdr:row>3</xdr:row>
      <xdr:rowOff>34679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AA014D-923E-4CD4-989D-BF6EA9825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3947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1017780</xdr:colOff>
      <xdr:row>3</xdr:row>
      <xdr:rowOff>44204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98C1E53-D194-459E-9B79-094FC1B8F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602615" cy="606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1012240</xdr:colOff>
      <xdr:row>3</xdr:row>
      <xdr:rowOff>34679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91BBD1-D8D6-43CF-832E-F72AF8DBA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1168" cy="606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989750</xdr:colOff>
      <xdr:row>3</xdr:row>
      <xdr:rowOff>38483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A1FF62C-7F94-437B-A7D3-39B890DA8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5700" cy="62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1011568</xdr:colOff>
      <xdr:row>3</xdr:row>
      <xdr:rowOff>34679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E4BCE9-5AE2-4ED4-A902-446CF4C1C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1168" cy="606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1012657</xdr:colOff>
      <xdr:row>3</xdr:row>
      <xdr:rowOff>34679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4B23AD-7634-4682-87BE-C37EA0C73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1168" cy="606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11D16-5FED-4C5B-87CA-6BE0CEE864BB}">
  <dimension ref="B1:L26"/>
  <sheetViews>
    <sheetView showGridLines="0" topLeftCell="A7" zoomScaleNormal="100" workbookViewId="0">
      <selection activeCell="H11" sqref="H11"/>
    </sheetView>
  </sheetViews>
  <sheetFormatPr defaultColWidth="10.7109375" defaultRowHeight="15" x14ac:dyDescent="0.2"/>
  <cols>
    <col min="1" max="1" width="5.42578125" style="37" customWidth="1"/>
    <col min="2" max="2" width="10.7109375" style="37"/>
    <col min="3" max="3" width="13.28515625" style="37" customWidth="1"/>
    <col min="4" max="4" width="48.28515625" style="37" customWidth="1"/>
    <col min="5" max="7" width="4.7109375" style="37" customWidth="1"/>
    <col min="8" max="8" width="21.7109375" style="37" customWidth="1"/>
    <col min="9" max="9" width="13.42578125" style="37" bestFit="1" customWidth="1"/>
    <col min="10" max="10" width="87.28515625" style="37" customWidth="1"/>
    <col min="11" max="11" width="11.28515625" style="37" customWidth="1"/>
    <col min="12" max="16384" width="10.7109375" style="37"/>
  </cols>
  <sheetData>
    <row r="1" spans="2:12" ht="15.75" thickBot="1" x14ac:dyDescent="0.25"/>
    <row r="2" spans="2:12" ht="32.85" customHeight="1" x14ac:dyDescent="0.2">
      <c r="B2" s="38"/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2:12" x14ac:dyDescent="0.2">
      <c r="B3" s="41"/>
      <c r="C3" s="42"/>
      <c r="D3" s="42"/>
      <c r="E3" s="42"/>
      <c r="F3" s="42"/>
      <c r="G3" s="42"/>
      <c r="H3" s="42"/>
      <c r="I3" s="42"/>
      <c r="J3" s="42"/>
      <c r="K3" s="42"/>
      <c r="L3" s="43"/>
    </row>
    <row r="4" spans="2:12" x14ac:dyDescent="0.2">
      <c r="B4" s="41"/>
      <c r="C4" s="42"/>
      <c r="D4" s="42"/>
      <c r="E4" s="42"/>
      <c r="F4" s="42"/>
      <c r="G4" s="42"/>
      <c r="H4" s="42"/>
      <c r="I4" s="42"/>
      <c r="J4" s="42"/>
      <c r="K4" s="42"/>
      <c r="L4" s="43"/>
    </row>
    <row r="5" spans="2:12" ht="30" customHeight="1" x14ac:dyDescent="0.2">
      <c r="B5" s="41"/>
      <c r="C5" s="44" t="s">
        <v>0</v>
      </c>
      <c r="D5" s="36" t="s">
        <v>1</v>
      </c>
      <c r="E5" s="45"/>
      <c r="F5" s="45"/>
      <c r="G5" s="45"/>
      <c r="H5" s="45"/>
      <c r="I5" s="45"/>
      <c r="J5" s="45"/>
      <c r="K5" s="46"/>
      <c r="L5" s="43"/>
    </row>
    <row r="6" spans="2:12" ht="30" customHeight="1" x14ac:dyDescent="0.2">
      <c r="B6" s="41"/>
      <c r="C6" s="47" t="s">
        <v>2</v>
      </c>
      <c r="D6" s="48"/>
      <c r="E6" s="48"/>
      <c r="F6" s="48"/>
      <c r="G6" s="48"/>
      <c r="H6" s="48"/>
      <c r="I6" s="48"/>
      <c r="J6" s="48"/>
      <c r="K6" s="49"/>
      <c r="L6" s="43"/>
    </row>
    <row r="7" spans="2:12" x14ac:dyDescent="0.2">
      <c r="B7" s="41"/>
      <c r="C7" s="42"/>
      <c r="D7" s="42"/>
      <c r="E7" s="42"/>
      <c r="F7" s="42"/>
      <c r="G7" s="42"/>
      <c r="H7" s="42"/>
      <c r="I7" s="42"/>
      <c r="J7" s="42"/>
      <c r="K7" s="42"/>
      <c r="L7" s="43"/>
    </row>
    <row r="8" spans="2:12" ht="15.75" x14ac:dyDescent="0.25">
      <c r="B8" s="41"/>
      <c r="C8" s="50" t="s">
        <v>3</v>
      </c>
      <c r="D8" s="51">
        <f ca="1">TODAY()</f>
        <v>45978</v>
      </c>
      <c r="E8" s="52"/>
      <c r="F8" s="52"/>
      <c r="G8" s="52"/>
      <c r="H8" s="52"/>
      <c r="I8" s="53" t="s">
        <v>4</v>
      </c>
      <c r="J8" s="54"/>
      <c r="K8" s="55"/>
      <c r="L8" s="43"/>
    </row>
    <row r="9" spans="2:12" ht="15.75" x14ac:dyDescent="0.25">
      <c r="B9" s="41"/>
      <c r="C9" s="56"/>
      <c r="D9" s="57"/>
      <c r="E9" s="57"/>
      <c r="F9" s="57"/>
      <c r="G9" s="57"/>
      <c r="H9" s="57"/>
      <c r="I9" s="58"/>
      <c r="J9" s="57"/>
      <c r="K9" s="59"/>
      <c r="L9" s="43"/>
    </row>
    <row r="10" spans="2:12" x14ac:dyDescent="0.2">
      <c r="B10" s="41"/>
      <c r="C10" s="42"/>
      <c r="D10" s="42"/>
      <c r="E10" s="42"/>
      <c r="F10" s="42"/>
      <c r="G10" s="42"/>
      <c r="H10" s="42"/>
      <c r="I10" s="42"/>
      <c r="J10" s="42"/>
      <c r="K10" s="42"/>
      <c r="L10" s="43"/>
    </row>
    <row r="11" spans="2:12" ht="15.75" x14ac:dyDescent="0.25">
      <c r="B11" s="41"/>
      <c r="C11" s="50" t="s">
        <v>5</v>
      </c>
      <c r="D11" s="52"/>
      <c r="E11" s="52"/>
      <c r="F11" s="52"/>
      <c r="G11" s="52"/>
      <c r="H11" s="52"/>
      <c r="I11" s="52"/>
      <c r="J11" s="52"/>
      <c r="K11" s="55"/>
      <c r="L11" s="43"/>
    </row>
    <row r="12" spans="2:12" ht="15.75" x14ac:dyDescent="0.25">
      <c r="B12" s="41"/>
      <c r="C12" s="60" t="s">
        <v>6</v>
      </c>
      <c r="D12" s="42"/>
      <c r="E12" s="42"/>
      <c r="F12" s="42"/>
      <c r="G12" s="42"/>
      <c r="H12" s="42"/>
      <c r="I12" s="61" t="s">
        <v>7</v>
      </c>
      <c r="J12" s="42"/>
      <c r="K12" s="62"/>
      <c r="L12" s="43"/>
    </row>
    <row r="13" spans="2:12" ht="15.75" x14ac:dyDescent="0.25">
      <c r="B13" s="41"/>
      <c r="C13" s="63" t="s">
        <v>8</v>
      </c>
      <c r="D13" s="42"/>
      <c r="E13" s="42"/>
      <c r="F13" s="42"/>
      <c r="G13" s="42"/>
      <c r="H13" s="42"/>
      <c r="I13" s="64" t="s">
        <v>8</v>
      </c>
      <c r="K13" s="62"/>
      <c r="L13" s="43"/>
    </row>
    <row r="14" spans="2:12" ht="15.75" x14ac:dyDescent="0.25">
      <c r="B14" s="41"/>
      <c r="C14" s="63" t="s">
        <v>9</v>
      </c>
      <c r="D14" s="42"/>
      <c r="E14" s="42"/>
      <c r="F14" s="42"/>
      <c r="G14" s="42"/>
      <c r="H14" s="42"/>
      <c r="I14" s="64" t="s">
        <v>9</v>
      </c>
      <c r="J14" s="42"/>
      <c r="K14" s="62"/>
      <c r="L14" s="43"/>
    </row>
    <row r="15" spans="2:12" ht="6" customHeight="1" x14ac:dyDescent="0.2">
      <c r="B15" s="41"/>
      <c r="C15" s="65"/>
      <c r="D15" s="57"/>
      <c r="E15" s="57"/>
      <c r="F15" s="57"/>
      <c r="G15" s="57"/>
      <c r="H15" s="57"/>
      <c r="I15" s="57"/>
      <c r="J15" s="57"/>
      <c r="K15" s="59"/>
      <c r="L15" s="43"/>
    </row>
    <row r="16" spans="2:12" x14ac:dyDescent="0.2">
      <c r="B16" s="41"/>
      <c r="C16" s="42"/>
      <c r="D16" s="42"/>
      <c r="E16" s="42"/>
      <c r="F16" s="42"/>
      <c r="G16" s="42"/>
      <c r="H16" s="42"/>
      <c r="I16" s="42"/>
      <c r="J16" s="42"/>
      <c r="K16" s="42"/>
      <c r="L16" s="43"/>
    </row>
    <row r="17" spans="2:12" ht="15.75" x14ac:dyDescent="0.25">
      <c r="B17" s="41"/>
      <c r="C17" s="66" t="s">
        <v>10</v>
      </c>
      <c r="D17" s="67"/>
      <c r="E17" s="67"/>
      <c r="F17" s="67"/>
      <c r="G17" s="67"/>
      <c r="H17" s="68"/>
      <c r="I17" s="69"/>
      <c r="J17" s="66" t="s">
        <v>11</v>
      </c>
      <c r="K17" s="66" t="s">
        <v>12</v>
      </c>
      <c r="L17" s="43"/>
    </row>
    <row r="18" spans="2:12" ht="20.25" x14ac:dyDescent="0.55000000000000004">
      <c r="B18" s="41"/>
      <c r="C18" s="70" t="s">
        <v>154</v>
      </c>
      <c r="D18" s="71" t="s">
        <v>13</v>
      </c>
      <c r="E18" s="72" t="s">
        <v>14</v>
      </c>
      <c r="F18" s="72" t="s">
        <v>15</v>
      </c>
      <c r="G18" s="72" t="s">
        <v>16</v>
      </c>
      <c r="H18" s="72" t="s">
        <v>17</v>
      </c>
      <c r="I18" s="42"/>
      <c r="J18" s="42"/>
      <c r="K18" s="42"/>
      <c r="L18" s="43"/>
    </row>
    <row r="19" spans="2:12" x14ac:dyDescent="0.2">
      <c r="B19" s="41"/>
      <c r="C19" s="73" t="s">
        <v>18</v>
      </c>
      <c r="D19" s="74" t="s">
        <v>19</v>
      </c>
      <c r="E19" s="75">
        <v>0</v>
      </c>
      <c r="F19" s="76">
        <v>0</v>
      </c>
      <c r="G19" s="75">
        <v>225</v>
      </c>
      <c r="H19" s="77" t="s">
        <v>20</v>
      </c>
      <c r="I19" s="42"/>
      <c r="J19" s="42"/>
      <c r="K19" s="78"/>
      <c r="L19" s="43"/>
    </row>
    <row r="20" spans="2:12" x14ac:dyDescent="0.2">
      <c r="B20" s="41"/>
      <c r="C20" s="74" t="s">
        <v>21</v>
      </c>
      <c r="D20" s="74" t="s">
        <v>22</v>
      </c>
      <c r="E20" s="75">
        <v>0</v>
      </c>
      <c r="F20" s="76">
        <v>0</v>
      </c>
      <c r="G20" s="75">
        <v>0</v>
      </c>
      <c r="H20" s="79" t="s">
        <v>23</v>
      </c>
      <c r="I20" s="42"/>
      <c r="J20" s="42"/>
      <c r="K20" s="78"/>
      <c r="L20" s="43"/>
    </row>
    <row r="21" spans="2:12" x14ac:dyDescent="0.2">
      <c r="B21" s="41"/>
      <c r="C21" s="80" t="s">
        <v>24</v>
      </c>
      <c r="D21" s="74" t="s">
        <v>25</v>
      </c>
      <c r="E21" s="75">
        <v>0</v>
      </c>
      <c r="F21" s="76">
        <v>145</v>
      </c>
      <c r="G21" s="75">
        <v>0</v>
      </c>
      <c r="H21" s="81" t="s">
        <v>26</v>
      </c>
      <c r="I21" s="42"/>
      <c r="J21" s="42"/>
      <c r="K21" s="78"/>
      <c r="L21" s="43"/>
    </row>
    <row r="22" spans="2:12" x14ac:dyDescent="0.2">
      <c r="B22" s="41"/>
      <c r="C22" s="82" t="s">
        <v>27</v>
      </c>
      <c r="D22" s="74" t="s">
        <v>28</v>
      </c>
      <c r="E22" s="75">
        <v>192</v>
      </c>
      <c r="F22" s="76">
        <v>0</v>
      </c>
      <c r="G22" s="75">
        <v>0</v>
      </c>
      <c r="H22" s="83" t="s">
        <v>29</v>
      </c>
      <c r="I22" s="42"/>
      <c r="J22" s="42"/>
      <c r="K22" s="42"/>
      <c r="L22" s="43"/>
    </row>
    <row r="23" spans="2:12" x14ac:dyDescent="0.2">
      <c r="B23" s="41"/>
      <c r="C23" s="84" t="s">
        <v>30</v>
      </c>
      <c r="D23" s="74" t="s">
        <v>31</v>
      </c>
      <c r="E23" s="75">
        <v>250</v>
      </c>
      <c r="F23" s="76">
        <v>105</v>
      </c>
      <c r="G23" s="75">
        <v>25</v>
      </c>
      <c r="H23" s="85" t="s">
        <v>32</v>
      </c>
      <c r="I23" s="42"/>
      <c r="J23" s="42"/>
      <c r="K23" s="42"/>
      <c r="L23" s="43"/>
    </row>
    <row r="24" spans="2:12" x14ac:dyDescent="0.2">
      <c r="B24" s="41"/>
      <c r="C24" s="86" t="s">
        <v>33</v>
      </c>
      <c r="D24" s="74" t="s">
        <v>34</v>
      </c>
      <c r="E24" s="75">
        <v>128</v>
      </c>
      <c r="F24" s="76">
        <v>0</v>
      </c>
      <c r="G24" s="75">
        <v>128</v>
      </c>
      <c r="H24" s="87" t="s">
        <v>35</v>
      </c>
      <c r="I24" s="42"/>
      <c r="J24" s="42"/>
      <c r="K24" s="42"/>
      <c r="L24" s="43"/>
    </row>
    <row r="25" spans="2:12" x14ac:dyDescent="0.2"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43"/>
    </row>
    <row r="26" spans="2:12" ht="15.75" thickBot="1" x14ac:dyDescent="0.25">
      <c r="B26" s="88"/>
      <c r="C26" s="89"/>
      <c r="D26" s="89"/>
      <c r="E26" s="89"/>
      <c r="F26" s="89"/>
      <c r="G26" s="89"/>
      <c r="H26" s="89"/>
      <c r="I26" s="89"/>
      <c r="J26" s="89"/>
      <c r="K26" s="89"/>
      <c r="L26" s="9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518D2-4821-4C3A-980F-8CF0AA90A465}">
  <dimension ref="B4:M82"/>
  <sheetViews>
    <sheetView showGridLines="0" zoomScale="90" zoomScaleNormal="90" workbookViewId="0">
      <selection activeCell="B4" sqref="B4"/>
    </sheetView>
  </sheetViews>
  <sheetFormatPr defaultColWidth="8.7109375" defaultRowHeight="15" x14ac:dyDescent="0.2"/>
  <cols>
    <col min="1" max="1" width="8.7109375" style="30"/>
    <col min="2" max="2" width="29.28515625" style="30" customWidth="1"/>
    <col min="3" max="5" width="15.7109375" style="30" customWidth="1"/>
    <col min="6" max="7" width="8.7109375" style="30"/>
    <col min="8" max="8" width="9.28515625" style="30" bestFit="1" customWidth="1"/>
    <col min="9" max="9" width="25.5703125" style="30" customWidth="1"/>
    <col min="10" max="10" width="20.85546875" style="30" customWidth="1"/>
    <col min="11" max="11" width="15.5703125" style="30" customWidth="1"/>
    <col min="12" max="12" width="8.7109375" style="30"/>
    <col min="13" max="13" width="10.85546875" style="30" bestFit="1" customWidth="1"/>
    <col min="14" max="16384" width="8.7109375" style="30"/>
  </cols>
  <sheetData>
    <row r="4" spans="2:13" ht="23.25" x14ac:dyDescent="0.35">
      <c r="B4" s="110" t="s">
        <v>36</v>
      </c>
    </row>
    <row r="5" spans="2:13" ht="31.5" x14ac:dyDescent="0.25">
      <c r="B5" s="132" t="s">
        <v>37</v>
      </c>
      <c r="C5" s="133" t="s">
        <v>38</v>
      </c>
      <c r="D5" s="134" t="s">
        <v>39</v>
      </c>
      <c r="E5" s="135" t="s">
        <v>40</v>
      </c>
      <c r="I5" s="147" t="s">
        <v>41</v>
      </c>
      <c r="J5" s="156">
        <v>307.47542199999998</v>
      </c>
      <c r="K5" s="148"/>
      <c r="M5" s="120"/>
    </row>
    <row r="6" spans="2:13" x14ac:dyDescent="0.2">
      <c r="B6" s="1"/>
      <c r="C6" s="2"/>
      <c r="D6" s="3"/>
      <c r="E6" s="20"/>
      <c r="I6" s="149" t="s">
        <v>42</v>
      </c>
      <c r="J6" s="155">
        <v>24.520767489999997</v>
      </c>
      <c r="K6" s="150" t="s">
        <v>43</v>
      </c>
    </row>
    <row r="7" spans="2:13" x14ac:dyDescent="0.2">
      <c r="B7" s="4" t="s">
        <v>44</v>
      </c>
      <c r="C7" s="99">
        <v>1098</v>
      </c>
      <c r="D7" s="100">
        <v>9.731083367794243</v>
      </c>
      <c r="E7" s="101">
        <v>0.56379755952255584</v>
      </c>
      <c r="G7" s="34"/>
      <c r="I7" s="149" t="s">
        <v>45</v>
      </c>
      <c r="J7" s="155">
        <v>24.12527789</v>
      </c>
      <c r="K7" s="150" t="s">
        <v>43</v>
      </c>
    </row>
    <row r="8" spans="2:13" x14ac:dyDescent="0.2">
      <c r="B8" s="4" t="s">
        <v>46</v>
      </c>
      <c r="C8" s="99">
        <v>3279</v>
      </c>
      <c r="D8" s="100">
        <v>7.6487764770606539</v>
      </c>
      <c r="E8" s="101">
        <v>0.53622424311344585</v>
      </c>
      <c r="G8" s="34"/>
      <c r="I8" s="149" t="s">
        <v>47</v>
      </c>
      <c r="J8" s="155">
        <v>25.823086282409086</v>
      </c>
      <c r="K8" s="150" t="s">
        <v>48</v>
      </c>
    </row>
    <row r="9" spans="2:13" x14ac:dyDescent="0.2">
      <c r="B9" s="4" t="s">
        <v>49</v>
      </c>
      <c r="C9" s="99">
        <v>99890</v>
      </c>
      <c r="D9" s="100">
        <v>214.2907591913127</v>
      </c>
      <c r="E9" s="101">
        <v>15.389822866026661</v>
      </c>
      <c r="G9" s="34"/>
      <c r="I9" s="149" t="s">
        <v>50</v>
      </c>
      <c r="J9" s="157">
        <v>24.581798557361601</v>
      </c>
      <c r="K9" s="150" t="s">
        <v>48</v>
      </c>
    </row>
    <row r="10" spans="2:13" ht="15.75" x14ac:dyDescent="0.25">
      <c r="B10" s="4" t="s">
        <v>51</v>
      </c>
      <c r="C10" s="99">
        <v>37579</v>
      </c>
      <c r="D10" s="100">
        <v>268.84408060927638</v>
      </c>
      <c r="E10" s="101">
        <v>15.734651323483126</v>
      </c>
      <c r="G10" s="34"/>
      <c r="I10" s="154" t="s">
        <v>52</v>
      </c>
      <c r="J10" s="156">
        <f>SUM(J6:J9)</f>
        <v>99.050930219770692</v>
      </c>
      <c r="K10" s="150"/>
    </row>
    <row r="11" spans="2:13" ht="15.75" x14ac:dyDescent="0.25">
      <c r="B11" s="4" t="s">
        <v>53</v>
      </c>
      <c r="C11" s="99">
        <v>235650</v>
      </c>
      <c r="D11" s="100">
        <v>833.19415631304491</v>
      </c>
      <c r="E11" s="101">
        <v>53.712439068081061</v>
      </c>
      <c r="G11" s="34"/>
      <c r="I11" s="154" t="s">
        <v>54</v>
      </c>
      <c r="J11" s="156">
        <f>J5-J10</f>
        <v>208.42449178022929</v>
      </c>
      <c r="K11" s="150"/>
    </row>
    <row r="12" spans="2:13" x14ac:dyDescent="0.2">
      <c r="B12" s="4" t="s">
        <v>55</v>
      </c>
      <c r="C12" s="99">
        <v>962616</v>
      </c>
      <c r="D12" s="100">
        <v>4969.3705833894428</v>
      </c>
      <c r="E12" s="101">
        <v>303.84908186084073</v>
      </c>
      <c r="G12" s="34"/>
      <c r="I12" s="151"/>
      <c r="J12" s="152"/>
      <c r="K12" s="153"/>
    </row>
    <row r="13" spans="2:13" x14ac:dyDescent="0.2">
      <c r="B13" s="7" t="s">
        <v>56</v>
      </c>
      <c r="C13" s="8">
        <f>SUM(C7:C12)</f>
        <v>1340112</v>
      </c>
      <c r="D13" s="9">
        <f t="shared" ref="D13:E13" si="0">SUM(D7:D12)</f>
        <v>6303.0794393479318</v>
      </c>
      <c r="E13" s="22">
        <f t="shared" si="0"/>
        <v>389.78601692106758</v>
      </c>
      <c r="J13" s="114"/>
    </row>
    <row r="14" spans="2:13" x14ac:dyDescent="0.2">
      <c r="B14" s="1"/>
      <c r="C14" s="94"/>
      <c r="D14" s="95"/>
      <c r="E14" s="21"/>
    </row>
    <row r="15" spans="2:13" x14ac:dyDescent="0.2">
      <c r="B15" s="10" t="s">
        <v>57</v>
      </c>
      <c r="C15" s="99">
        <v>1</v>
      </c>
      <c r="D15" s="100">
        <v>1.8000000000000004E-4</v>
      </c>
      <c r="E15" s="101">
        <v>1.8120000000000003E-5</v>
      </c>
      <c r="G15" s="34"/>
    </row>
    <row r="16" spans="2:13" x14ac:dyDescent="0.2">
      <c r="B16" s="4" t="s">
        <v>58</v>
      </c>
      <c r="C16" s="99">
        <v>10</v>
      </c>
      <c r="D16" s="100">
        <v>4.9200000000000008</v>
      </c>
      <c r="E16" s="101">
        <v>0.41629079999999985</v>
      </c>
      <c r="G16" s="34"/>
    </row>
    <row r="17" spans="2:7" x14ac:dyDescent="0.2">
      <c r="B17" s="4" t="s">
        <v>59</v>
      </c>
      <c r="C17" s="99">
        <v>1</v>
      </c>
      <c r="D17" s="100">
        <v>6.4235519999999982</v>
      </c>
      <c r="E17" s="101">
        <v>0.54278590848000008</v>
      </c>
      <c r="G17" s="34"/>
    </row>
    <row r="18" spans="2:7" x14ac:dyDescent="0.2">
      <c r="B18" s="4" t="s">
        <v>60</v>
      </c>
      <c r="C18" s="99">
        <v>37</v>
      </c>
      <c r="D18" s="100">
        <v>5.11158</v>
      </c>
      <c r="E18" s="101">
        <v>0.43409739419999988</v>
      </c>
      <c r="G18" s="34"/>
    </row>
    <row r="19" spans="2:7" x14ac:dyDescent="0.2">
      <c r="B19" s="4" t="s">
        <v>61</v>
      </c>
      <c r="C19" s="99">
        <v>693</v>
      </c>
      <c r="D19" s="100">
        <v>0.15366000000000002</v>
      </c>
      <c r="E19" s="101">
        <v>6.3932333400000013E-2</v>
      </c>
      <c r="G19" s="34"/>
    </row>
    <row r="20" spans="2:7" x14ac:dyDescent="0.2">
      <c r="B20" s="4" t="s">
        <v>62</v>
      </c>
      <c r="C20" s="99">
        <v>113344</v>
      </c>
      <c r="D20" s="100">
        <v>2237.1731773805627</v>
      </c>
      <c r="E20" s="101">
        <v>195.81942675688376</v>
      </c>
      <c r="G20" s="34"/>
    </row>
    <row r="21" spans="2:7" x14ac:dyDescent="0.2">
      <c r="B21" s="4" t="s">
        <v>63</v>
      </c>
      <c r="C21" s="99">
        <v>10588</v>
      </c>
      <c r="D21" s="100">
        <v>3695.2588557477102</v>
      </c>
      <c r="E21" s="101">
        <v>311.65584468879752</v>
      </c>
      <c r="G21" s="34"/>
    </row>
    <row r="22" spans="2:7" x14ac:dyDescent="0.2">
      <c r="B22" s="4" t="s">
        <v>64</v>
      </c>
      <c r="C22" s="99">
        <v>400</v>
      </c>
      <c r="D22" s="100">
        <v>1679.3258089021394</v>
      </c>
      <c r="E22" s="101">
        <v>93.899560389319532</v>
      </c>
      <c r="G22" s="34"/>
    </row>
    <row r="23" spans="2:7" x14ac:dyDescent="0.2">
      <c r="B23" s="4" t="s">
        <v>65</v>
      </c>
      <c r="C23" s="99">
        <v>1</v>
      </c>
      <c r="D23" s="100">
        <v>6.058689152868368</v>
      </c>
      <c r="E23" s="101">
        <v>0.4069436849973454</v>
      </c>
      <c r="G23" s="34"/>
    </row>
    <row r="24" spans="2:7" x14ac:dyDescent="0.2">
      <c r="B24" s="7" t="s">
        <v>56</v>
      </c>
      <c r="C24" s="8">
        <f>SUM(C15:C23)</f>
        <v>125075</v>
      </c>
      <c r="D24" s="9">
        <f t="shared" ref="D24:E24" si="1">SUM(D15:D23)</f>
        <v>7634.4255031832799</v>
      </c>
      <c r="E24" s="22">
        <f t="shared" si="1"/>
        <v>603.23890007607815</v>
      </c>
    </row>
    <row r="25" spans="2:7" x14ac:dyDescent="0.2">
      <c r="B25" s="1"/>
      <c r="C25" s="2"/>
      <c r="D25" s="3"/>
      <c r="E25" s="21"/>
    </row>
    <row r="26" spans="2:7" x14ac:dyDescent="0.2">
      <c r="B26" s="4" t="s">
        <v>66</v>
      </c>
      <c r="C26" s="99">
        <v>113</v>
      </c>
      <c r="D26" s="100">
        <v>3.6278302895549395</v>
      </c>
      <c r="E26" s="101">
        <v>0.31329538116449684</v>
      </c>
      <c r="G26" s="34"/>
    </row>
    <row r="27" spans="2:7" x14ac:dyDescent="0.2">
      <c r="B27" s="4" t="s">
        <v>67</v>
      </c>
      <c r="C27" s="99">
        <v>231</v>
      </c>
      <c r="D27" s="100">
        <v>108.62744704606504</v>
      </c>
      <c r="E27" s="101">
        <v>9.2490644441852066</v>
      </c>
      <c r="G27" s="34"/>
    </row>
    <row r="28" spans="2:7" x14ac:dyDescent="0.2">
      <c r="B28" s="4" t="s">
        <v>68</v>
      </c>
      <c r="C28" s="99">
        <v>216</v>
      </c>
      <c r="D28" s="100">
        <v>969.04059549796705</v>
      </c>
      <c r="E28" s="101">
        <v>57.951620953683943</v>
      </c>
      <c r="G28" s="34"/>
    </row>
    <row r="29" spans="2:7" x14ac:dyDescent="0.2">
      <c r="B29" s="4" t="s">
        <v>69</v>
      </c>
      <c r="C29" s="99">
        <v>1</v>
      </c>
      <c r="D29" s="100">
        <v>64.792428988055747</v>
      </c>
      <c r="E29" s="101">
        <v>1.0988640000000001</v>
      </c>
      <c r="G29" s="34"/>
    </row>
    <row r="30" spans="2:7" x14ac:dyDescent="0.2">
      <c r="B30" s="4" t="s">
        <v>70</v>
      </c>
      <c r="C30" s="99">
        <v>2</v>
      </c>
      <c r="D30" s="100">
        <v>4.4336741250730203</v>
      </c>
      <c r="E30" s="101">
        <v>0.1371508996558026</v>
      </c>
      <c r="G30" s="34"/>
    </row>
    <row r="31" spans="2:7" x14ac:dyDescent="0.2">
      <c r="B31" s="4" t="s">
        <v>71</v>
      </c>
      <c r="C31" s="99">
        <v>14</v>
      </c>
      <c r="D31" s="100">
        <v>297.05609140832462</v>
      </c>
      <c r="E31" s="101">
        <v>16.556493319561497</v>
      </c>
      <c r="G31" s="34"/>
    </row>
    <row r="32" spans="2:7" x14ac:dyDescent="0.2">
      <c r="B32" s="4" t="s">
        <v>72</v>
      </c>
      <c r="C32" s="99">
        <v>2</v>
      </c>
      <c r="D32" s="100">
        <v>11.614126004174347</v>
      </c>
      <c r="E32" s="101">
        <v>0.42451775488812044</v>
      </c>
      <c r="G32" s="34"/>
    </row>
    <row r="33" spans="2:7" x14ac:dyDescent="0.2">
      <c r="B33" s="7" t="s">
        <v>56</v>
      </c>
      <c r="C33" s="8">
        <f>SUM(C26:C32)</f>
        <v>579</v>
      </c>
      <c r="D33" s="9">
        <v>1459.1921933592146</v>
      </c>
      <c r="E33" s="22">
        <v>85.73100675313907</v>
      </c>
      <c r="G33" s="34"/>
    </row>
    <row r="34" spans="2:7" x14ac:dyDescent="0.2">
      <c r="B34" s="1"/>
      <c r="C34" s="5"/>
      <c r="D34" s="6"/>
      <c r="E34" s="21"/>
      <c r="G34" s="34"/>
    </row>
    <row r="35" spans="2:7" x14ac:dyDescent="0.2">
      <c r="B35" s="11" t="s">
        <v>73</v>
      </c>
      <c r="C35" s="5"/>
      <c r="D35" s="100">
        <v>2.3910223598225008E-3</v>
      </c>
      <c r="E35" s="101">
        <v>7.7880000000000007E-4</v>
      </c>
    </row>
    <row r="36" spans="2:7" x14ac:dyDescent="0.2">
      <c r="B36" s="11" t="s">
        <v>74</v>
      </c>
      <c r="C36" s="5"/>
      <c r="D36" s="100">
        <v>3.0597219113238148</v>
      </c>
      <c r="E36" s="101">
        <v>0.75923423999999995</v>
      </c>
    </row>
    <row r="37" spans="2:7" x14ac:dyDescent="0.2">
      <c r="B37" s="11" t="s">
        <v>75</v>
      </c>
      <c r="C37" s="5"/>
      <c r="D37" s="100">
        <v>31.916672859683249</v>
      </c>
      <c r="E37" s="101">
        <v>6.274782000000001</v>
      </c>
    </row>
    <row r="38" spans="2:7" x14ac:dyDescent="0.2">
      <c r="B38" s="11" t="s">
        <v>76</v>
      </c>
      <c r="C38" s="5"/>
      <c r="D38" s="100">
        <v>0.38364488902181981</v>
      </c>
      <c r="E38" s="101">
        <v>5.7754800000000002E-2</v>
      </c>
    </row>
    <row r="39" spans="2:7" x14ac:dyDescent="0.2">
      <c r="B39" s="11" t="s">
        <v>77</v>
      </c>
      <c r="C39" s="5"/>
      <c r="D39" s="100">
        <v>17.240800497656974</v>
      </c>
      <c r="E39" s="101">
        <v>2.6919321599999999</v>
      </c>
    </row>
    <row r="40" spans="2:7" x14ac:dyDescent="0.2">
      <c r="B40" s="11" t="s">
        <v>78</v>
      </c>
      <c r="C40" s="5"/>
      <c r="D40" s="100">
        <v>0.86427679485415998</v>
      </c>
      <c r="E40" s="101">
        <v>0.11924063999999997</v>
      </c>
    </row>
    <row r="41" spans="2:7" x14ac:dyDescent="0.2">
      <c r="B41" s="11" t="s">
        <v>79</v>
      </c>
      <c r="C41" s="5"/>
      <c r="D41" s="100">
        <v>2.0268101822917717</v>
      </c>
      <c r="E41" s="101">
        <v>0.24755711999999996</v>
      </c>
    </row>
    <row r="42" spans="2:7" x14ac:dyDescent="0.2">
      <c r="B42" s="11" t="s">
        <v>80</v>
      </c>
      <c r="C42" s="5"/>
      <c r="D42" s="100">
        <v>7.6077984176170484E-3</v>
      </c>
      <c r="E42" s="101">
        <v>3.7590000000000006E-3</v>
      </c>
    </row>
    <row r="43" spans="2:7" x14ac:dyDescent="0.2">
      <c r="B43" s="11" t="s">
        <v>81</v>
      </c>
      <c r="C43" s="5"/>
      <c r="D43" s="100">
        <v>17.51019159141471</v>
      </c>
      <c r="E43" s="101">
        <v>6.4074254400000017</v>
      </c>
    </row>
    <row r="44" spans="2:7" x14ac:dyDescent="0.2">
      <c r="B44" s="11" t="s">
        <v>82</v>
      </c>
      <c r="C44" s="5"/>
      <c r="D44" s="100">
        <v>112.78716178871106</v>
      </c>
      <c r="E44" s="101">
        <v>31.766762399999994</v>
      </c>
    </row>
    <row r="45" spans="2:7" x14ac:dyDescent="0.2">
      <c r="B45" s="11" t="s">
        <v>83</v>
      </c>
      <c r="C45" s="5"/>
      <c r="D45" s="100">
        <v>0.46288957101649075</v>
      </c>
      <c r="E45" s="101">
        <v>9.6180480000000013E-2</v>
      </c>
    </row>
    <row r="46" spans="2:7" x14ac:dyDescent="0.2">
      <c r="B46" s="11" t="s">
        <v>84</v>
      </c>
      <c r="C46" s="5"/>
      <c r="D46" s="100">
        <v>34.113383551901272</v>
      </c>
      <c r="E46" s="101">
        <v>5.7643958399999997</v>
      </c>
    </row>
    <row r="47" spans="2:7" x14ac:dyDescent="0.2">
      <c r="B47" s="11" t="s">
        <v>85</v>
      </c>
      <c r="C47" s="5"/>
      <c r="D47" s="100">
        <v>0.16103816955057407</v>
      </c>
      <c r="E47" s="101">
        <v>2.3885759999999995E-2</v>
      </c>
    </row>
    <row r="48" spans="2:7" x14ac:dyDescent="0.2">
      <c r="B48" s="11" t="s">
        <v>86</v>
      </c>
      <c r="C48" s="5"/>
      <c r="D48" s="100">
        <v>0.33311343954660472</v>
      </c>
      <c r="E48" s="101">
        <v>5.1053040000000015E-2</v>
      </c>
    </row>
    <row r="49" spans="2:7" x14ac:dyDescent="0.2">
      <c r="B49" s="11" t="s">
        <v>87</v>
      </c>
      <c r="C49" s="5"/>
      <c r="D49" s="100">
        <v>19.449865724883271</v>
      </c>
      <c r="E49" s="101">
        <v>2.42501364</v>
      </c>
    </row>
    <row r="50" spans="2:7" x14ac:dyDescent="0.2">
      <c r="B50" s="11" t="s">
        <v>88</v>
      </c>
      <c r="C50" s="5"/>
      <c r="D50" s="100">
        <v>3.6548327017425248</v>
      </c>
      <c r="E50" s="101">
        <v>0.54390960000000022</v>
      </c>
    </row>
    <row r="51" spans="2:7" x14ac:dyDescent="0.2">
      <c r="B51" s="11" t="s">
        <v>89</v>
      </c>
      <c r="C51" s="5"/>
      <c r="D51" s="100">
        <v>3.7037454941795032</v>
      </c>
      <c r="E51" s="101">
        <v>0.74772828000000002</v>
      </c>
    </row>
    <row r="52" spans="2:7" x14ac:dyDescent="0.2">
      <c r="B52" s="11" t="s">
        <v>90</v>
      </c>
      <c r="C52" s="5"/>
      <c r="D52" s="100">
        <v>6.6644093462519165E-3</v>
      </c>
      <c r="E52" s="101">
        <v>1.20144E-3</v>
      </c>
    </row>
    <row r="53" spans="2:7" x14ac:dyDescent="0.2">
      <c r="B53" s="11" t="s">
        <v>91</v>
      </c>
      <c r="C53" s="5"/>
      <c r="D53" s="100">
        <v>4.4931580217914133</v>
      </c>
      <c r="E53" s="101">
        <v>0.4993104000000001</v>
      </c>
    </row>
    <row r="54" spans="2:7" x14ac:dyDescent="0.2">
      <c r="B54" s="11" t="s">
        <v>92</v>
      </c>
      <c r="C54" s="5"/>
      <c r="D54" s="100">
        <v>8.5217978851168201</v>
      </c>
      <c r="E54" s="101">
        <v>0.83860128000000012</v>
      </c>
    </row>
    <row r="55" spans="2:7" x14ac:dyDescent="0.2">
      <c r="B55" s="11" t="s">
        <v>93</v>
      </c>
      <c r="C55" s="5"/>
      <c r="D55" s="100">
        <v>0.94722883039244155</v>
      </c>
      <c r="E55" s="101">
        <v>8.7354720000000011E-2</v>
      </c>
    </row>
    <row r="56" spans="2:7" ht="15" customHeight="1" x14ac:dyDescent="0.2">
      <c r="B56" s="11" t="s">
        <v>94</v>
      </c>
      <c r="C56" s="5"/>
      <c r="D56" s="100">
        <v>0.80972573556960792</v>
      </c>
      <c r="E56" s="101">
        <v>7.0450560000000009E-2</v>
      </c>
    </row>
    <row r="57" spans="2:7" x14ac:dyDescent="0.2">
      <c r="B57" s="12" t="s">
        <v>95</v>
      </c>
      <c r="C57" s="13">
        <v>150</v>
      </c>
      <c r="D57" s="14">
        <f>SUM(D35:D56)</f>
        <v>262.45672287077173</v>
      </c>
      <c r="E57" s="23">
        <f>SUM(E35:E56)</f>
        <v>59.478311639999994</v>
      </c>
    </row>
    <row r="58" spans="2:7" x14ac:dyDescent="0.2">
      <c r="B58" s="25"/>
      <c r="C58" s="5"/>
      <c r="D58" s="26"/>
      <c r="E58" s="21"/>
    </row>
    <row r="59" spans="2:7" x14ac:dyDescent="0.2">
      <c r="B59" s="4" t="s">
        <v>96</v>
      </c>
      <c r="C59" s="99">
        <v>1</v>
      </c>
      <c r="D59" s="100">
        <v>3.3564790118043593E-2</v>
      </c>
      <c r="E59" s="101">
        <v>2.3431200000000002E-3</v>
      </c>
      <c r="G59" s="34"/>
    </row>
    <row r="60" spans="2:7" x14ac:dyDescent="0.2">
      <c r="B60" s="4" t="s">
        <v>97</v>
      </c>
      <c r="C60" s="99">
        <v>2</v>
      </c>
      <c r="D60" s="100">
        <v>3.1435268588529325E-2</v>
      </c>
      <c r="E60" s="101">
        <v>8.8799999999999979E-4</v>
      </c>
      <c r="G60" s="34"/>
    </row>
    <row r="61" spans="2:7" x14ac:dyDescent="0.2">
      <c r="B61" s="4" t="s">
        <v>98</v>
      </c>
      <c r="C61" s="99">
        <v>23</v>
      </c>
      <c r="D61" s="100">
        <v>3.1091575656600652</v>
      </c>
      <c r="E61" s="101">
        <v>0.2927649426892972</v>
      </c>
      <c r="G61" s="34"/>
    </row>
    <row r="62" spans="2:7" x14ac:dyDescent="0.2">
      <c r="B62" s="4" t="s">
        <v>99</v>
      </c>
      <c r="C62" s="99">
        <v>225</v>
      </c>
      <c r="D62" s="100">
        <v>2.8801728574882861</v>
      </c>
      <c r="E62" s="101">
        <v>0.23754864658401381</v>
      </c>
      <c r="G62" s="34"/>
    </row>
    <row r="63" spans="2:7" x14ac:dyDescent="0.2">
      <c r="B63" s="4" t="s">
        <v>100</v>
      </c>
      <c r="C63" s="99">
        <v>80</v>
      </c>
      <c r="D63" s="100">
        <v>0.75771244805597937</v>
      </c>
      <c r="E63" s="101">
        <v>3.9116796772455303E-2</v>
      </c>
      <c r="G63" s="34"/>
    </row>
    <row r="64" spans="2:7" x14ac:dyDescent="0.2">
      <c r="B64" s="4" t="s">
        <v>101</v>
      </c>
      <c r="C64" s="99">
        <v>685</v>
      </c>
      <c r="D64" s="100">
        <v>1.5194131331775194</v>
      </c>
      <c r="E64" s="101">
        <v>9.0086004666095135E-2</v>
      </c>
      <c r="G64" s="34"/>
    </row>
    <row r="65" spans="2:7" x14ac:dyDescent="0.2">
      <c r="B65" s="191" t="s">
        <v>102</v>
      </c>
      <c r="C65" s="102">
        <v>1035</v>
      </c>
      <c r="D65" s="100">
        <v>13.869595664257442</v>
      </c>
      <c r="E65" s="101">
        <v>6.2094999999999997E-2</v>
      </c>
      <c r="G65" s="34"/>
    </row>
    <row r="66" spans="2:7" x14ac:dyDescent="0.2">
      <c r="B66" s="7" t="s">
        <v>56</v>
      </c>
      <c r="C66" s="8">
        <f>SUM(C59:C65)</f>
        <v>2051</v>
      </c>
      <c r="D66" s="15">
        <f t="shared" ref="D66:E66" si="2">SUM(D59:D65)</f>
        <v>22.201051727345863</v>
      </c>
      <c r="E66" s="22">
        <f t="shared" si="2"/>
        <v>0.72484251071186145</v>
      </c>
    </row>
    <row r="67" spans="2:7" x14ac:dyDescent="0.2">
      <c r="B67" s="1"/>
      <c r="C67" s="5"/>
      <c r="D67" s="6"/>
      <c r="E67" s="21"/>
    </row>
    <row r="68" spans="2:7" x14ac:dyDescent="0.2">
      <c r="B68" s="16" t="s">
        <v>103</v>
      </c>
      <c r="C68" s="103">
        <v>2</v>
      </c>
      <c r="D68" s="104">
        <v>38.293598199999998</v>
      </c>
      <c r="E68" s="105">
        <v>2.2577619139080003</v>
      </c>
    </row>
    <row r="69" spans="2:7" x14ac:dyDescent="0.2">
      <c r="B69" s="1"/>
      <c r="C69" s="99"/>
      <c r="D69" s="100"/>
      <c r="E69" s="101"/>
    </row>
    <row r="70" spans="2:7" x14ac:dyDescent="0.2">
      <c r="B70" s="1"/>
      <c r="C70" s="99"/>
      <c r="D70" s="106"/>
      <c r="E70" s="101"/>
    </row>
    <row r="71" spans="2:7" x14ac:dyDescent="0.2">
      <c r="B71" s="16" t="s">
        <v>104</v>
      </c>
      <c r="C71" s="99">
        <v>1082</v>
      </c>
      <c r="D71" s="100">
        <v>23.109614930104854</v>
      </c>
      <c r="E71" s="105">
        <v>2.0174513654445589</v>
      </c>
    </row>
    <row r="72" spans="2:7" x14ac:dyDescent="0.2">
      <c r="B72" s="7"/>
      <c r="C72" s="8"/>
      <c r="D72" s="15"/>
      <c r="E72" s="22"/>
    </row>
    <row r="73" spans="2:7" ht="15.75" x14ac:dyDescent="0.25">
      <c r="B73" s="17" t="s">
        <v>56</v>
      </c>
      <c r="C73" s="18">
        <f>C13+C24+C33+C57+C66+C68+C71</f>
        <v>1469051</v>
      </c>
      <c r="D73" s="19">
        <f>D13+D24+D33+D57+D66+D68+D71</f>
        <v>15742.758123618649</v>
      </c>
      <c r="E73" s="24">
        <f>E13+E24+E33+E57+E66+E68+E71</f>
        <v>1143.2342911803491</v>
      </c>
    </row>
    <row r="74" spans="2:7" x14ac:dyDescent="0.2">
      <c r="E74" s="96"/>
    </row>
    <row r="75" spans="2:7" x14ac:dyDescent="0.2">
      <c r="E75" s="96"/>
    </row>
    <row r="76" spans="2:7" x14ac:dyDescent="0.2">
      <c r="C76" s="34"/>
      <c r="D76" s="34"/>
      <c r="E76" s="34"/>
    </row>
    <row r="77" spans="2:7" x14ac:dyDescent="0.2">
      <c r="C77" s="34"/>
      <c r="D77" s="34"/>
      <c r="E77" s="34"/>
    </row>
    <row r="78" spans="2:7" x14ac:dyDescent="0.2">
      <c r="C78" s="34"/>
      <c r="D78" s="34"/>
      <c r="E78" s="34"/>
    </row>
    <row r="79" spans="2:7" x14ac:dyDescent="0.2">
      <c r="C79" s="34"/>
      <c r="D79" s="34"/>
      <c r="E79" s="34"/>
    </row>
    <row r="82" spans="3:5" x14ac:dyDescent="0.2">
      <c r="C82" s="34"/>
      <c r="D82" s="34"/>
      <c r="E82" s="3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95A9A-FF4B-47AF-987D-D9CAC1E593CF}">
  <dimension ref="B4:M50"/>
  <sheetViews>
    <sheetView showGridLines="0" zoomScaleNormal="100" workbookViewId="0">
      <selection activeCell="D50" sqref="D49:D50"/>
    </sheetView>
  </sheetViews>
  <sheetFormatPr defaultColWidth="8.7109375" defaultRowHeight="15" x14ac:dyDescent="0.2"/>
  <cols>
    <col min="1" max="1" width="8.7109375" style="30"/>
    <col min="2" max="2" width="29.28515625" style="30" bestFit="1" customWidth="1"/>
    <col min="3" max="3" width="13" style="30" bestFit="1" customWidth="1"/>
    <col min="4" max="4" width="14" style="30" customWidth="1"/>
    <col min="5" max="5" width="17.7109375" style="30" customWidth="1"/>
    <col min="6" max="6" width="13.42578125" style="176" customWidth="1"/>
    <col min="7" max="7" width="17.5703125" style="30" bestFit="1" customWidth="1"/>
    <col min="8" max="8" width="16.7109375" style="30" customWidth="1"/>
    <col min="9" max="9" width="17.5703125" style="30" bestFit="1" customWidth="1"/>
    <col min="10" max="10" width="16.28515625" style="30" bestFit="1" customWidth="1"/>
    <col min="11" max="11" width="25.85546875" style="30" customWidth="1"/>
    <col min="12" max="12" width="12.140625" style="30" customWidth="1"/>
    <col min="13" max="13" width="13.5703125" style="30" customWidth="1"/>
    <col min="14" max="16384" width="8.7109375" style="30"/>
  </cols>
  <sheetData>
    <row r="4" spans="2:13" ht="23.25" x14ac:dyDescent="0.35">
      <c r="B4" s="110" t="s">
        <v>105</v>
      </c>
    </row>
    <row r="5" spans="2:13" ht="54.6" customHeight="1" thickBot="1" x14ac:dyDescent="0.3">
      <c r="B5" s="132" t="s">
        <v>37</v>
      </c>
      <c r="C5" s="133" t="s">
        <v>38</v>
      </c>
      <c r="D5" s="134" t="s">
        <v>39</v>
      </c>
      <c r="E5" s="135" t="s">
        <v>40</v>
      </c>
      <c r="F5" s="177" t="s">
        <v>106</v>
      </c>
      <c r="G5" s="136" t="s">
        <v>107</v>
      </c>
      <c r="H5" s="136" t="s">
        <v>108</v>
      </c>
      <c r="I5" s="136" t="s">
        <v>109</v>
      </c>
      <c r="K5" s="184" t="s">
        <v>41</v>
      </c>
      <c r="L5" s="185">
        <f>'Data Base'!J5</f>
        <v>307.47542199999998</v>
      </c>
      <c r="M5" s="184"/>
    </row>
    <row r="6" spans="2:13" x14ac:dyDescent="0.2">
      <c r="B6" s="1"/>
      <c r="C6" s="2"/>
      <c r="D6" s="3"/>
      <c r="E6" s="20"/>
      <c r="K6" s="184" t="s">
        <v>42</v>
      </c>
      <c r="L6" s="185">
        <f>'Data Base'!J6</f>
        <v>24.520767489999997</v>
      </c>
      <c r="M6" s="184" t="str">
        <f>'Data Base'!K6</f>
        <v>Actual</v>
      </c>
    </row>
    <row r="7" spans="2:13" x14ac:dyDescent="0.2">
      <c r="B7" s="4" t="s">
        <v>44</v>
      </c>
      <c r="C7" s="107">
        <f>'Data Base'!C7</f>
        <v>1098</v>
      </c>
      <c r="D7" s="108">
        <f>'Data Base'!D7</f>
        <v>9.731083367794243</v>
      </c>
      <c r="E7" s="109">
        <f>'Data Base'!E7</f>
        <v>0.56379755952255584</v>
      </c>
      <c r="F7" s="176">
        <f t="shared" ref="F7:F12" si="0">E7/$E$49</f>
        <v>5.2022555830481126E-4</v>
      </c>
      <c r="G7" s="97">
        <f>$L$11*F7*1000000/6</f>
        <v>18071.291266794389</v>
      </c>
      <c r="H7" s="33">
        <f>G7/C7</f>
        <v>16.458370916934779</v>
      </c>
      <c r="I7" s="33">
        <f>H7*C7*6</f>
        <v>108427.74760076634</v>
      </c>
      <c r="K7" s="184" t="s">
        <v>45</v>
      </c>
      <c r="L7" s="185">
        <f>'Data Base'!J7</f>
        <v>24.12527789</v>
      </c>
      <c r="M7" s="184" t="str">
        <f>'Data Base'!K7</f>
        <v>Actual</v>
      </c>
    </row>
    <row r="8" spans="2:13" x14ac:dyDescent="0.2">
      <c r="B8" s="4" t="s">
        <v>46</v>
      </c>
      <c r="C8" s="107">
        <f>'Data Base'!C8</f>
        <v>3279</v>
      </c>
      <c r="D8" s="108">
        <f>'Data Base'!D8</f>
        <v>7.6487764770606539</v>
      </c>
      <c r="E8" s="109">
        <f>'Data Base'!E8</f>
        <v>0.53622424311344585</v>
      </c>
      <c r="F8" s="176">
        <f t="shared" si="0"/>
        <v>4.9478319219135782E-4</v>
      </c>
      <c r="G8" s="97">
        <f t="shared" ref="G8:G12" si="1">$L$11*F8*1000000/6</f>
        <v>17187.489228980547</v>
      </c>
      <c r="H8" s="33">
        <f t="shared" ref="H8:H12" si="2">G8/C8</f>
        <v>5.2416862546448755</v>
      </c>
      <c r="I8" s="33">
        <f t="shared" ref="I8:I12" si="3">H8*C8*6</f>
        <v>103124.93537388329</v>
      </c>
      <c r="K8" s="184" t="s">
        <v>47</v>
      </c>
      <c r="L8" s="185">
        <f>'Data Base'!J8</f>
        <v>25.823086282409086</v>
      </c>
      <c r="M8" s="184" t="str">
        <f>'Data Base'!K8</f>
        <v>Forecast</v>
      </c>
    </row>
    <row r="9" spans="2:13" ht="15.75" thickBot="1" x14ac:dyDescent="0.25">
      <c r="B9" s="4" t="s">
        <v>49</v>
      </c>
      <c r="C9" s="107">
        <f>'Data Base'!C9</f>
        <v>99890</v>
      </c>
      <c r="D9" s="108">
        <f>'Data Base'!D9</f>
        <v>214.2907591913127</v>
      </c>
      <c r="E9" s="109">
        <f>'Data Base'!E9</f>
        <v>15.389822866026661</v>
      </c>
      <c r="F9" s="176">
        <f t="shared" si="0"/>
        <v>1.4200450245777567E-2</v>
      </c>
      <c r="G9" s="97">
        <f t="shared" si="1"/>
        <v>493286.93758777017</v>
      </c>
      <c r="H9" s="33">
        <f t="shared" si="2"/>
        <v>4.9383015075359911</v>
      </c>
      <c r="I9" s="33">
        <f t="shared" si="3"/>
        <v>2959721.625526621</v>
      </c>
      <c r="K9" s="184" t="s">
        <v>50</v>
      </c>
      <c r="L9" s="186">
        <f>'Data Base'!J9</f>
        <v>24.581798557361601</v>
      </c>
      <c r="M9" s="184" t="str">
        <f>'Data Base'!K9</f>
        <v>Forecast</v>
      </c>
    </row>
    <row r="10" spans="2:13" ht="15.75" thickTop="1" x14ac:dyDescent="0.2">
      <c r="B10" s="4" t="s">
        <v>51</v>
      </c>
      <c r="C10" s="107">
        <f>'Data Base'!C10</f>
        <v>37579</v>
      </c>
      <c r="D10" s="108">
        <f>'Data Base'!D10</f>
        <v>268.84408060927638</v>
      </c>
      <c r="E10" s="109">
        <f>'Data Base'!E10</f>
        <v>15.734651323483126</v>
      </c>
      <c r="F10" s="176">
        <f t="shared" si="0"/>
        <v>1.4518629304501393E-2</v>
      </c>
      <c r="G10" s="97">
        <f t="shared" si="1"/>
        <v>504339.65568937449</v>
      </c>
      <c r="H10" s="33">
        <f t="shared" si="2"/>
        <v>13.420784365985643</v>
      </c>
      <c r="I10" s="33">
        <f t="shared" si="3"/>
        <v>3026037.9341362468</v>
      </c>
      <c r="K10" s="184" t="s">
        <v>52</v>
      </c>
      <c r="L10" s="185">
        <f>SUM(L6:L9)</f>
        <v>99.050930219770692</v>
      </c>
      <c r="M10" s="184"/>
    </row>
    <row r="11" spans="2:13" x14ac:dyDescent="0.2">
      <c r="B11" s="4" t="s">
        <v>53</v>
      </c>
      <c r="C11" s="107">
        <f>'Data Base'!C11</f>
        <v>235650</v>
      </c>
      <c r="D11" s="108">
        <f>'Data Base'!D11</f>
        <v>833.19415631304491</v>
      </c>
      <c r="E11" s="109">
        <f>'Data Base'!E11</f>
        <v>53.712439068081061</v>
      </c>
      <c r="F11" s="176">
        <f t="shared" si="0"/>
        <v>4.9561377359931137E-2</v>
      </c>
      <c r="G11" s="97">
        <f t="shared" si="1"/>
        <v>1721634.1480286347</v>
      </c>
      <c r="H11" s="33">
        <f t="shared" si="2"/>
        <v>7.305894962990175</v>
      </c>
      <c r="I11" s="33">
        <f t="shared" si="3"/>
        <v>10329804.888171809</v>
      </c>
      <c r="K11" s="184" t="s">
        <v>54</v>
      </c>
      <c r="L11" s="185">
        <f>L5-L10</f>
        <v>208.42449178022929</v>
      </c>
      <c r="M11" s="184"/>
    </row>
    <row r="12" spans="2:13" x14ac:dyDescent="0.2">
      <c r="B12" s="4" t="s">
        <v>55</v>
      </c>
      <c r="C12" s="107">
        <f>'Data Base'!C12</f>
        <v>962616</v>
      </c>
      <c r="D12" s="108">
        <f>'Data Base'!D12</f>
        <v>4969.3705833894428</v>
      </c>
      <c r="E12" s="109">
        <f>'Data Base'!E12</f>
        <v>303.84908186084073</v>
      </c>
      <c r="F12" s="176">
        <f t="shared" si="0"/>
        <v>0.28036669471453479</v>
      </c>
      <c r="G12" s="97">
        <f t="shared" si="1"/>
        <v>9739214.3096632678</v>
      </c>
      <c r="H12" s="33">
        <f t="shared" si="2"/>
        <v>10.117444868632214</v>
      </c>
      <c r="I12" s="33">
        <f t="shared" si="3"/>
        <v>58435285.857979611</v>
      </c>
    </row>
    <row r="13" spans="2:13" x14ac:dyDescent="0.2">
      <c r="B13" s="7" t="s">
        <v>56</v>
      </c>
      <c r="C13" s="8">
        <f>SUM(C7:C12)</f>
        <v>1340112</v>
      </c>
      <c r="D13" s="9">
        <f t="shared" ref="D13:E13" si="4">SUM(D7:D12)</f>
        <v>6303.0794393479318</v>
      </c>
      <c r="E13" s="22">
        <f t="shared" si="4"/>
        <v>389.78601692106758</v>
      </c>
      <c r="F13" s="178">
        <f>SUM(F7:F12)</f>
        <v>0.35966216037524107</v>
      </c>
      <c r="G13" s="169">
        <f>SUM(G7:G12)</f>
        <v>12493733.831464823</v>
      </c>
      <c r="H13" s="168"/>
      <c r="I13" s="168">
        <f>SUM(I7:I12)</f>
        <v>74962402.988788933</v>
      </c>
    </row>
    <row r="14" spans="2:13" x14ac:dyDescent="0.2">
      <c r="B14" s="1"/>
      <c r="C14" s="94"/>
      <c r="D14" s="95"/>
      <c r="E14" s="21"/>
      <c r="G14" s="92"/>
      <c r="H14" s="33"/>
      <c r="I14" s="33"/>
    </row>
    <row r="15" spans="2:13" x14ac:dyDescent="0.2">
      <c r="B15" s="10" t="s">
        <v>57</v>
      </c>
      <c r="C15" s="107">
        <f>'Data Base'!C15</f>
        <v>1</v>
      </c>
      <c r="D15" s="108">
        <f>'Data Base'!D15</f>
        <v>1.8000000000000004E-4</v>
      </c>
      <c r="E15" s="109">
        <f>'Data Base'!E15</f>
        <v>1.8120000000000003E-5</v>
      </c>
      <c r="F15" s="176">
        <f t="shared" ref="F15:F24" si="5">E15/$E$49</f>
        <v>1.6719630933602962E-8</v>
      </c>
      <c r="G15" s="97">
        <f>$L$11*F15*1000000/6</f>
        <v>0.58079676334819974</v>
      </c>
      <c r="H15" s="33">
        <f t="shared" ref="H15:H23" si="6">G15/C15</f>
        <v>0.58079676334819974</v>
      </c>
      <c r="I15" s="33">
        <f t="shared" ref="I15:I23" si="7">H15*C15*6</f>
        <v>3.4847805800891987</v>
      </c>
    </row>
    <row r="16" spans="2:13" x14ac:dyDescent="0.2">
      <c r="B16" s="4" t="s">
        <v>58</v>
      </c>
      <c r="C16" s="107">
        <f>'Data Base'!C16</f>
        <v>10</v>
      </c>
      <c r="D16" s="108">
        <f>'Data Base'!D16</f>
        <v>4.9200000000000008</v>
      </c>
      <c r="E16" s="109">
        <f>'Data Base'!E16</f>
        <v>0.41629079999999985</v>
      </c>
      <c r="F16" s="176">
        <f t="shared" si="5"/>
        <v>3.8411857268511702E-4</v>
      </c>
      <c r="G16" s="97">
        <f t="shared" ref="G16:G23" si="8">$L$11*F16*1000000/6</f>
        <v>13343.286382540429</v>
      </c>
      <c r="H16" s="33">
        <f t="shared" si="6"/>
        <v>1334.328638254043</v>
      </c>
      <c r="I16" s="33">
        <f t="shared" si="7"/>
        <v>80059.718295242579</v>
      </c>
    </row>
    <row r="17" spans="2:9" x14ac:dyDescent="0.2">
      <c r="B17" s="4" t="s">
        <v>59</v>
      </c>
      <c r="C17" s="107">
        <f>'Data Base'!C17</f>
        <v>1</v>
      </c>
      <c r="D17" s="108">
        <f>'Data Base'!D17</f>
        <v>6.4235519999999982</v>
      </c>
      <c r="E17" s="109">
        <f>'Data Base'!E17</f>
        <v>0.54278590848000008</v>
      </c>
      <c r="F17" s="176">
        <f t="shared" si="5"/>
        <v>5.0083775197273697E-4</v>
      </c>
      <c r="G17" s="97">
        <f t="shared" si="8"/>
        <v>17397.808986545038</v>
      </c>
      <c r="H17" s="33">
        <f t="shared" si="6"/>
        <v>17397.808986545038</v>
      </c>
      <c r="I17" s="33">
        <f t="shared" si="7"/>
        <v>104386.85391927023</v>
      </c>
    </row>
    <row r="18" spans="2:9" ht="16.149999999999999" customHeight="1" x14ac:dyDescent="0.2">
      <c r="B18" s="4" t="s">
        <v>60</v>
      </c>
      <c r="C18" s="107">
        <f>'Data Base'!C18</f>
        <v>37</v>
      </c>
      <c r="D18" s="108">
        <f>'Data Base'!D18</f>
        <v>5.11158</v>
      </c>
      <c r="E18" s="109">
        <f>'Data Base'!E18</f>
        <v>0.43409739419999988</v>
      </c>
      <c r="F18" s="176">
        <f t="shared" si="5"/>
        <v>4.0054901877829781E-4</v>
      </c>
      <c r="G18" s="97">
        <f t="shared" si="8"/>
        <v>13914.037611989372</v>
      </c>
      <c r="H18" s="33">
        <f t="shared" si="6"/>
        <v>376.05507059430732</v>
      </c>
      <c r="I18" s="33">
        <f t="shared" si="7"/>
        <v>83484.225671936234</v>
      </c>
    </row>
    <row r="19" spans="2:9" x14ac:dyDescent="0.2">
      <c r="B19" s="4" t="s">
        <v>61</v>
      </c>
      <c r="C19" s="107">
        <f>'Data Base'!C19</f>
        <v>693</v>
      </c>
      <c r="D19" s="108">
        <f>'Data Base'!D19</f>
        <v>0.15366000000000002</v>
      </c>
      <c r="E19" s="109">
        <f>'Data Base'!E19</f>
        <v>6.3932333400000013E-2</v>
      </c>
      <c r="F19" s="176">
        <f t="shared" si="5"/>
        <v>5.8991446974175383E-5</v>
      </c>
      <c r="G19" s="97">
        <f t="shared" si="8"/>
        <v>2049.2103924954749</v>
      </c>
      <c r="H19" s="33">
        <f t="shared" si="6"/>
        <v>2.9570135533845239</v>
      </c>
      <c r="I19" s="33">
        <f t="shared" si="7"/>
        <v>12295.262354972849</v>
      </c>
    </row>
    <row r="20" spans="2:9" x14ac:dyDescent="0.2">
      <c r="B20" s="4" t="s">
        <v>62</v>
      </c>
      <c r="C20" s="107">
        <f>'Data Base'!C20</f>
        <v>113344</v>
      </c>
      <c r="D20" s="108">
        <f>'Data Base'!D20</f>
        <v>2237.1731773805627</v>
      </c>
      <c r="E20" s="109">
        <f>'Data Base'!E20</f>
        <v>195.81942675688376</v>
      </c>
      <c r="F20" s="176">
        <f t="shared" si="5"/>
        <v>0.18068590204220711</v>
      </c>
      <c r="G20" s="97">
        <f t="shared" si="8"/>
        <v>6276561.2174998848</v>
      </c>
      <c r="H20" s="33">
        <f t="shared" si="6"/>
        <v>55.37621062870452</v>
      </c>
      <c r="I20" s="33">
        <f t="shared" si="7"/>
        <v>37659367.304999307</v>
      </c>
    </row>
    <row r="21" spans="2:9" x14ac:dyDescent="0.2">
      <c r="B21" s="4" t="s">
        <v>63</v>
      </c>
      <c r="C21" s="107">
        <f>'Data Base'!C21</f>
        <v>10588</v>
      </c>
      <c r="D21" s="108">
        <f>'Data Base'!D21</f>
        <v>3695.2588557477102</v>
      </c>
      <c r="E21" s="109">
        <f>'Data Base'!E21</f>
        <v>311.65584468879752</v>
      </c>
      <c r="F21" s="176">
        <f t="shared" si="5"/>
        <v>0.28757012701418205</v>
      </c>
      <c r="G21" s="97">
        <f t="shared" si="8"/>
        <v>9989442.9290178139</v>
      </c>
      <c r="H21" s="33">
        <f t="shared" si="6"/>
        <v>943.46835370398696</v>
      </c>
      <c r="I21" s="33">
        <f t="shared" si="7"/>
        <v>59936657.574106887</v>
      </c>
    </row>
    <row r="22" spans="2:9" x14ac:dyDescent="0.2">
      <c r="B22" s="4" t="s">
        <v>64</v>
      </c>
      <c r="C22" s="107">
        <f>'Data Base'!C22</f>
        <v>400</v>
      </c>
      <c r="D22" s="108">
        <f>'Data Base'!D22</f>
        <v>1679.3258089021394</v>
      </c>
      <c r="E22" s="109">
        <f>'Data Base'!E22</f>
        <v>93.899560389319532</v>
      </c>
      <c r="F22" s="176">
        <f t="shared" si="5"/>
        <v>8.6642714930297238E-2</v>
      </c>
      <c r="G22" s="97">
        <f t="shared" si="8"/>
        <v>3009743.9709677477</v>
      </c>
      <c r="H22" s="33">
        <f t="shared" si="6"/>
        <v>7524.3599274193693</v>
      </c>
      <c r="I22" s="33">
        <f t="shared" si="7"/>
        <v>18058463.825806487</v>
      </c>
    </row>
    <row r="23" spans="2:9" x14ac:dyDescent="0.2">
      <c r="B23" s="4" t="s">
        <v>65</v>
      </c>
      <c r="C23" s="107">
        <f>'Data Base'!C23</f>
        <v>1</v>
      </c>
      <c r="D23" s="108">
        <f>'Data Base'!D23</f>
        <v>6.058689152868368</v>
      </c>
      <c r="E23" s="109">
        <f>'Data Base'!E23</f>
        <v>0.4069436849973454</v>
      </c>
      <c r="F23" s="176">
        <f t="shared" si="5"/>
        <v>3.7549383134194235E-4</v>
      </c>
      <c r="G23" s="97">
        <f t="shared" si="8"/>
        <v>13043.68516067591</v>
      </c>
      <c r="H23" s="33">
        <f t="shared" si="6"/>
        <v>13043.68516067591</v>
      </c>
      <c r="I23" s="33">
        <f t="shared" si="7"/>
        <v>78262.110964055464</v>
      </c>
    </row>
    <row r="24" spans="2:9" x14ac:dyDescent="0.2">
      <c r="B24" s="7" t="s">
        <v>56</v>
      </c>
      <c r="C24" s="8">
        <f>SUM(C15:C23)</f>
        <v>125075</v>
      </c>
      <c r="D24" s="9">
        <f t="shared" ref="D24:E24" si="9">SUM(D15:D23)</f>
        <v>7634.4255031832799</v>
      </c>
      <c r="E24" s="22">
        <f t="shared" si="9"/>
        <v>603.23890007607815</v>
      </c>
      <c r="F24" s="178">
        <f t="shared" si="5"/>
        <v>0.55661875132806959</v>
      </c>
      <c r="G24" s="169">
        <f>((F24*$L$11)/6)*1000000</f>
        <v>19335496.726816457</v>
      </c>
      <c r="H24" s="168"/>
      <c r="I24" s="168">
        <f>SUM(I15:I23)</f>
        <v>116012980.36089875</v>
      </c>
    </row>
    <row r="25" spans="2:9" x14ac:dyDescent="0.2">
      <c r="B25" s="1"/>
      <c r="C25" s="2"/>
      <c r="D25" s="3"/>
      <c r="E25" s="21"/>
    </row>
    <row r="26" spans="2:9" x14ac:dyDescent="0.2">
      <c r="B26" s="4" t="s">
        <v>66</v>
      </c>
      <c r="C26" s="107">
        <f>'Data Base'!C26</f>
        <v>113</v>
      </c>
      <c r="D26" s="108">
        <f>'Data Base'!D26</f>
        <v>3.6278302895549395</v>
      </c>
      <c r="E26" s="109">
        <f>'Data Base'!E26</f>
        <v>0.31329538116449684</v>
      </c>
      <c r="F26" s="176">
        <f t="shared" ref="F26:F33" si="10">E26/$E$49</f>
        <v>2.8908295509232074E-4</v>
      </c>
      <c r="G26" s="97">
        <f t="shared" ref="G26:G32" si="11">$L$11*F26*1000000/6</f>
        <v>10041.994666240633</v>
      </c>
      <c r="H26" s="33">
        <f t="shared" ref="H26" si="12">G26/C26</f>
        <v>88.867209435757815</v>
      </c>
      <c r="I26" s="33">
        <f t="shared" ref="I26" si="13">H26*C26*6</f>
        <v>60251.967997443797</v>
      </c>
    </row>
    <row r="27" spans="2:9" x14ac:dyDescent="0.2">
      <c r="B27" s="4" t="s">
        <v>67</v>
      </c>
      <c r="C27" s="107">
        <f>'Data Base'!C27</f>
        <v>231</v>
      </c>
      <c r="D27" s="108">
        <f>'Data Base'!D27</f>
        <v>108.62744704606504</v>
      </c>
      <c r="E27" s="109">
        <f>'Data Base'!E27</f>
        <v>9.2490644441852066</v>
      </c>
      <c r="F27" s="176">
        <f t="shared" si="10"/>
        <v>8.5342684320025529E-3</v>
      </c>
      <c r="G27" s="97">
        <f t="shared" si="11"/>
        <v>296458.42677603109</v>
      </c>
      <c r="H27" s="33">
        <f t="shared" ref="H27:H32" si="14">G27/C27</f>
        <v>1283.3698128832514</v>
      </c>
      <c r="I27" s="33">
        <f t="shared" ref="I27:I32" si="15">H27*C27*6</f>
        <v>1778750.5606561867</v>
      </c>
    </row>
    <row r="28" spans="2:9" x14ac:dyDescent="0.2">
      <c r="B28" s="4" t="s">
        <v>68</v>
      </c>
      <c r="C28" s="107">
        <f>'Data Base'!C28</f>
        <v>216</v>
      </c>
      <c r="D28" s="108">
        <f>'Data Base'!D28</f>
        <v>969.04059549796705</v>
      </c>
      <c r="E28" s="109">
        <f>'Data Base'!E28</f>
        <v>57.951620953683943</v>
      </c>
      <c r="F28" s="176">
        <f t="shared" si="10"/>
        <v>5.3472942293026904E-2</v>
      </c>
      <c r="G28" s="97">
        <f t="shared" si="11"/>
        <v>1857511.8035696102</v>
      </c>
      <c r="H28" s="33">
        <f t="shared" si="14"/>
        <v>8599.5916831926406</v>
      </c>
      <c r="I28" s="33">
        <f t="shared" si="15"/>
        <v>11145070.821417663</v>
      </c>
    </row>
    <row r="29" spans="2:9" x14ac:dyDescent="0.2">
      <c r="B29" s="4" t="s">
        <v>69</v>
      </c>
      <c r="C29" s="107">
        <f>'Data Base'!C29</f>
        <v>1</v>
      </c>
      <c r="D29" s="108">
        <f>'Data Base'!D29</f>
        <v>64.792428988055747</v>
      </c>
      <c r="E29" s="109">
        <f>'Data Base'!E29</f>
        <v>1.0988640000000001</v>
      </c>
      <c r="F29" s="176">
        <f t="shared" si="10"/>
        <v>1.0139404263919804E-3</v>
      </c>
      <c r="G29" s="97">
        <f t="shared" si="11"/>
        <v>35221.669677696249</v>
      </c>
      <c r="H29" s="33">
        <f t="shared" si="14"/>
        <v>35221.669677696249</v>
      </c>
      <c r="I29" s="33">
        <f t="shared" si="15"/>
        <v>211330.01806617749</v>
      </c>
    </row>
    <row r="30" spans="2:9" x14ac:dyDescent="0.2">
      <c r="B30" s="4" t="s">
        <v>70</v>
      </c>
      <c r="C30" s="107">
        <f>'Data Base'!C30</f>
        <v>2</v>
      </c>
      <c r="D30" s="108">
        <f>'Data Base'!D30</f>
        <v>4.4336741250730203</v>
      </c>
      <c r="E30" s="109">
        <f>'Data Base'!E30</f>
        <v>0.1371508996558026</v>
      </c>
      <c r="F30" s="176">
        <f t="shared" si="10"/>
        <v>1.2655145830334618E-4</v>
      </c>
      <c r="G30" s="97">
        <f t="shared" si="11"/>
        <v>4396.0705634869673</v>
      </c>
      <c r="H30" s="33">
        <f t="shared" si="14"/>
        <v>2198.0352817434837</v>
      </c>
      <c r="I30" s="33">
        <f t="shared" si="15"/>
        <v>26376.423380921806</v>
      </c>
    </row>
    <row r="31" spans="2:9" x14ac:dyDescent="0.2">
      <c r="B31" s="4" t="s">
        <v>71</v>
      </c>
      <c r="C31" s="107">
        <f>'Data Base'!C31</f>
        <v>14</v>
      </c>
      <c r="D31" s="108">
        <f>'Data Base'!D31</f>
        <v>297.05609140832462</v>
      </c>
      <c r="E31" s="109">
        <f>'Data Base'!E31</f>
        <v>16.556493319561497</v>
      </c>
      <c r="F31" s="176">
        <f t="shared" si="10"/>
        <v>1.5276956835415627E-2</v>
      </c>
      <c r="G31" s="97">
        <f t="shared" si="11"/>
        <v>530681.99406166701</v>
      </c>
      <c r="H31" s="33">
        <f t="shared" si="14"/>
        <v>37905.856718690498</v>
      </c>
      <c r="I31" s="33">
        <f t="shared" si="15"/>
        <v>3184091.964370002</v>
      </c>
    </row>
    <row r="32" spans="2:9" x14ac:dyDescent="0.2">
      <c r="B32" s="4" t="s">
        <v>72</v>
      </c>
      <c r="C32" s="107">
        <f>'Data Base'!C32</f>
        <v>2</v>
      </c>
      <c r="D32" s="108">
        <f>'Data Base'!D32</f>
        <v>11.614126004174347</v>
      </c>
      <c r="E32" s="109">
        <f>'Data Base'!E32</f>
        <v>0.42451775488812044</v>
      </c>
      <c r="F32" s="176">
        <f t="shared" si="10"/>
        <v>3.9170972331628573E-4</v>
      </c>
      <c r="G32" s="97">
        <f t="shared" si="11"/>
        <v>13606.983334595179</v>
      </c>
      <c r="H32" s="33">
        <f t="shared" si="14"/>
        <v>6803.4916672975896</v>
      </c>
      <c r="I32" s="33">
        <f t="shared" si="15"/>
        <v>81641.900007571079</v>
      </c>
    </row>
    <row r="33" spans="2:10" x14ac:dyDescent="0.2">
      <c r="B33" s="7" t="s">
        <v>56</v>
      </c>
      <c r="C33" s="8">
        <f>SUM(C26:C32)</f>
        <v>579</v>
      </c>
      <c r="D33" s="9">
        <v>1459.1921933592146</v>
      </c>
      <c r="E33" s="22">
        <v>85.73100675313907</v>
      </c>
      <c r="F33" s="178">
        <f t="shared" si="10"/>
        <v>7.9105452123549025E-2</v>
      </c>
      <c r="G33" s="169">
        <f>((F33*$L$11)/6)*1000000</f>
        <v>2747918.9426493277</v>
      </c>
      <c r="H33" s="168"/>
      <c r="I33" s="168">
        <f>SUM(I26:I32)</f>
        <v>16487513.655895965</v>
      </c>
    </row>
    <row r="34" spans="2:10" x14ac:dyDescent="0.2">
      <c r="B34" s="1"/>
      <c r="C34" s="5"/>
      <c r="D34" s="6"/>
      <c r="E34" s="21"/>
      <c r="H34" s="33"/>
    </row>
    <row r="35" spans="2:10" x14ac:dyDescent="0.2">
      <c r="B35" s="25"/>
      <c r="C35" s="5"/>
      <c r="D35" s="26"/>
      <c r="E35" s="21"/>
    </row>
    <row r="36" spans="2:10" x14ac:dyDescent="0.2">
      <c r="B36" s="4" t="s">
        <v>110</v>
      </c>
      <c r="C36" s="5">
        <f>SUM('Data Base'!C59:C60)</f>
        <v>3</v>
      </c>
      <c r="D36" s="6">
        <f>SUM('Data Base'!D59:D60)</f>
        <v>6.5000058706572911E-2</v>
      </c>
      <c r="E36" s="21">
        <f>SUM('Data Base'!E59:E60)</f>
        <v>3.2311200000000001E-3</v>
      </c>
      <c r="F36" s="176">
        <f t="shared" ref="F36:F42" si="16">E36/$E$49</f>
        <v>2.9814091557496248E-6</v>
      </c>
      <c r="G36" s="97">
        <f t="shared" ref="G36:G41" si="17">$L$11*F36*1000000/6</f>
        <v>103.56644801267299</v>
      </c>
      <c r="H36" s="33">
        <f t="shared" ref="H36" si="18">G36/C36</f>
        <v>34.522149337557664</v>
      </c>
      <c r="I36" s="33">
        <f t="shared" ref="I36" si="19">H36*C36*6</f>
        <v>621.39868807603796</v>
      </c>
    </row>
    <row r="37" spans="2:10" x14ac:dyDescent="0.2">
      <c r="B37" s="10" t="s">
        <v>98</v>
      </c>
      <c r="C37" s="107">
        <f>'Data Base'!C61</f>
        <v>23</v>
      </c>
      <c r="D37" s="108">
        <f>'Data Base'!D61</f>
        <v>3.1091575656600652</v>
      </c>
      <c r="E37" s="109">
        <f>'Data Base'!E61</f>
        <v>0.2927649426892972</v>
      </c>
      <c r="F37" s="176">
        <f t="shared" si="16"/>
        <v>2.7013917174737698E-4</v>
      </c>
      <c r="G37" s="97">
        <f t="shared" si="17"/>
        <v>9383.9365968965194</v>
      </c>
      <c r="H37" s="33">
        <f t="shared" ref="H37:H41" si="20">G37/C37</f>
        <v>407.99724334332694</v>
      </c>
      <c r="I37" s="33">
        <f t="shared" ref="I37:I41" si="21">H37*C37*6</f>
        <v>56303.619581379113</v>
      </c>
    </row>
    <row r="38" spans="2:10" x14ac:dyDescent="0.2">
      <c r="B38" s="10" t="s">
        <v>99</v>
      </c>
      <c r="C38" s="107">
        <f>'Data Base'!C62</f>
        <v>225</v>
      </c>
      <c r="D38" s="108">
        <f>'Data Base'!D62</f>
        <v>2.8801728574882861</v>
      </c>
      <c r="E38" s="109">
        <f>'Data Base'!E62</f>
        <v>0.23754864658401381</v>
      </c>
      <c r="F38" s="176">
        <f t="shared" si="16"/>
        <v>2.1919016002547431E-4</v>
      </c>
      <c r="G38" s="97">
        <f t="shared" si="17"/>
        <v>7614.0996177561028</v>
      </c>
      <c r="H38" s="33">
        <f t="shared" si="20"/>
        <v>33.840442745582678</v>
      </c>
      <c r="I38" s="33">
        <f t="shared" si="21"/>
        <v>45684.597706536617</v>
      </c>
    </row>
    <row r="39" spans="2:10" x14ac:dyDescent="0.2">
      <c r="B39" s="10" t="s">
        <v>100</v>
      </c>
      <c r="C39" s="107">
        <f>'Data Base'!C63</f>
        <v>80</v>
      </c>
      <c r="D39" s="108">
        <f>'Data Base'!D63</f>
        <v>0.75771244805597937</v>
      </c>
      <c r="E39" s="109">
        <f>'Data Base'!E63</f>
        <v>3.9116796772455303E-2</v>
      </c>
      <c r="F39" s="176">
        <f t="shared" si="16"/>
        <v>3.6093730979039961E-5</v>
      </c>
      <c r="G39" s="97">
        <f t="shared" si="17"/>
        <v>1253.8029226264537</v>
      </c>
      <c r="H39" s="33">
        <f t="shared" si="20"/>
        <v>15.672536532830671</v>
      </c>
      <c r="I39" s="33">
        <f t="shared" si="21"/>
        <v>7522.8175357587224</v>
      </c>
    </row>
    <row r="40" spans="2:10" x14ac:dyDescent="0.2">
      <c r="B40" s="10" t="s">
        <v>101</v>
      </c>
      <c r="C40" s="107">
        <f>'Data Base'!C64</f>
        <v>685</v>
      </c>
      <c r="D40" s="108">
        <f>'Data Base'!D64</f>
        <v>1.5194131331775194</v>
      </c>
      <c r="E40" s="109">
        <f>'Data Base'!E64</f>
        <v>9.0086004666095135E-2</v>
      </c>
      <c r="F40" s="176">
        <f t="shared" si="16"/>
        <v>8.3123882466884367E-5</v>
      </c>
      <c r="G40" s="97">
        <f t="shared" si="17"/>
        <v>2887.5088263266475</v>
      </c>
      <c r="H40" s="33">
        <f t="shared" si="20"/>
        <v>4.2153413523016754</v>
      </c>
      <c r="I40" s="33">
        <f t="shared" si="21"/>
        <v>17325.052957959884</v>
      </c>
    </row>
    <row r="41" spans="2:10" x14ac:dyDescent="0.2">
      <c r="B41" s="10" t="s">
        <v>102</v>
      </c>
      <c r="C41" s="107">
        <f>'Data Base'!C65</f>
        <v>1035</v>
      </c>
      <c r="D41" s="108">
        <f>'Data Base'!D65</f>
        <v>13.869595664257442</v>
      </c>
      <c r="E41" s="109">
        <f>'Data Base'!E65</f>
        <v>6.2094999999999997E-2</v>
      </c>
      <c r="F41" s="176">
        <f t="shared" si="16"/>
        <v>5.7296108323514114E-5</v>
      </c>
      <c r="G41" s="97">
        <f t="shared" si="17"/>
        <v>1990.3187097188991</v>
      </c>
      <c r="H41" s="33">
        <f t="shared" si="20"/>
        <v>1.9230132461052165</v>
      </c>
      <c r="I41" s="33">
        <f t="shared" si="21"/>
        <v>11941.912258313394</v>
      </c>
    </row>
    <row r="42" spans="2:10" x14ac:dyDescent="0.2">
      <c r="B42" s="7" t="s">
        <v>56</v>
      </c>
      <c r="C42" s="8">
        <f>SUM(C36:C41)</f>
        <v>2051</v>
      </c>
      <c r="D42" s="15">
        <f>SUM(D36:D41)</f>
        <v>22.201051727345863</v>
      </c>
      <c r="E42" s="22">
        <f>SUM(E36:E41)</f>
        <v>0.72484251071186145</v>
      </c>
      <c r="F42" s="178">
        <f t="shared" si="16"/>
        <v>6.6882446269803943E-4</v>
      </c>
      <c r="G42" s="169">
        <f>((F42*$L$11)/6)*1000000</f>
        <v>23233.233121337296</v>
      </c>
      <c r="H42" s="160"/>
      <c r="I42" s="168">
        <f>SUM(I36:I41)</f>
        <v>139399.39872802375</v>
      </c>
      <c r="J42" s="33"/>
    </row>
    <row r="43" spans="2:10" x14ac:dyDescent="0.2">
      <c r="B43" s="1"/>
      <c r="C43" s="5"/>
      <c r="D43" s="6"/>
      <c r="E43" s="21"/>
    </row>
    <row r="44" spans="2:10" x14ac:dyDescent="0.2">
      <c r="B44" s="7" t="s">
        <v>103</v>
      </c>
      <c r="C44" s="161">
        <f>'Data Base'!C68</f>
        <v>2</v>
      </c>
      <c r="D44" s="190">
        <f>'Data Base'!D68</f>
        <v>38.293598199999998</v>
      </c>
      <c r="E44" s="162">
        <f>'Data Base'!E68</f>
        <v>2.2577619139080003</v>
      </c>
      <c r="F44" s="178">
        <f>E44/$E$49</f>
        <v>2.0832751620577716E-3</v>
      </c>
      <c r="G44" s="179">
        <f>$L$11*F44*1000000/6</f>
        <v>72367.59448171097</v>
      </c>
      <c r="H44" s="168">
        <f t="shared" ref="H44" si="22">G44/C44</f>
        <v>36183.797240855485</v>
      </c>
      <c r="I44" s="168">
        <f t="shared" ref="I44" si="23">H44*C44*6</f>
        <v>434205.56689026579</v>
      </c>
    </row>
    <row r="45" spans="2:10" x14ac:dyDescent="0.2">
      <c r="B45" s="1"/>
      <c r="C45" s="99"/>
      <c r="D45" s="100"/>
      <c r="E45" s="101"/>
    </row>
    <row r="46" spans="2:10" x14ac:dyDescent="0.2">
      <c r="B46" s="1"/>
      <c r="C46" s="99"/>
      <c r="D46" s="106"/>
      <c r="E46" s="101"/>
    </row>
    <row r="47" spans="2:10" x14ac:dyDescent="0.2">
      <c r="B47" s="7" t="s">
        <v>104</v>
      </c>
      <c r="C47" s="161">
        <f>'Data Base'!C71</f>
        <v>1082</v>
      </c>
      <c r="D47" s="190">
        <f>'Data Base'!D71</f>
        <v>23.109614930104854</v>
      </c>
      <c r="E47" s="162">
        <f>'Data Base'!E71</f>
        <v>2.0174513654445589</v>
      </c>
      <c r="F47" s="180">
        <f>E47/$E$49</f>
        <v>1.8615365483844579E-3</v>
      </c>
      <c r="G47" s="179">
        <f>$L$11*F47*1000000/6</f>
        <v>64664.968171225475</v>
      </c>
      <c r="H47" s="168">
        <f t="shared" ref="H47" si="24">G47/C47</f>
        <v>59.764295906862728</v>
      </c>
      <c r="I47" s="168">
        <f t="shared" ref="I47" si="25">H47*C47*6</f>
        <v>387989.80902735284</v>
      </c>
    </row>
    <row r="48" spans="2:10" x14ac:dyDescent="0.2">
      <c r="B48" s="1"/>
      <c r="C48" s="5"/>
      <c r="D48" s="26"/>
      <c r="E48" s="21"/>
    </row>
    <row r="49" spans="2:9" ht="16.5" thickBot="1" x14ac:dyDescent="0.3">
      <c r="B49" s="17" t="s">
        <v>56</v>
      </c>
      <c r="C49" s="18">
        <f>C13+C24+C33+C42+C44+C47</f>
        <v>1468901</v>
      </c>
      <c r="D49" s="19">
        <f t="shared" ref="D49:I49" si="26">D13+D24+D33+D42+D44+D47</f>
        <v>15480.301400747878</v>
      </c>
      <c r="E49" s="24">
        <f t="shared" si="26"/>
        <v>1083.7559795403492</v>
      </c>
      <c r="F49" s="203">
        <f t="shared" si="26"/>
        <v>0.99999999999999989</v>
      </c>
      <c r="G49" s="181">
        <f t="shared" si="26"/>
        <v>34737415.296704881</v>
      </c>
      <c r="H49" s="182"/>
      <c r="I49" s="183">
        <f t="shared" si="26"/>
        <v>208424491.7802293</v>
      </c>
    </row>
    <row r="50" spans="2:9" x14ac:dyDescent="0.2">
      <c r="C50" s="34"/>
      <c r="D50" s="34"/>
      <c r="E50" s="34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1FB89-C4BE-4C7C-922F-0C4BAB2071B7}">
  <dimension ref="B4:R48"/>
  <sheetViews>
    <sheetView showGridLines="0" zoomScale="90" zoomScaleNormal="90" workbookViewId="0">
      <selection activeCell="F5" sqref="F5"/>
    </sheetView>
  </sheetViews>
  <sheetFormatPr defaultColWidth="8.7109375" defaultRowHeight="15" x14ac:dyDescent="0.2"/>
  <cols>
    <col min="1" max="1" width="8.7109375" style="30"/>
    <col min="2" max="2" width="30.7109375" style="30" bestFit="1" customWidth="1"/>
    <col min="3" max="3" width="13.7109375" style="30" bestFit="1" customWidth="1"/>
    <col min="4" max="4" width="14.28515625" style="30" bestFit="1" customWidth="1"/>
    <col min="5" max="5" width="13" style="30" bestFit="1" customWidth="1"/>
    <col min="6" max="6" width="12.85546875" style="176" customWidth="1"/>
    <col min="7" max="7" width="22.42578125" style="30" customWidth="1"/>
    <col min="8" max="8" width="22.42578125" style="159" customWidth="1"/>
    <col min="9" max="9" width="22.42578125" style="30" customWidth="1"/>
    <col min="10" max="10" width="8.7109375" style="30"/>
    <col min="11" max="11" width="23.85546875" style="30" customWidth="1"/>
    <col min="12" max="12" width="15.7109375" style="30" bestFit="1" customWidth="1"/>
    <col min="13" max="13" width="10.28515625" style="30" bestFit="1" customWidth="1"/>
    <col min="14" max="16384" width="8.7109375" style="30"/>
  </cols>
  <sheetData>
    <row r="4" spans="2:18" ht="23.25" x14ac:dyDescent="0.35">
      <c r="B4" s="110" t="s">
        <v>111</v>
      </c>
    </row>
    <row r="5" spans="2:18" ht="49.5" customHeight="1" thickBot="1" x14ac:dyDescent="0.3">
      <c r="B5" s="132" t="s">
        <v>37</v>
      </c>
      <c r="C5" s="133" t="s">
        <v>38</v>
      </c>
      <c r="D5" s="134" t="s">
        <v>39</v>
      </c>
      <c r="E5" s="135" t="s">
        <v>40</v>
      </c>
      <c r="F5" s="177" t="s">
        <v>155</v>
      </c>
      <c r="G5" s="136" t="s">
        <v>107</v>
      </c>
      <c r="H5" s="189" t="s">
        <v>108</v>
      </c>
      <c r="I5" s="136" t="s">
        <v>109</v>
      </c>
      <c r="K5" s="184" t="s">
        <v>41</v>
      </c>
      <c r="L5" s="185">
        <f>'Data Base'!J5</f>
        <v>307.47542199999998</v>
      </c>
      <c r="M5" s="184"/>
    </row>
    <row r="6" spans="2:18" x14ac:dyDescent="0.2">
      <c r="B6" s="1"/>
      <c r="C6" s="2"/>
      <c r="D6" s="192"/>
      <c r="E6" s="20"/>
      <c r="K6" s="184" t="s">
        <v>42</v>
      </c>
      <c r="L6" s="185">
        <f>'Data Base'!J6</f>
        <v>24.520767489999997</v>
      </c>
      <c r="M6" s="184" t="str">
        <f>'Data Base'!K6</f>
        <v>Actual</v>
      </c>
    </row>
    <row r="7" spans="2:18" x14ac:dyDescent="0.2">
      <c r="B7" s="4" t="s">
        <v>112</v>
      </c>
      <c r="C7" s="5">
        <f>SUM('Data Base'!C7:C8)</f>
        <v>4377</v>
      </c>
      <c r="D7" s="193">
        <f>SUM('Data Base'!D7:D8)</f>
        <v>17.379859844854899</v>
      </c>
      <c r="E7" s="21">
        <f>SUM('Data Base'!E7:E8)</f>
        <v>1.1000218026360016</v>
      </c>
      <c r="F7" s="176">
        <f>+E7/$E$10</f>
        <v>2.8221171485963235E-3</v>
      </c>
      <c r="G7" s="97">
        <f>$G$10*F7</f>
        <v>35258.780495774925</v>
      </c>
      <c r="H7" s="33">
        <f>G7/C7</f>
        <v>8.0554673282556379</v>
      </c>
      <c r="I7" s="33">
        <f>H7*C7*6</f>
        <v>211552.68297464954</v>
      </c>
      <c r="K7" s="184" t="s">
        <v>45</v>
      </c>
      <c r="L7" s="185">
        <f>'Data Base'!J7</f>
        <v>24.12527789</v>
      </c>
      <c r="M7" s="184" t="str">
        <f>'Data Base'!K7</f>
        <v>Actual</v>
      </c>
    </row>
    <row r="8" spans="2:18" x14ac:dyDescent="0.2">
      <c r="B8" s="4" t="s">
        <v>113</v>
      </c>
      <c r="C8" s="5">
        <f>SUM('Data Base'!C9:C10)</f>
        <v>137469</v>
      </c>
      <c r="D8" s="193">
        <f>SUM('Data Base'!D9:D10)</f>
        <v>483.13483980058908</v>
      </c>
      <c r="E8" s="21">
        <f>SUM('Data Base'!E9:E10)</f>
        <v>31.124474189509787</v>
      </c>
      <c r="F8" s="176">
        <f>+E8/$E$10</f>
        <v>7.9850155824888275E-2</v>
      </c>
      <c r="G8" s="97">
        <f>$G$10*F8</f>
        <v>997626.5932771446</v>
      </c>
      <c r="H8" s="33">
        <f t="shared" ref="H8:H9" si="0">G8/C8</f>
        <v>7.2571022796204572</v>
      </c>
      <c r="I8" s="33">
        <f t="shared" ref="I8:I9" si="1">H8*C8*6</f>
        <v>5985759.5596628673</v>
      </c>
      <c r="K8" s="184" t="s">
        <v>47</v>
      </c>
      <c r="L8" s="185">
        <f>'Data Base'!J8</f>
        <v>25.823086282409086</v>
      </c>
      <c r="M8" s="184" t="str">
        <f>'Data Base'!K8</f>
        <v>Forecast</v>
      </c>
    </row>
    <row r="9" spans="2:18" ht="15.75" thickBot="1" x14ac:dyDescent="0.25">
      <c r="B9" s="4" t="s">
        <v>114</v>
      </c>
      <c r="C9" s="5">
        <f>SUM('Data Base'!C11:C12)</f>
        <v>1198266</v>
      </c>
      <c r="D9" s="193">
        <f>SUM('Data Base'!D11:D12)</f>
        <v>5802.5647397024877</v>
      </c>
      <c r="E9" s="21">
        <f>SUM('Data Base'!E11:E12)</f>
        <v>357.56152092892177</v>
      </c>
      <c r="F9" s="176">
        <f>+E9/$E$10</f>
        <v>0.91732772702651533</v>
      </c>
      <c r="G9" s="97">
        <f>$G$10*F9</f>
        <v>11460848.457691902</v>
      </c>
      <c r="H9" s="33">
        <f t="shared" si="0"/>
        <v>9.5645277907341963</v>
      </c>
      <c r="I9" s="33">
        <f t="shared" si="1"/>
        <v>68765090.746151417</v>
      </c>
      <c r="K9" s="184" t="s">
        <v>50</v>
      </c>
      <c r="L9" s="186">
        <f>'Data Base'!J9</f>
        <v>24.581798557361601</v>
      </c>
      <c r="M9" s="184" t="str">
        <f>'Data Base'!K9</f>
        <v>Forecast</v>
      </c>
    </row>
    <row r="10" spans="2:18" ht="15.75" thickTop="1" x14ac:dyDescent="0.2">
      <c r="B10" s="7" t="s">
        <v>56</v>
      </c>
      <c r="C10" s="8">
        <f>SUM(C7:C9)</f>
        <v>1340112</v>
      </c>
      <c r="D10" s="194">
        <f>SUM(D7:D9)</f>
        <v>6303.0794393479318</v>
      </c>
      <c r="E10" s="22">
        <f>SUM(E7:E9)</f>
        <v>389.78601692106758</v>
      </c>
      <c r="F10" s="178">
        <f>E10/$E$41</f>
        <v>0.35966216037524107</v>
      </c>
      <c r="G10" s="169">
        <f>((F10*$L$11)/6)*1000000</f>
        <v>12493733.831464823</v>
      </c>
      <c r="H10" s="160"/>
      <c r="I10" s="168">
        <f>SUM(I7:I9)</f>
        <v>74962402.988788933</v>
      </c>
      <c r="K10" s="184" t="s">
        <v>52</v>
      </c>
      <c r="L10" s="185">
        <f>SUM(L6:L9)</f>
        <v>99.050930219770692</v>
      </c>
      <c r="M10" s="184"/>
    </row>
    <row r="11" spans="2:18" x14ac:dyDescent="0.2">
      <c r="B11" s="1"/>
      <c r="C11" s="94"/>
      <c r="D11" s="195"/>
      <c r="E11" s="21"/>
      <c r="G11" s="92"/>
      <c r="H11" s="30"/>
      <c r="K11" s="184" t="s">
        <v>54</v>
      </c>
      <c r="L11" s="185">
        <f>L5-L10</f>
        <v>208.42449178022929</v>
      </c>
      <c r="M11" s="184"/>
      <c r="R11" s="35"/>
    </row>
    <row r="12" spans="2:18" x14ac:dyDescent="0.2">
      <c r="C12" s="5"/>
      <c r="D12" s="196"/>
      <c r="E12" s="5"/>
      <c r="G12" s="92"/>
      <c r="H12" s="30"/>
    </row>
    <row r="13" spans="2:18" x14ac:dyDescent="0.2">
      <c r="B13" s="10" t="s">
        <v>57</v>
      </c>
      <c r="C13" s="107">
        <f>'Data Base'!C15</f>
        <v>1</v>
      </c>
      <c r="D13" s="108">
        <f>'Data Base'!D15</f>
        <v>1.8000000000000004E-4</v>
      </c>
      <c r="E13" s="109">
        <f>'Data Base'!E15</f>
        <v>1.8120000000000003E-5</v>
      </c>
      <c r="F13" s="176">
        <f t="shared" ref="F13:F24" si="2">+E13/$E$25</f>
        <v>2.6300132734957915E-8</v>
      </c>
      <c r="G13" s="97">
        <f t="shared" ref="G13:G24" si="3">$G$25*F13</f>
        <v>0.58079676334819985</v>
      </c>
      <c r="H13" s="33">
        <f t="shared" ref="H13:H23" si="4">G13/C13</f>
        <v>0.58079676334819985</v>
      </c>
      <c r="I13" s="33">
        <f t="shared" ref="I13:I23" si="5">H13*C13*6</f>
        <v>3.4847805800891991</v>
      </c>
    </row>
    <row r="14" spans="2:18" x14ac:dyDescent="0.2">
      <c r="B14" s="4" t="s">
        <v>58</v>
      </c>
      <c r="C14" s="199">
        <f>SUM('Data Base'!C16:C17)</f>
        <v>11</v>
      </c>
      <c r="D14" s="200">
        <f>SUM('Data Base'!D16:D17)</f>
        <v>11.343551999999999</v>
      </c>
      <c r="E14" s="201">
        <f>SUM('Data Base'!E16:E17)</f>
        <v>0.95907670847999993</v>
      </c>
      <c r="F14" s="176">
        <f t="shared" si="2"/>
        <v>1.3920444114807137E-3</v>
      </c>
      <c r="G14" s="97">
        <f t="shared" si="3"/>
        <v>30741.09536908548</v>
      </c>
      <c r="H14" s="33">
        <f t="shared" si="4"/>
        <v>2794.6450335532254</v>
      </c>
      <c r="I14" s="33">
        <f t="shared" si="5"/>
        <v>184446.57221451288</v>
      </c>
    </row>
    <row r="15" spans="2:18" ht="16.149999999999999" customHeight="1" x14ac:dyDescent="0.2">
      <c r="B15" s="4" t="s">
        <v>60</v>
      </c>
      <c r="C15" s="107">
        <f>'Data Base'!C18</f>
        <v>37</v>
      </c>
      <c r="D15" s="108">
        <f>'Data Base'!D18</f>
        <v>5.11158</v>
      </c>
      <c r="E15" s="109">
        <f>'Data Base'!E18</f>
        <v>0.43409739419999988</v>
      </c>
      <c r="F15" s="176">
        <f t="shared" si="2"/>
        <v>6.3006727855184023E-4</v>
      </c>
      <c r="G15" s="97">
        <f t="shared" si="3"/>
        <v>13914.037611989375</v>
      </c>
      <c r="H15" s="33">
        <f t="shared" si="4"/>
        <v>376.05507059430744</v>
      </c>
      <c r="I15" s="33">
        <f t="shared" si="5"/>
        <v>83484.225671936249</v>
      </c>
    </row>
    <row r="16" spans="2:18" x14ac:dyDescent="0.2">
      <c r="B16" s="4" t="s">
        <v>61</v>
      </c>
      <c r="C16" s="107">
        <f>'Data Base'!C19</f>
        <v>693</v>
      </c>
      <c r="D16" s="108">
        <f>'Data Base'!D19</f>
        <v>0.15366000000000002</v>
      </c>
      <c r="E16" s="109">
        <f>'Data Base'!E19</f>
        <v>6.3932333400000013E-2</v>
      </c>
      <c r="F16" s="176">
        <f t="shared" si="2"/>
        <v>9.2794086891588495E-5</v>
      </c>
      <c r="G16" s="97">
        <f t="shared" si="3"/>
        <v>2049.2103924954754</v>
      </c>
      <c r="H16" s="33">
        <f t="shared" si="4"/>
        <v>2.9570135533845243</v>
      </c>
      <c r="I16" s="33">
        <f t="shared" si="5"/>
        <v>12295.262354972852</v>
      </c>
    </row>
    <row r="17" spans="2:18" ht="16.149999999999999" customHeight="1" x14ac:dyDescent="0.2">
      <c r="B17" s="4" t="s">
        <v>115</v>
      </c>
      <c r="C17" s="5">
        <f>SUM('Data Base'!C20,'Data Base'!C26)</f>
        <v>113457</v>
      </c>
      <c r="D17" s="193">
        <f>SUM('Data Base'!D20,'Data Base'!D26)</f>
        <v>2240.8010076701175</v>
      </c>
      <c r="E17" s="21">
        <f>SUM('Data Base'!E20,'Data Base'!E26)</f>
        <v>196.13272213804825</v>
      </c>
      <c r="F17" s="176">
        <f t="shared" si="2"/>
        <v>0.28467531048009309</v>
      </c>
      <c r="G17" s="97">
        <f t="shared" si="3"/>
        <v>6286603.2121661268</v>
      </c>
      <c r="H17" s="33">
        <f t="shared" si="4"/>
        <v>55.409566727184107</v>
      </c>
      <c r="I17" s="33">
        <f t="shared" si="5"/>
        <v>37719619.272996761</v>
      </c>
      <c r="L17" s="34"/>
      <c r="R17" s="33"/>
    </row>
    <row r="18" spans="2:18" x14ac:dyDescent="0.2">
      <c r="B18" s="4" t="s">
        <v>116</v>
      </c>
      <c r="C18" s="5">
        <f>SUM('Data Base'!C21,'Data Base'!C27)</f>
        <v>10819</v>
      </c>
      <c r="D18" s="193">
        <f>SUM('Data Base'!D21,'Data Base'!D27)</f>
        <v>3803.886302793775</v>
      </c>
      <c r="E18" s="21">
        <f>SUM('Data Base'!E21,'Data Base'!E27)</f>
        <v>320.90490913298271</v>
      </c>
      <c r="F18" s="176">
        <f t="shared" si="2"/>
        <v>0.46577492855943997</v>
      </c>
      <c r="G18" s="97">
        <f t="shared" si="3"/>
        <v>10285901.355793847</v>
      </c>
      <c r="H18" s="33">
        <f t="shared" si="4"/>
        <v>950.72570069265612</v>
      </c>
      <c r="I18" s="33">
        <f t="shared" si="5"/>
        <v>61715408.134763077</v>
      </c>
      <c r="R18" s="33"/>
    </row>
    <row r="19" spans="2:18" x14ac:dyDescent="0.2">
      <c r="B19" s="4" t="s">
        <v>117</v>
      </c>
      <c r="C19" s="5">
        <f>SUM('Data Base'!C22,'Data Base'!C28)</f>
        <v>616</v>
      </c>
      <c r="D19" s="193">
        <f>SUM('Data Base'!D22,'Data Base'!D28)</f>
        <v>2648.3664044001066</v>
      </c>
      <c r="E19" s="21">
        <f>SUM('Data Base'!E22,'Data Base'!E28)</f>
        <v>151.85118134300347</v>
      </c>
      <c r="F19" s="176">
        <f t="shared" si="2"/>
        <v>0.22040321331573709</v>
      </c>
      <c r="G19" s="97">
        <f t="shared" si="3"/>
        <v>4867255.7745373594</v>
      </c>
      <c r="H19" s="33">
        <f t="shared" si="4"/>
        <v>7901.38924437883</v>
      </c>
      <c r="I19" s="33">
        <f t="shared" si="5"/>
        <v>29203534.647224158</v>
      </c>
    </row>
    <row r="20" spans="2:18" x14ac:dyDescent="0.2">
      <c r="B20" s="4" t="s">
        <v>118</v>
      </c>
      <c r="C20" s="107">
        <f>'Data Base'!C23</f>
        <v>1</v>
      </c>
      <c r="D20" s="197">
        <f>'Data Base'!D23</f>
        <v>6.058689152868368</v>
      </c>
      <c r="E20" s="109">
        <f>'Data Base'!E23</f>
        <v>0.4069436849973454</v>
      </c>
      <c r="F20" s="176">
        <f t="shared" si="2"/>
        <v>5.9065523902224529E-4</v>
      </c>
      <c r="G20" s="97">
        <f t="shared" si="3"/>
        <v>13043.685160675914</v>
      </c>
      <c r="H20" s="33">
        <f t="shared" si="4"/>
        <v>13043.685160675914</v>
      </c>
      <c r="I20" s="33">
        <f t="shared" si="5"/>
        <v>78262.110964055479</v>
      </c>
    </row>
    <row r="21" spans="2:18" x14ac:dyDescent="0.2">
      <c r="B21" s="4" t="s">
        <v>119</v>
      </c>
      <c r="C21" s="107">
        <f>'Data Base'!C29</f>
        <v>1</v>
      </c>
      <c r="D21" s="197">
        <f>'Data Base'!D29</f>
        <v>64.792428988055747</v>
      </c>
      <c r="E21" s="109">
        <f>'Data Base'!E29</f>
        <v>1.0988640000000001</v>
      </c>
      <c r="F21" s="176">
        <f t="shared" si="2"/>
        <v>1.594937585963951E-3</v>
      </c>
      <c r="G21" s="97">
        <f t="shared" si="3"/>
        <v>35221.669677696256</v>
      </c>
      <c r="H21" s="33">
        <f t="shared" si="4"/>
        <v>35221.669677696256</v>
      </c>
      <c r="I21" s="33">
        <f t="shared" si="5"/>
        <v>211330.01806617755</v>
      </c>
    </row>
    <row r="22" spans="2:18" x14ac:dyDescent="0.2">
      <c r="B22" s="4" t="s">
        <v>120</v>
      </c>
      <c r="C22" s="107">
        <f>'Data Base'!C30</f>
        <v>2</v>
      </c>
      <c r="D22" s="197">
        <f>'Data Base'!D30</f>
        <v>4.4336741250730203</v>
      </c>
      <c r="E22" s="109">
        <f>'Data Base'!E30</f>
        <v>0.1371508996558026</v>
      </c>
      <c r="F22" s="176">
        <f t="shared" si="2"/>
        <v>1.9906660406548022E-4</v>
      </c>
      <c r="G22" s="97">
        <f t="shared" si="3"/>
        <v>4396.0705634869682</v>
      </c>
      <c r="H22" s="33">
        <f t="shared" si="4"/>
        <v>2198.0352817434841</v>
      </c>
      <c r="I22" s="33">
        <f t="shared" si="5"/>
        <v>26376.423380921809</v>
      </c>
    </row>
    <row r="23" spans="2:18" x14ac:dyDescent="0.2">
      <c r="B23" s="4" t="s">
        <v>71</v>
      </c>
      <c r="C23" s="107">
        <f>'Data Base'!C31</f>
        <v>14</v>
      </c>
      <c r="D23" s="197">
        <f>'Data Base'!D31</f>
        <v>297.05609140832462</v>
      </c>
      <c r="E23" s="109">
        <f>'Data Base'!E31</f>
        <v>16.556493319561497</v>
      </c>
      <c r="F23" s="176">
        <f t="shared" si="2"/>
        <v>2.4030793152864861E-2</v>
      </c>
      <c r="G23" s="97">
        <f t="shared" si="3"/>
        <v>530681.99406166712</v>
      </c>
      <c r="H23" s="33">
        <f t="shared" si="4"/>
        <v>37905.856718690506</v>
      </c>
      <c r="I23" s="33">
        <f t="shared" si="5"/>
        <v>3184091.964370003</v>
      </c>
    </row>
    <row r="24" spans="2:18" x14ac:dyDescent="0.2">
      <c r="B24" s="4" t="s">
        <v>72</v>
      </c>
      <c r="C24" s="107">
        <f>'Data Base'!C32</f>
        <v>2</v>
      </c>
      <c r="D24" s="197">
        <f>'Data Base'!D32</f>
        <v>11.614126004174347</v>
      </c>
      <c r="E24" s="109">
        <f>'Data Base'!E32</f>
        <v>0.42451775488812044</v>
      </c>
      <c r="F24" s="176">
        <f t="shared" si="2"/>
        <v>6.1616298575628559E-4</v>
      </c>
      <c r="G24" s="97">
        <f t="shared" si="3"/>
        <v>13606.983334595185</v>
      </c>
      <c r="H24" s="33">
        <f t="shared" ref="H24" si="6">G24/C24</f>
        <v>6803.4916672975924</v>
      </c>
      <c r="I24" s="33">
        <f t="shared" ref="I24" si="7">H24*C24*6</f>
        <v>81641.900007571108</v>
      </c>
    </row>
    <row r="25" spans="2:18" x14ac:dyDescent="0.2">
      <c r="B25" s="7" t="s">
        <v>56</v>
      </c>
      <c r="C25" s="8">
        <f t="shared" ref="C25:D25" si="8">SUM(C13:C24)</f>
        <v>125654</v>
      </c>
      <c r="D25" s="194">
        <f t="shared" si="8"/>
        <v>9093.6176965424984</v>
      </c>
      <c r="E25" s="27">
        <f>SUM(E13:E24)</f>
        <v>688.96990682921728</v>
      </c>
      <c r="F25" s="178">
        <f>E25/$E$41</f>
        <v>0.63572420345161873</v>
      </c>
      <c r="G25" s="169">
        <f>((F25*$L$11)/6)*1000000</f>
        <v>22083415.669465791</v>
      </c>
      <c r="H25" s="160"/>
      <c r="I25" s="168">
        <f>SUM(I13:I23)</f>
        <v>132418852.11678717</v>
      </c>
      <c r="N25" s="159"/>
    </row>
    <row r="26" spans="2:18" x14ac:dyDescent="0.2">
      <c r="B26" s="10"/>
      <c r="C26" s="5"/>
      <c r="D26" s="193"/>
      <c r="E26" s="21"/>
      <c r="G26" s="97"/>
    </row>
    <row r="27" spans="2:18" x14ac:dyDescent="0.2">
      <c r="B27" s="10"/>
      <c r="C27" s="5"/>
      <c r="D27" s="193"/>
      <c r="E27" s="21"/>
      <c r="G27" s="97"/>
    </row>
    <row r="28" spans="2:18" x14ac:dyDescent="0.2">
      <c r="B28" s="4" t="s">
        <v>121</v>
      </c>
      <c r="C28" s="5">
        <f>SUM('Data Base'!C59:C60)</f>
        <v>3</v>
      </c>
      <c r="D28" s="193">
        <f>SUM('Data Base'!D59:D60)</f>
        <v>6.5000058706572911E-2</v>
      </c>
      <c r="E28" s="21">
        <f>SUM('Data Base'!E59:E60)</f>
        <v>3.2311200000000001E-3</v>
      </c>
      <c r="F28" s="176">
        <f>+E28/$E$34</f>
        <v>4.4576855692786913E-3</v>
      </c>
      <c r="G28" s="97">
        <f>$G$34*F28</f>
        <v>103.56644801267299</v>
      </c>
      <c r="H28" s="33">
        <f t="shared" ref="H28:H33" si="9">G28/C28</f>
        <v>34.522149337557664</v>
      </c>
      <c r="I28" s="33">
        <f t="shared" ref="I28:I33" si="10">H28*C28*6</f>
        <v>621.39868807603796</v>
      </c>
    </row>
    <row r="29" spans="2:18" x14ac:dyDescent="0.2">
      <c r="B29" s="10" t="s">
        <v>98</v>
      </c>
      <c r="C29" s="107">
        <f>'Data Base'!C61</f>
        <v>23</v>
      </c>
      <c r="D29" s="197">
        <f>'Data Base'!D61</f>
        <v>3.1091575656600652</v>
      </c>
      <c r="E29" s="109">
        <f>'Data Base'!E61</f>
        <v>0.2927649426892972</v>
      </c>
      <c r="F29" s="176">
        <f t="shared" ref="F29:F33" si="11">+E29/$E$34</f>
        <v>0.40390145219514695</v>
      </c>
      <c r="G29" s="97">
        <f t="shared" ref="G29:G33" si="12">$G$34*F29</f>
        <v>9383.9365968965212</v>
      </c>
      <c r="H29" s="33">
        <f t="shared" si="9"/>
        <v>407.997243343327</v>
      </c>
      <c r="I29" s="33">
        <f t="shared" si="10"/>
        <v>56303.619581379127</v>
      </c>
    </row>
    <row r="30" spans="2:18" x14ac:dyDescent="0.2">
      <c r="B30" s="10" t="s">
        <v>99</v>
      </c>
      <c r="C30" s="107">
        <f>'Data Base'!C62</f>
        <v>225</v>
      </c>
      <c r="D30" s="197">
        <f>'Data Base'!D62</f>
        <v>2.8801728574882861</v>
      </c>
      <c r="E30" s="109">
        <f>'Data Base'!E62</f>
        <v>0.23754864658401381</v>
      </c>
      <c r="F30" s="176">
        <f t="shared" si="11"/>
        <v>0.32772449611256849</v>
      </c>
      <c r="G30" s="97">
        <f t="shared" si="12"/>
        <v>7614.0996177561019</v>
      </c>
      <c r="H30" s="33">
        <f t="shared" si="9"/>
        <v>33.840442745582678</v>
      </c>
      <c r="I30" s="33">
        <f t="shared" si="10"/>
        <v>45684.597706536617</v>
      </c>
    </row>
    <row r="31" spans="2:18" x14ac:dyDescent="0.2">
      <c r="B31" s="10" t="s">
        <v>100</v>
      </c>
      <c r="C31" s="107">
        <f>'Data Base'!C63</f>
        <v>80</v>
      </c>
      <c r="D31" s="197">
        <f>'Data Base'!D63</f>
        <v>0.75771244805597937</v>
      </c>
      <c r="E31" s="109">
        <f>'Data Base'!E63</f>
        <v>3.9116796772455303E-2</v>
      </c>
      <c r="F31" s="176">
        <f t="shared" si="11"/>
        <v>5.3965925279463867E-2</v>
      </c>
      <c r="G31" s="97">
        <f t="shared" si="12"/>
        <v>1253.8029226264537</v>
      </c>
      <c r="H31" s="33">
        <f t="shared" si="9"/>
        <v>15.672536532830671</v>
      </c>
      <c r="I31" s="33">
        <f t="shared" si="10"/>
        <v>7522.8175357587224</v>
      </c>
    </row>
    <row r="32" spans="2:18" x14ac:dyDescent="0.2">
      <c r="B32" s="10" t="s">
        <v>101</v>
      </c>
      <c r="C32" s="107">
        <f>'Data Base'!C64</f>
        <v>685</v>
      </c>
      <c r="D32" s="197">
        <f>'Data Base'!D64</f>
        <v>1.5194131331775194</v>
      </c>
      <c r="E32" s="109">
        <f>'Data Base'!E64</f>
        <v>9.0086004666095135E-2</v>
      </c>
      <c r="F32" s="176">
        <f t="shared" si="11"/>
        <v>0.12428355585494352</v>
      </c>
      <c r="G32" s="97">
        <f t="shared" si="12"/>
        <v>2887.5088263266475</v>
      </c>
      <c r="H32" s="33">
        <f t="shared" si="9"/>
        <v>4.2153413523016754</v>
      </c>
      <c r="I32" s="33">
        <f t="shared" si="10"/>
        <v>17325.052957959884</v>
      </c>
    </row>
    <row r="33" spans="2:9" x14ac:dyDescent="0.2">
      <c r="B33" s="10" t="s">
        <v>102</v>
      </c>
      <c r="C33" s="107">
        <f>'Data Base'!C65</f>
        <v>1035</v>
      </c>
      <c r="D33" s="197">
        <f>'Data Base'!D65</f>
        <v>13.869595664257442</v>
      </c>
      <c r="E33" s="109">
        <f>'Data Base'!E65</f>
        <v>6.2094999999999997E-2</v>
      </c>
      <c r="F33" s="176">
        <f t="shared" si="11"/>
        <v>8.566688498859848E-2</v>
      </c>
      <c r="G33" s="97">
        <f t="shared" si="12"/>
        <v>1990.3187097188991</v>
      </c>
      <c r="H33" s="33">
        <f t="shared" si="9"/>
        <v>1.9230132461052165</v>
      </c>
      <c r="I33" s="33">
        <f t="shared" si="10"/>
        <v>11941.912258313394</v>
      </c>
    </row>
    <row r="34" spans="2:9" x14ac:dyDescent="0.2">
      <c r="B34" s="7" t="s">
        <v>56</v>
      </c>
      <c r="C34" s="8">
        <f>SUM(C28:C33)</f>
        <v>2051</v>
      </c>
      <c r="D34" s="198">
        <f>SUM(D28:D33)</f>
        <v>22.201051727345863</v>
      </c>
      <c r="E34" s="22">
        <f>SUM(E28:E33)</f>
        <v>0.72484251071186145</v>
      </c>
      <c r="F34" s="178">
        <f>E34/$E$41</f>
        <v>6.6882446269803943E-4</v>
      </c>
      <c r="G34" s="169">
        <f>((F34*$L$11)/6)*1000000</f>
        <v>23233.233121337296</v>
      </c>
      <c r="H34" s="160"/>
      <c r="I34" s="168">
        <f>SUM(I28:I33)</f>
        <v>139399.39872802378</v>
      </c>
    </row>
    <row r="35" spans="2:9" x14ac:dyDescent="0.2">
      <c r="B35" s="1"/>
      <c r="C35" s="5"/>
      <c r="D35" s="6"/>
      <c r="E35" s="21"/>
      <c r="H35" s="30"/>
    </row>
    <row r="36" spans="2:9" x14ac:dyDescent="0.2">
      <c r="B36" s="7" t="s">
        <v>103</v>
      </c>
      <c r="C36" s="161">
        <f>'Data Base'!C68</f>
        <v>2</v>
      </c>
      <c r="D36" s="190">
        <f>'Data Base'!D68</f>
        <v>38.293598199999998</v>
      </c>
      <c r="E36" s="162">
        <f>'Data Base'!E68</f>
        <v>2.2577619139080003</v>
      </c>
      <c r="F36" s="178">
        <f>E36/$E$41</f>
        <v>2.0832751620577716E-3</v>
      </c>
      <c r="G36" s="179">
        <f>((F36*$L$11)/6)*1000000</f>
        <v>72367.59448171097</v>
      </c>
      <c r="H36" s="168">
        <f t="shared" ref="H36" si="13">G36/C36</f>
        <v>36183.797240855485</v>
      </c>
      <c r="I36" s="168">
        <f t="shared" ref="I36" si="14">H36*C36*6</f>
        <v>434205.56689026579</v>
      </c>
    </row>
    <row r="37" spans="2:9" x14ac:dyDescent="0.2">
      <c r="B37" s="1"/>
      <c r="C37" s="99"/>
      <c r="D37" s="100"/>
      <c r="E37" s="101"/>
      <c r="H37" s="30"/>
    </row>
    <row r="38" spans="2:9" x14ac:dyDescent="0.2">
      <c r="B38" s="1"/>
      <c r="C38" s="99"/>
      <c r="D38" s="106"/>
      <c r="E38" s="101"/>
      <c r="H38" s="30"/>
    </row>
    <row r="39" spans="2:9" x14ac:dyDescent="0.2">
      <c r="B39" s="7" t="s">
        <v>104</v>
      </c>
      <c r="C39" s="161">
        <f>'Data Base'!C71</f>
        <v>1082</v>
      </c>
      <c r="D39" s="190">
        <f>'Data Base'!D71</f>
        <v>23.109614930104854</v>
      </c>
      <c r="E39" s="162">
        <f>'Data Base'!E71</f>
        <v>2.0174513654445589</v>
      </c>
      <c r="F39" s="178">
        <f>E39/$E$41</f>
        <v>1.8615365483844579E-3</v>
      </c>
      <c r="G39" s="179">
        <f>((F39*$L$11)/6)*1000000</f>
        <v>64664.968171225482</v>
      </c>
      <c r="H39" s="168">
        <f t="shared" ref="H39" si="15">G39/C39</f>
        <v>59.764295906862735</v>
      </c>
      <c r="I39" s="168">
        <f t="shared" ref="I39" si="16">H39*C39*6</f>
        <v>387989.80902735289</v>
      </c>
    </row>
    <row r="40" spans="2:9" x14ac:dyDescent="0.2">
      <c r="B40" s="1"/>
      <c r="C40" s="5"/>
      <c r="D40" s="26"/>
      <c r="E40" s="21"/>
      <c r="H40" s="30"/>
    </row>
    <row r="41" spans="2:9" ht="16.5" thickBot="1" x14ac:dyDescent="0.3">
      <c r="B41" s="17" t="s">
        <v>56</v>
      </c>
      <c r="C41" s="18">
        <f>C34+C36+C39+C25+C10</f>
        <v>1468901</v>
      </c>
      <c r="D41" s="19">
        <f>D34+D36+D39+D25+D10</f>
        <v>15480.301400747881</v>
      </c>
      <c r="E41" s="24">
        <f>E34+E36+E39+E25+E10</f>
        <v>1083.7559795403492</v>
      </c>
      <c r="F41" s="203">
        <f>F34+F36+F39+F25+F10</f>
        <v>1</v>
      </c>
      <c r="G41" s="181">
        <f>G34+G36+G39+G25+G10</f>
        <v>34737415.296704888</v>
      </c>
      <c r="H41" s="182"/>
      <c r="I41" s="183">
        <f>I34+I36+I39+I25+I10</f>
        <v>208342849.88022172</v>
      </c>
    </row>
    <row r="42" spans="2:9" x14ac:dyDescent="0.2">
      <c r="C42" s="34"/>
      <c r="G42" s="33"/>
    </row>
    <row r="43" spans="2:9" x14ac:dyDescent="0.2">
      <c r="G43" s="33"/>
    </row>
    <row r="44" spans="2:9" x14ac:dyDescent="0.2">
      <c r="C44" s="34"/>
      <c r="D44" s="34"/>
    </row>
    <row r="45" spans="2:9" x14ac:dyDescent="0.2">
      <c r="C45" s="34"/>
      <c r="D45" s="34"/>
    </row>
    <row r="46" spans="2:9" x14ac:dyDescent="0.2">
      <c r="C46" s="34"/>
      <c r="D46" s="34"/>
    </row>
    <row r="47" spans="2:9" x14ac:dyDescent="0.2">
      <c r="C47" s="34"/>
      <c r="D47" s="34"/>
    </row>
    <row r="48" spans="2:9" x14ac:dyDescent="0.2">
      <c r="C48" s="34"/>
      <c r="D48" s="34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3F8D7-EA91-4767-AE88-1A50D77D55B1}">
  <dimension ref="B4:R32"/>
  <sheetViews>
    <sheetView showGridLines="0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9" sqref="G19"/>
    </sheetView>
  </sheetViews>
  <sheetFormatPr defaultColWidth="8.7109375" defaultRowHeight="15" x14ac:dyDescent="0.2"/>
  <cols>
    <col min="1" max="1" width="8.7109375" style="30"/>
    <col min="2" max="2" width="28.7109375" style="30" bestFit="1" customWidth="1"/>
    <col min="3" max="3" width="16" style="30" customWidth="1"/>
    <col min="4" max="4" width="17.85546875" style="30" customWidth="1"/>
    <col min="5" max="5" width="13.7109375" style="30" bestFit="1" customWidth="1"/>
    <col min="6" max="6" width="17.5703125" style="91" customWidth="1"/>
    <col min="7" max="7" width="16.28515625" style="30" bestFit="1" customWidth="1"/>
    <col min="8" max="8" width="15.5703125" style="30" customWidth="1"/>
    <col min="9" max="9" width="18.28515625" style="30" bestFit="1" customWidth="1"/>
    <col min="10" max="10" width="8.5703125" style="30" customWidth="1"/>
    <col min="11" max="11" width="25.28515625" style="30" bestFit="1" customWidth="1"/>
    <col min="12" max="12" width="9.5703125" style="30" bestFit="1" customWidth="1"/>
    <col min="13" max="13" width="13.5703125" style="30" customWidth="1"/>
    <col min="14" max="17" width="8.7109375" style="30"/>
    <col min="18" max="18" width="16.85546875" style="30" bestFit="1" customWidth="1"/>
    <col min="19" max="16384" width="8.7109375" style="30"/>
  </cols>
  <sheetData>
    <row r="4" spans="2:18" ht="23.25" x14ac:dyDescent="0.35">
      <c r="B4" s="110" t="s">
        <v>122</v>
      </c>
    </row>
    <row r="5" spans="2:18" ht="32.25" thickBot="1" x14ac:dyDescent="0.3">
      <c r="B5" s="132" t="s">
        <v>37</v>
      </c>
      <c r="C5" s="133" t="s">
        <v>38</v>
      </c>
      <c r="D5" s="170" t="s">
        <v>39</v>
      </c>
      <c r="E5" s="135" t="s">
        <v>40</v>
      </c>
      <c r="F5" s="177" t="s">
        <v>106</v>
      </c>
      <c r="G5" s="136" t="s">
        <v>107</v>
      </c>
      <c r="H5" s="136" t="s">
        <v>108</v>
      </c>
      <c r="I5" s="136" t="s">
        <v>109</v>
      </c>
      <c r="K5" s="184" t="s">
        <v>41</v>
      </c>
      <c r="L5" s="185">
        <f>'Data Base'!J5</f>
        <v>307.47542199999998</v>
      </c>
      <c r="M5" s="184"/>
    </row>
    <row r="6" spans="2:18" x14ac:dyDescent="0.2">
      <c r="B6" s="1"/>
      <c r="C6" s="2"/>
      <c r="D6" s="171"/>
      <c r="E6" s="20"/>
      <c r="F6" s="176"/>
      <c r="K6" s="184" t="s">
        <v>42</v>
      </c>
      <c r="L6" s="185">
        <f>'Data Base'!J6</f>
        <v>24.520767489999997</v>
      </c>
      <c r="M6" s="184" t="str">
        <f>'Data Base'!K6</f>
        <v>Actual</v>
      </c>
    </row>
    <row r="7" spans="2:18" x14ac:dyDescent="0.2">
      <c r="B7" s="4" t="s">
        <v>112</v>
      </c>
      <c r="C7" s="5">
        <f>SUM('Data Base'!C7:C8)</f>
        <v>4377</v>
      </c>
      <c r="D7" s="174">
        <f>SUM('Data Base'!D7:D8)</f>
        <v>17.379859844854899</v>
      </c>
      <c r="E7" s="21">
        <f>SUM('Data Base'!E7:E8)</f>
        <v>1.1000218026360016</v>
      </c>
      <c r="F7" s="176">
        <f>+E7/$E$10</f>
        <v>2.8221171485963235E-3</v>
      </c>
      <c r="G7" s="97">
        <f>$G$10*F7</f>
        <v>33424.394709280692</v>
      </c>
      <c r="H7" s="33">
        <f>G7/C7</f>
        <v>7.6363707354993586</v>
      </c>
      <c r="I7" s="33">
        <f>H7*C7*6</f>
        <v>200546.36825568415</v>
      </c>
      <c r="K7" s="184" t="s">
        <v>45</v>
      </c>
      <c r="L7" s="185">
        <f>'Data Base'!J7</f>
        <v>24.12527789</v>
      </c>
      <c r="M7" s="184" t="str">
        <f>'Data Base'!K7</f>
        <v>Actual</v>
      </c>
    </row>
    <row r="8" spans="2:18" x14ac:dyDescent="0.2">
      <c r="B8" s="4" t="s">
        <v>113</v>
      </c>
      <c r="C8" s="5">
        <f>SUM('Data Base'!C9:C10)</f>
        <v>137469</v>
      </c>
      <c r="D8" s="174">
        <f>SUM('Data Base'!D9:D10)</f>
        <v>483.13483980058908</v>
      </c>
      <c r="E8" s="21">
        <f>SUM('Data Base'!E9:E10)</f>
        <v>31.124474189509787</v>
      </c>
      <c r="F8" s="176">
        <f>+E8/$E$10</f>
        <v>7.9850155824888275E-2</v>
      </c>
      <c r="G8" s="97">
        <f>$G$10*F8</f>
        <v>945723.71923544153</v>
      </c>
      <c r="H8" s="33">
        <f t="shared" ref="H8:H9" si="0">G8/C8</f>
        <v>6.8795417092976709</v>
      </c>
      <c r="I8" s="33">
        <f t="shared" ref="I8:I9" si="1">H8*C8*6</f>
        <v>5674342.315412649</v>
      </c>
      <c r="K8" s="184" t="s">
        <v>47</v>
      </c>
      <c r="L8" s="185">
        <f>'Data Base'!J8</f>
        <v>25.823086282409086</v>
      </c>
      <c r="M8" s="184" t="str">
        <f>'Data Base'!K8</f>
        <v>Forecast</v>
      </c>
    </row>
    <row r="9" spans="2:18" ht="15.75" thickBot="1" x14ac:dyDescent="0.25">
      <c r="B9" s="4" t="s">
        <v>114</v>
      </c>
      <c r="C9" s="5">
        <f>SUM('Data Base'!C11:C12)</f>
        <v>1198266</v>
      </c>
      <c r="D9" s="174">
        <f>SUM('Data Base'!D11:D12)</f>
        <v>5802.5647397024877</v>
      </c>
      <c r="E9" s="21">
        <f>SUM('Data Base'!E11:E12)</f>
        <v>357.56152092892177</v>
      </c>
      <c r="F9" s="176">
        <f>+E9/$E$10</f>
        <v>0.91732772702651533</v>
      </c>
      <c r="G9" s="97">
        <f>$G$10*F9</f>
        <v>10864582.30167798</v>
      </c>
      <c r="H9" s="33">
        <f t="shared" si="0"/>
        <v>9.0669202845428138</v>
      </c>
      <c r="I9" s="33">
        <f t="shared" si="1"/>
        <v>65187493.810067877</v>
      </c>
      <c r="K9" s="184" t="s">
        <v>50</v>
      </c>
      <c r="L9" s="186">
        <f>'Data Base'!J9</f>
        <v>24.581798557361601</v>
      </c>
      <c r="M9" s="184" t="str">
        <f>'Data Base'!K9</f>
        <v>Forecast</v>
      </c>
    </row>
    <row r="10" spans="2:18" ht="15.75" thickTop="1" x14ac:dyDescent="0.2">
      <c r="B10" s="7" t="s">
        <v>56</v>
      </c>
      <c r="C10" s="8">
        <f>SUM(C7:C9)</f>
        <v>1340112</v>
      </c>
      <c r="D10" s="115">
        <f>SUM(D7:D9)</f>
        <v>6303.0794393479318</v>
      </c>
      <c r="E10" s="22">
        <f>SUM(E7:E9)</f>
        <v>389.78601692106758</v>
      </c>
      <c r="F10" s="178">
        <f>E10/$E$30</f>
        <v>0.34095024959286974</v>
      </c>
      <c r="G10" s="169">
        <f>((F10*$L$11)/6)*1000000</f>
        <v>11843730.415622702</v>
      </c>
      <c r="H10" s="160"/>
      <c r="I10" s="168">
        <f>SUM(I7:I9)</f>
        <v>71062382.493736207</v>
      </c>
      <c r="K10" s="184" t="s">
        <v>52</v>
      </c>
      <c r="L10" s="185">
        <f>SUM(L6:L9)</f>
        <v>99.050930219770692</v>
      </c>
      <c r="M10" s="184"/>
    </row>
    <row r="11" spans="2:18" x14ac:dyDescent="0.2">
      <c r="B11" s="1"/>
      <c r="C11" s="94"/>
      <c r="D11" s="173"/>
      <c r="E11" s="21"/>
      <c r="F11" s="176"/>
      <c r="G11" s="92"/>
      <c r="K11" s="184" t="s">
        <v>54</v>
      </c>
      <c r="L11" s="185">
        <f>L5-L10</f>
        <v>208.42449178022929</v>
      </c>
      <c r="M11" s="184"/>
      <c r="R11" s="35"/>
    </row>
    <row r="12" spans="2:18" x14ac:dyDescent="0.2">
      <c r="C12" s="5"/>
      <c r="D12" s="144"/>
      <c r="E12" s="5"/>
      <c r="F12" s="176"/>
      <c r="G12" s="92"/>
    </row>
    <row r="13" spans="2:18" ht="16.149999999999999" customHeight="1" x14ac:dyDescent="0.2">
      <c r="B13" s="4" t="s">
        <v>115</v>
      </c>
      <c r="C13" s="5">
        <f>SUM('Data Base'!C20,'Data Base'!C26)</f>
        <v>113457</v>
      </c>
      <c r="D13" s="174">
        <f>SUM('Data Base'!D20,'Data Base'!D26)</f>
        <v>2240.8010076701175</v>
      </c>
      <c r="E13" s="21">
        <f>SUM('Data Base'!E20,'Data Base'!E26)</f>
        <v>196.13272213804825</v>
      </c>
      <c r="F13" s="176">
        <f t="shared" ref="F13:F20" si="2">+E13/$E$21</f>
        <v>0.28444397731927662</v>
      </c>
      <c r="G13" s="97">
        <f t="shared" ref="G13:G20" si="3">$G$21*F13</f>
        <v>5959534.1696305098</v>
      </c>
      <c r="H13" s="33">
        <f t="shared" ref="H13:H18" si="4">G13/C13</f>
        <v>52.52680900808685</v>
      </c>
      <c r="I13" s="33">
        <f t="shared" ref="I13:I18" si="5">H13*C13*6</f>
        <v>35757205.017783061</v>
      </c>
      <c r="R13" s="33"/>
    </row>
    <row r="14" spans="2:18" x14ac:dyDescent="0.2">
      <c r="B14" s="4" t="s">
        <v>116</v>
      </c>
      <c r="C14" s="5">
        <f>SUM('Data Base'!C21,'Data Base'!C27)</f>
        <v>10819</v>
      </c>
      <c r="D14" s="174">
        <f>SUM('Data Base'!D21,'Data Base'!D27)</f>
        <v>3803.886302793775</v>
      </c>
      <c r="E14" s="21">
        <f>SUM('Data Base'!E21,'Data Base'!E27)</f>
        <v>320.90490913298271</v>
      </c>
      <c r="F14" s="176">
        <f t="shared" si="2"/>
        <v>0.46539643002976061</v>
      </c>
      <c r="G14" s="97">
        <f t="shared" si="3"/>
        <v>9750763.4133283906</v>
      </c>
      <c r="H14" s="33">
        <f t="shared" si="4"/>
        <v>901.26290907924863</v>
      </c>
      <c r="I14" s="33">
        <f t="shared" si="5"/>
        <v>58504580.479970343</v>
      </c>
      <c r="L14" s="33"/>
      <c r="R14" s="33"/>
    </row>
    <row r="15" spans="2:18" x14ac:dyDescent="0.2">
      <c r="B15" s="4" t="s">
        <v>117</v>
      </c>
      <c r="C15" s="5">
        <f>SUM('Data Base'!C22,'Data Base'!C28)</f>
        <v>616</v>
      </c>
      <c r="D15" s="174">
        <f>SUM('Data Base'!D22,'Data Base'!D28)</f>
        <v>2648.3664044001066</v>
      </c>
      <c r="E15" s="21">
        <f>SUM('Data Base'!E22,'Data Base'!E28)</f>
        <v>151.85118134300347</v>
      </c>
      <c r="F15" s="176">
        <f t="shared" si="2"/>
        <v>0.22022410901651121</v>
      </c>
      <c r="G15" s="97">
        <f t="shared" si="3"/>
        <v>4614030.2038709754</v>
      </c>
      <c r="H15" s="33">
        <f t="shared" si="4"/>
        <v>7490.3087725178175</v>
      </c>
      <c r="I15" s="33">
        <f t="shared" si="5"/>
        <v>27684181.223225854</v>
      </c>
      <c r="L15" s="33"/>
    </row>
    <row r="16" spans="2:18" x14ac:dyDescent="0.2">
      <c r="B16" s="4" t="s">
        <v>118</v>
      </c>
      <c r="C16" s="107">
        <f>'Data Base'!C23</f>
        <v>1</v>
      </c>
      <c r="D16" s="172">
        <f>'Data Base'!D23</f>
        <v>6.058689152868368</v>
      </c>
      <c r="E16" s="109">
        <f>'Data Base'!E23</f>
        <v>0.4069436849973454</v>
      </c>
      <c r="F16" s="176">
        <f t="shared" si="2"/>
        <v>5.9017526011868177E-4</v>
      </c>
      <c r="G16" s="97">
        <f t="shared" si="3"/>
        <v>12365.069782440782</v>
      </c>
      <c r="H16" s="33">
        <f t="shared" si="4"/>
        <v>12365.069782440782</v>
      </c>
      <c r="I16" s="33">
        <f t="shared" si="5"/>
        <v>74190.418694644686</v>
      </c>
      <c r="L16" s="33"/>
    </row>
    <row r="17" spans="2:14" x14ac:dyDescent="0.2">
      <c r="B17" s="4" t="s">
        <v>119</v>
      </c>
      <c r="C17" s="107">
        <f>'Data Base'!C29</f>
        <v>1</v>
      </c>
      <c r="D17" s="172">
        <f>'Data Base'!D29</f>
        <v>64.792428988055747</v>
      </c>
      <c r="E17" s="109">
        <f>'Data Base'!E29</f>
        <v>1.0988640000000001</v>
      </c>
      <c r="F17" s="176">
        <f t="shared" si="2"/>
        <v>1.5936415060459426E-3</v>
      </c>
      <c r="G17" s="97">
        <f t="shared" si="3"/>
        <v>33389.214631750932</v>
      </c>
      <c r="H17" s="33">
        <f t="shared" si="4"/>
        <v>33389.214631750932</v>
      </c>
      <c r="I17" s="33">
        <f t="shared" si="5"/>
        <v>200335.28779050559</v>
      </c>
    </row>
    <row r="18" spans="2:14" x14ac:dyDescent="0.2">
      <c r="B18" s="4" t="s">
        <v>120</v>
      </c>
      <c r="C18" s="107">
        <f>'Data Base'!C30</f>
        <v>2</v>
      </c>
      <c r="D18" s="172">
        <f>'Data Base'!D30</f>
        <v>4.4336741250730203</v>
      </c>
      <c r="E18" s="109">
        <f>'Data Base'!E30</f>
        <v>0.1371508996558026</v>
      </c>
      <c r="F18" s="176">
        <f t="shared" si="2"/>
        <v>1.9890483834489908E-4</v>
      </c>
      <c r="G18" s="97">
        <f t="shared" si="3"/>
        <v>4167.3590412874819</v>
      </c>
      <c r="H18" s="33">
        <f t="shared" si="4"/>
        <v>2083.6795206437409</v>
      </c>
      <c r="I18" s="33">
        <f t="shared" si="5"/>
        <v>25004.154247724891</v>
      </c>
    </row>
    <row r="19" spans="2:14" x14ac:dyDescent="0.2">
      <c r="B19" s="4" t="s">
        <v>123</v>
      </c>
      <c r="C19" s="5">
        <f>SUM('Data Base'!C31:C32)</f>
        <v>16</v>
      </c>
      <c r="D19" s="174">
        <f>SUM('Data Base'!D31:D32)</f>
        <v>308.67021741249897</v>
      </c>
      <c r="E19" s="21">
        <f>SUM('Data Base'!E31:E32)</f>
        <v>16.981011074449619</v>
      </c>
      <c r="F19" s="176">
        <f t="shared" si="2"/>
        <v>2.462692750228301E-2</v>
      </c>
      <c r="G19" s="97">
        <f t="shared" si="3"/>
        <v>515971.60652176954</v>
      </c>
      <c r="H19" s="33">
        <f t="shared" ref="H19" si="6">G19/C19</f>
        <v>32248.225407610596</v>
      </c>
      <c r="I19" s="33">
        <f t="shared" ref="I19" si="7">H19*C19*6</f>
        <v>3095829.6391306175</v>
      </c>
    </row>
    <row r="20" spans="2:14" x14ac:dyDescent="0.2">
      <c r="B20" s="16" t="s">
        <v>124</v>
      </c>
      <c r="C20" s="107">
        <f>'Data Base'!C71</f>
        <v>1082</v>
      </c>
      <c r="D20" s="172">
        <f>'Data Base'!D71</f>
        <v>23.109614930104854</v>
      </c>
      <c r="E20" s="109">
        <f>'Data Base'!E71</f>
        <v>2.0174513654445589</v>
      </c>
      <c r="F20" s="176">
        <f t="shared" si="2"/>
        <v>2.9258345276590276E-3</v>
      </c>
      <c r="G20" s="97">
        <f t="shared" si="3"/>
        <v>61300.685662600066</v>
      </c>
      <c r="H20" s="33">
        <f>G20/C20</f>
        <v>56.654977507024093</v>
      </c>
      <c r="I20" s="33">
        <f>H20*C20*6</f>
        <v>367804.1139756004</v>
      </c>
    </row>
    <row r="21" spans="2:14" x14ac:dyDescent="0.2">
      <c r="B21" s="7" t="s">
        <v>56</v>
      </c>
      <c r="C21" s="8">
        <f>SUM(C13:C20)</f>
        <v>125994</v>
      </c>
      <c r="D21" s="115">
        <f>SUM(D13:D20)</f>
        <v>9100.1183394726013</v>
      </c>
      <c r="E21" s="27">
        <f>SUM(E13:E20)</f>
        <v>689.53023363858176</v>
      </c>
      <c r="F21" s="178">
        <f>E21/$E$30</f>
        <v>0.60313991537698375</v>
      </c>
      <c r="G21" s="169">
        <f>((F21*$L$11)/6)*1000000</f>
        <v>20951521.722469725</v>
      </c>
      <c r="H21" s="160"/>
      <c r="I21" s="168">
        <f>SUM(I13:I20)</f>
        <v>125709130.33481838</v>
      </c>
      <c r="N21" s="159"/>
    </row>
    <row r="22" spans="2:14" x14ac:dyDescent="0.2">
      <c r="C22" s="94"/>
      <c r="D22" s="144"/>
      <c r="E22" s="94"/>
      <c r="F22" s="176"/>
      <c r="G22" s="33"/>
    </row>
    <row r="23" spans="2:14" x14ac:dyDescent="0.2">
      <c r="B23" s="160" t="s">
        <v>125</v>
      </c>
      <c r="C23" s="161">
        <f>'Data Base'!C68</f>
        <v>2</v>
      </c>
      <c r="D23" s="175">
        <f>'Data Base'!D68</f>
        <v>38.293598199999998</v>
      </c>
      <c r="E23" s="162">
        <f>'Data Base'!E68</f>
        <v>2.2577619139080003</v>
      </c>
      <c r="F23" s="178">
        <f>E23/$E$30</f>
        <v>1.9748899515399775E-3</v>
      </c>
      <c r="G23" s="169">
        <f>((F23*$L$11)/6)*1000000</f>
        <v>68602.572411933579</v>
      </c>
      <c r="H23" s="168">
        <f t="shared" ref="H23" si="8">G23/C23</f>
        <v>34301.28620596679</v>
      </c>
      <c r="I23" s="168">
        <f>H23*C23*6</f>
        <v>411615.4344716015</v>
      </c>
    </row>
    <row r="24" spans="2:14" x14ac:dyDescent="0.2">
      <c r="B24" s="10"/>
      <c r="C24" s="5"/>
      <c r="D24" s="174"/>
      <c r="E24" s="94"/>
      <c r="F24" s="176"/>
      <c r="G24" s="97"/>
      <c r="H24" s="33"/>
    </row>
    <row r="25" spans="2:14" x14ac:dyDescent="0.2">
      <c r="B25" s="10" t="s">
        <v>126</v>
      </c>
      <c r="C25" s="107">
        <f>SUM('Data Base'!C15,'Data Base'!C59:C60)</f>
        <v>4</v>
      </c>
      <c r="D25" s="172">
        <f>SUM('Data Base'!D15,'Data Base'!D59:D60)</f>
        <v>6.5180058706572924E-2</v>
      </c>
      <c r="E25" s="109">
        <f>SUM('Data Base'!E15,'Data Base'!E59:E60)</f>
        <v>3.24924E-3</v>
      </c>
      <c r="F25" s="176">
        <f>E25/$E$28</f>
        <v>5.2695837063125333E-5</v>
      </c>
      <c r="G25" s="97">
        <f>$G$28*F25</f>
        <v>98.728843378316498</v>
      </c>
      <c r="H25" s="33">
        <f t="shared" ref="H25:H27" si="9">G25/C25</f>
        <v>24.682210844579124</v>
      </c>
      <c r="I25" s="33">
        <f>H25*C25*6</f>
        <v>592.37306026989904</v>
      </c>
    </row>
    <row r="26" spans="2:14" x14ac:dyDescent="0.2">
      <c r="B26" s="10" t="s">
        <v>127</v>
      </c>
      <c r="C26" s="107">
        <f>SUM('Data Base'!C16:C19)</f>
        <v>741</v>
      </c>
      <c r="D26" s="172">
        <f>SUM('Data Base'!D16:D19)</f>
        <v>16.608791999999998</v>
      </c>
      <c r="E26" s="109">
        <f>SUM('Data Base'!E16:E19)</f>
        <v>1.4571064360799997</v>
      </c>
      <c r="F26" s="176">
        <f>E26/$E$28</f>
        <v>2.3631200939082032E-2</v>
      </c>
      <c r="G26" s="97">
        <f>$G$28*F26</f>
        <v>44274.486684048956</v>
      </c>
      <c r="H26" s="33">
        <f t="shared" si="9"/>
        <v>59.749644647839347</v>
      </c>
      <c r="I26" s="33">
        <f t="shared" ref="I26:I27" si="10">H26*C26*6</f>
        <v>265646.92010429373</v>
      </c>
    </row>
    <row r="27" spans="2:14" x14ac:dyDescent="0.2">
      <c r="B27" s="10" t="s">
        <v>128</v>
      </c>
      <c r="C27" s="107">
        <f>SUM('Data Base'!C57,'Data Base'!C61:C65)</f>
        <v>2198</v>
      </c>
      <c r="D27" s="172">
        <f>SUM('Data Base'!D57,'Data Base'!D61:D65)</f>
        <v>284.59277453941098</v>
      </c>
      <c r="E27" s="109">
        <f>SUM('Data Base'!E57,'Data Base'!E61:E65)</f>
        <v>60.199923030711858</v>
      </c>
      <c r="F27" s="176">
        <f>E27/$E$28</f>
        <v>0.97631610322385487</v>
      </c>
      <c r="G27" s="97">
        <f>$G$28*F27</f>
        <v>1829187.3706730988</v>
      </c>
      <c r="H27" s="33">
        <f t="shared" si="9"/>
        <v>832.20535517429425</v>
      </c>
      <c r="I27" s="33">
        <f t="shared" si="10"/>
        <v>10975124.224038593</v>
      </c>
    </row>
    <row r="28" spans="2:14" x14ac:dyDescent="0.2">
      <c r="B28" s="7"/>
      <c r="C28" s="8">
        <f>SUM(C25:C27)</f>
        <v>2943</v>
      </c>
      <c r="D28" s="8">
        <f>SUM(D25:D27)</f>
        <v>301.26674659811755</v>
      </c>
      <c r="E28" s="27">
        <f>SUM(E25:E27)</f>
        <v>61.660278706791857</v>
      </c>
      <c r="F28" s="178">
        <f>E28/$E$30</f>
        <v>5.3934945078606585E-2</v>
      </c>
      <c r="G28" s="169">
        <f>((F28*$L$11)/6)*1000000</f>
        <v>1873560.586200526</v>
      </c>
      <c r="H28" s="168"/>
      <c r="I28" s="168">
        <f>SUM(I25:I27)</f>
        <v>11241363.517203158</v>
      </c>
    </row>
    <row r="29" spans="2:14" x14ac:dyDescent="0.2">
      <c r="C29" s="28"/>
      <c r="D29" s="5"/>
      <c r="E29" s="29"/>
      <c r="F29" s="176"/>
      <c r="G29" s="93"/>
    </row>
    <row r="30" spans="2:14" ht="16.5" thickBot="1" x14ac:dyDescent="0.3">
      <c r="B30" s="17"/>
      <c r="C30" s="18">
        <f>+C10+C21+C28+C23</f>
        <v>1469051</v>
      </c>
      <c r="D30" s="24">
        <f t="shared" ref="D30:E30" si="11">+D10+D21+D28+D23</f>
        <v>15742.758123618651</v>
      </c>
      <c r="E30" s="24">
        <f t="shared" si="11"/>
        <v>1143.2342911803491</v>
      </c>
      <c r="F30" s="187">
        <f>+F10+F21+F23+F28</f>
        <v>1</v>
      </c>
      <c r="G30" s="188">
        <f>+G10+G21+G23+G28</f>
        <v>34737415.296704888</v>
      </c>
      <c r="H30" s="182"/>
      <c r="I30" s="183">
        <f>+I28+I21+I10+I23</f>
        <v>208424491.78022936</v>
      </c>
    </row>
    <row r="31" spans="2:14" x14ac:dyDescent="0.2">
      <c r="C31" s="98"/>
      <c r="D31" s="98"/>
      <c r="E31" s="98"/>
    </row>
    <row r="32" spans="2:14" x14ac:dyDescent="0.2">
      <c r="G32" s="33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AC26-FA73-40C4-932E-1D84D0C712BD}">
  <dimension ref="B4:I38"/>
  <sheetViews>
    <sheetView showGridLines="0" topLeftCell="A7" zoomScale="115" zoomScaleNormal="115" workbookViewId="0">
      <selection activeCell="B29" sqref="B29"/>
    </sheetView>
  </sheetViews>
  <sheetFormatPr defaultColWidth="8.7109375" defaultRowHeight="15" x14ac:dyDescent="0.2"/>
  <cols>
    <col min="1" max="1" width="8.7109375" style="30"/>
    <col min="2" max="2" width="25.140625" style="30" customWidth="1"/>
    <col min="3" max="3" width="14.28515625" style="30" customWidth="1"/>
    <col min="4" max="4" width="18.5703125" style="30" customWidth="1"/>
    <col min="5" max="5" width="19.85546875" style="30" customWidth="1"/>
    <col min="6" max="6" width="12.7109375" style="30" customWidth="1"/>
    <col min="7" max="7" width="13.5703125" style="30" customWidth="1"/>
    <col min="8" max="8" width="17.28515625" style="30" customWidth="1"/>
    <col min="9" max="9" width="18.7109375" style="30" customWidth="1"/>
    <col min="10" max="16384" width="8.7109375" style="30"/>
  </cols>
  <sheetData>
    <row r="4" spans="2:9" ht="23.25" x14ac:dyDescent="0.35">
      <c r="B4" s="110" t="s">
        <v>129</v>
      </c>
    </row>
    <row r="6" spans="2:9" s="116" customFormat="1" ht="51.6" customHeight="1" thickBot="1" x14ac:dyDescent="0.3">
      <c r="B6" s="137" t="s">
        <v>130</v>
      </c>
      <c r="C6" s="137" t="s">
        <v>131</v>
      </c>
      <c r="D6" s="137" t="s">
        <v>132</v>
      </c>
      <c r="E6" s="137" t="s">
        <v>133</v>
      </c>
      <c r="F6" s="137" t="s">
        <v>134</v>
      </c>
      <c r="G6" s="137" t="s">
        <v>38</v>
      </c>
      <c r="H6" s="137" t="s">
        <v>135</v>
      </c>
      <c r="I6" s="137" t="s">
        <v>136</v>
      </c>
    </row>
    <row r="7" spans="2:9" x14ac:dyDescent="0.2">
      <c r="B7" s="4" t="s">
        <v>44</v>
      </c>
      <c r="C7" s="166">
        <f>'Scn1'!H7</f>
        <v>16.458370916934779</v>
      </c>
      <c r="D7" s="166">
        <f>'Scn2'!H7</f>
        <v>8.0554673282556379</v>
      </c>
      <c r="E7" s="117">
        <f>'Scn3'!H7</f>
        <v>7.6363707354993586</v>
      </c>
      <c r="F7" s="167">
        <f>D7</f>
        <v>8.0554673282556379</v>
      </c>
      <c r="G7" s="34">
        <f>'Data Base'!C7</f>
        <v>1098</v>
      </c>
      <c r="H7" s="33">
        <f t="shared" ref="H7:H35" si="0">G7*D7</f>
        <v>8844.9031264246896</v>
      </c>
      <c r="I7" s="33">
        <f>+H7*6</f>
        <v>53069.418758548141</v>
      </c>
    </row>
    <row r="8" spans="2:9" x14ac:dyDescent="0.2">
      <c r="B8" s="4" t="s">
        <v>46</v>
      </c>
      <c r="C8" s="166">
        <f>'Scn1'!H8</f>
        <v>5.2416862546448755</v>
      </c>
      <c r="D8" s="166">
        <f>D7</f>
        <v>8.0554673282556379</v>
      </c>
      <c r="E8" s="166">
        <f>E7</f>
        <v>7.6363707354993586</v>
      </c>
      <c r="F8" s="167">
        <f t="shared" ref="F8:F36" si="1">D8</f>
        <v>8.0554673282556379</v>
      </c>
      <c r="G8" s="34">
        <f>'Data Base'!C8</f>
        <v>3279</v>
      </c>
      <c r="H8" s="33">
        <f t="shared" si="0"/>
        <v>26413.877369350237</v>
      </c>
      <c r="I8" s="33">
        <f t="shared" ref="I8:I26" si="2">+H8*6</f>
        <v>158483.26421610144</v>
      </c>
    </row>
    <row r="9" spans="2:9" x14ac:dyDescent="0.2">
      <c r="B9" s="4" t="s">
        <v>49</v>
      </c>
      <c r="C9" s="166">
        <f>'Scn1'!H9</f>
        <v>4.9383015075359911</v>
      </c>
      <c r="D9" s="166">
        <f>'Scn2'!H8</f>
        <v>7.2571022796204572</v>
      </c>
      <c r="E9" s="117">
        <f>'Scn3'!H8</f>
        <v>6.8795417092976709</v>
      </c>
      <c r="F9" s="167">
        <f t="shared" si="1"/>
        <v>7.2571022796204572</v>
      </c>
      <c r="G9" s="34">
        <f>'Data Base'!C9</f>
        <v>99890</v>
      </c>
      <c r="H9" s="33">
        <f t="shared" si="0"/>
        <v>724911.94671128748</v>
      </c>
      <c r="I9" s="33">
        <f t="shared" si="2"/>
        <v>4349471.6802677251</v>
      </c>
    </row>
    <row r="10" spans="2:9" x14ac:dyDescent="0.2">
      <c r="B10" s="4" t="s">
        <v>51</v>
      </c>
      <c r="C10" s="166">
        <f>'Scn1'!H10</f>
        <v>13.420784365985643</v>
      </c>
      <c r="D10" s="166">
        <f>D9</f>
        <v>7.2571022796204572</v>
      </c>
      <c r="E10" s="166">
        <f>E9</f>
        <v>6.8795417092976709</v>
      </c>
      <c r="F10" s="167">
        <f t="shared" si="1"/>
        <v>7.2571022796204572</v>
      </c>
      <c r="G10" s="34">
        <f>'Data Base'!C10</f>
        <v>37579</v>
      </c>
      <c r="H10" s="33">
        <f t="shared" si="0"/>
        <v>272714.64656585717</v>
      </c>
      <c r="I10" s="33">
        <f t="shared" si="2"/>
        <v>1636287.8793951431</v>
      </c>
    </row>
    <row r="11" spans="2:9" x14ac:dyDescent="0.2">
      <c r="B11" s="4" t="s">
        <v>53</v>
      </c>
      <c r="C11" s="166">
        <f>'Scn1'!H11</f>
        <v>7.305894962990175</v>
      </c>
      <c r="D11" s="166">
        <f>'Scn2'!H9</f>
        <v>9.5645277907341963</v>
      </c>
      <c r="E11" s="117">
        <f>'Scn3'!H9</f>
        <v>9.0669202845428138</v>
      </c>
      <c r="F11" s="167">
        <f t="shared" si="1"/>
        <v>9.5645277907341963</v>
      </c>
      <c r="G11" s="34">
        <f>'Data Base'!C11</f>
        <v>235650</v>
      </c>
      <c r="H11" s="33">
        <f t="shared" si="0"/>
        <v>2253880.9738865132</v>
      </c>
      <c r="I11" s="33">
        <f t="shared" si="2"/>
        <v>13523285.843319079</v>
      </c>
    </row>
    <row r="12" spans="2:9" x14ac:dyDescent="0.2">
      <c r="B12" s="4" t="s">
        <v>55</v>
      </c>
      <c r="C12" s="166">
        <f>'Scn1'!H12</f>
        <v>10.117444868632214</v>
      </c>
      <c r="D12" s="166">
        <f>D11</f>
        <v>9.5645277907341963</v>
      </c>
      <c r="E12" s="117">
        <f>+E11</f>
        <v>9.0669202845428138</v>
      </c>
      <c r="F12" s="167">
        <f t="shared" si="1"/>
        <v>9.5645277907341963</v>
      </c>
      <c r="G12" s="34">
        <f>'Data Base'!C12</f>
        <v>962616</v>
      </c>
      <c r="H12" s="33">
        <f t="shared" si="0"/>
        <v>9206967.4838053901</v>
      </c>
      <c r="I12" s="33">
        <f t="shared" si="2"/>
        <v>55241804.902832344</v>
      </c>
    </row>
    <row r="13" spans="2:9" x14ac:dyDescent="0.2">
      <c r="B13" s="10" t="s">
        <v>57</v>
      </c>
      <c r="C13" s="166">
        <f>'Scn1'!H15</f>
        <v>0.58079676334819974</v>
      </c>
      <c r="D13" s="166">
        <f>'Scn2'!H13</f>
        <v>0.58079676334819985</v>
      </c>
      <c r="E13" s="117">
        <f>'Scn3'!H25</f>
        <v>24.682210844579124</v>
      </c>
      <c r="F13" s="167">
        <f t="shared" si="1"/>
        <v>0.58079676334819985</v>
      </c>
      <c r="G13" s="34">
        <f>'Data Base'!C15</f>
        <v>1</v>
      </c>
      <c r="H13" s="33">
        <f t="shared" si="0"/>
        <v>0.58079676334819985</v>
      </c>
      <c r="I13" s="33">
        <f t="shared" si="2"/>
        <v>3.4847805800891991</v>
      </c>
    </row>
    <row r="14" spans="2:9" x14ac:dyDescent="0.2">
      <c r="B14" s="4" t="s">
        <v>58</v>
      </c>
      <c r="C14" s="166">
        <f>'Scn1'!H16</f>
        <v>1334.328638254043</v>
      </c>
      <c r="D14" s="166">
        <f>'Scn2'!H14</f>
        <v>2794.6450335532254</v>
      </c>
      <c r="E14" s="117">
        <f>'Scn3'!H26</f>
        <v>59.749644647839347</v>
      </c>
      <c r="F14" s="167">
        <f t="shared" si="1"/>
        <v>2794.6450335532254</v>
      </c>
      <c r="G14" s="34">
        <f>'Data Base'!C16</f>
        <v>10</v>
      </c>
      <c r="H14" s="33">
        <f t="shared" si="0"/>
        <v>27946.450335532252</v>
      </c>
      <c r="I14" s="33">
        <f t="shared" si="2"/>
        <v>167678.70201319351</v>
      </c>
    </row>
    <row r="15" spans="2:9" x14ac:dyDescent="0.2">
      <c r="B15" s="4" t="s">
        <v>59</v>
      </c>
      <c r="C15" s="166">
        <f>'Scn1'!H17</f>
        <v>17397.808986545038</v>
      </c>
      <c r="D15" s="166">
        <f>D14</f>
        <v>2794.6450335532254</v>
      </c>
      <c r="E15" s="117">
        <f t="shared" ref="E15:E17" si="3">E14</f>
        <v>59.749644647839347</v>
      </c>
      <c r="F15" s="167">
        <f t="shared" si="1"/>
        <v>2794.6450335532254</v>
      </c>
      <c r="G15" s="34">
        <f>'Data Base'!C17</f>
        <v>1</v>
      </c>
      <c r="H15" s="33">
        <f t="shared" si="0"/>
        <v>2794.6450335532254</v>
      </c>
      <c r="I15" s="33">
        <f t="shared" si="2"/>
        <v>16767.870201319354</v>
      </c>
    </row>
    <row r="16" spans="2:9" x14ac:dyDescent="0.2">
      <c r="B16" s="4" t="s">
        <v>60</v>
      </c>
      <c r="C16" s="166">
        <f>'Scn1'!H18</f>
        <v>376.05507059430732</v>
      </c>
      <c r="D16" s="166">
        <f>'Scn2'!H15</f>
        <v>376.05507059430744</v>
      </c>
      <c r="E16" s="117">
        <f t="shared" si="3"/>
        <v>59.749644647839347</v>
      </c>
      <c r="F16" s="167">
        <f t="shared" si="1"/>
        <v>376.05507059430744</v>
      </c>
      <c r="G16" s="34">
        <f>'Data Base'!C18</f>
        <v>37</v>
      </c>
      <c r="H16" s="33">
        <f t="shared" si="0"/>
        <v>13914.037611989375</v>
      </c>
      <c r="I16" s="33">
        <f t="shared" si="2"/>
        <v>83484.225671936249</v>
      </c>
    </row>
    <row r="17" spans="2:9" x14ac:dyDescent="0.2">
      <c r="B17" s="4" t="s">
        <v>61</v>
      </c>
      <c r="C17" s="166">
        <f>'Scn1'!H19</f>
        <v>2.9570135533845239</v>
      </c>
      <c r="D17" s="166">
        <f>'Scn2'!H16</f>
        <v>2.9570135533845243</v>
      </c>
      <c r="E17" s="117">
        <f t="shared" si="3"/>
        <v>59.749644647839347</v>
      </c>
      <c r="F17" s="167">
        <f t="shared" si="1"/>
        <v>2.9570135533845243</v>
      </c>
      <c r="G17" s="34">
        <f>'Data Base'!C19</f>
        <v>693</v>
      </c>
      <c r="H17" s="33">
        <f t="shared" si="0"/>
        <v>2049.2103924954754</v>
      </c>
      <c r="I17" s="33">
        <f t="shared" si="2"/>
        <v>12295.262354972852</v>
      </c>
    </row>
    <row r="18" spans="2:9" x14ac:dyDescent="0.2">
      <c r="B18" s="4" t="s">
        <v>62</v>
      </c>
      <c r="C18" s="166">
        <f>'Scn1'!H20</f>
        <v>55.37621062870452</v>
      </c>
      <c r="D18" s="166">
        <f>'Scn2'!H17</f>
        <v>55.409566727184107</v>
      </c>
      <c r="E18" s="117">
        <f>'Scn3'!H13</f>
        <v>52.52680900808685</v>
      </c>
      <c r="F18" s="167">
        <f t="shared" si="1"/>
        <v>55.409566727184107</v>
      </c>
      <c r="G18" s="34">
        <f>'Data Base'!C20</f>
        <v>113344</v>
      </c>
      <c r="H18" s="33">
        <f t="shared" si="0"/>
        <v>6280341.9311259557</v>
      </c>
      <c r="I18" s="33">
        <f t="shared" si="2"/>
        <v>37682051.586755738</v>
      </c>
    </row>
    <row r="19" spans="2:9" x14ac:dyDescent="0.2">
      <c r="B19" s="4" t="s">
        <v>63</v>
      </c>
      <c r="C19" s="166">
        <f>'Scn1'!H21</f>
        <v>943.46835370398696</v>
      </c>
      <c r="D19" s="166">
        <f>'Scn2'!H18</f>
        <v>950.72570069265612</v>
      </c>
      <c r="E19" s="117">
        <f>'Scn3'!H14</f>
        <v>901.26290907924863</v>
      </c>
      <c r="F19" s="167">
        <f t="shared" si="1"/>
        <v>950.72570069265612</v>
      </c>
      <c r="G19" s="34">
        <f>'Data Base'!C21</f>
        <v>10588</v>
      </c>
      <c r="H19" s="33">
        <f t="shared" si="0"/>
        <v>10066283.718933843</v>
      </c>
      <c r="I19" s="33">
        <f t="shared" si="2"/>
        <v>60397702.313603058</v>
      </c>
    </row>
    <row r="20" spans="2:9" x14ac:dyDescent="0.2">
      <c r="B20" s="4" t="s">
        <v>64</v>
      </c>
      <c r="C20" s="166">
        <f>'Scn1'!H22</f>
        <v>7524.3599274193693</v>
      </c>
      <c r="D20" s="166">
        <f>'Scn2'!H19</f>
        <v>7901.38924437883</v>
      </c>
      <c r="E20" s="117">
        <f>'Scn3'!H15</f>
        <v>7490.3087725178175</v>
      </c>
      <c r="F20" s="167">
        <f t="shared" si="1"/>
        <v>7901.38924437883</v>
      </c>
      <c r="G20" s="34">
        <f>'Data Base'!C22</f>
        <v>400</v>
      </c>
      <c r="H20" s="33">
        <f t="shared" si="0"/>
        <v>3160555.6977515318</v>
      </c>
      <c r="I20" s="33">
        <f t="shared" si="2"/>
        <v>18963334.186509192</v>
      </c>
    </row>
    <row r="21" spans="2:9" x14ac:dyDescent="0.2">
      <c r="B21" s="4" t="s">
        <v>65</v>
      </c>
      <c r="C21" s="166">
        <f>'Scn1'!H23</f>
        <v>13043.68516067591</v>
      </c>
      <c r="D21" s="166">
        <f>'Scn2'!H20</f>
        <v>13043.685160675914</v>
      </c>
      <c r="E21" s="117">
        <f>'Scn3'!H16</f>
        <v>12365.069782440782</v>
      </c>
      <c r="F21" s="167">
        <f t="shared" si="1"/>
        <v>13043.685160675914</v>
      </c>
      <c r="G21" s="34">
        <f>'Data Base'!C23</f>
        <v>1</v>
      </c>
      <c r="H21" s="33">
        <f t="shared" si="0"/>
        <v>13043.685160675914</v>
      </c>
      <c r="I21" s="33">
        <f t="shared" si="2"/>
        <v>78262.110964055479</v>
      </c>
    </row>
    <row r="22" spans="2:9" x14ac:dyDescent="0.2">
      <c r="B22" s="4" t="s">
        <v>66</v>
      </c>
      <c r="C22" s="166">
        <f>'Scn1'!H26</f>
        <v>88.867209435757815</v>
      </c>
      <c r="D22" s="166">
        <f>D18</f>
        <v>55.409566727184107</v>
      </c>
      <c r="E22" s="117">
        <f>E18</f>
        <v>52.52680900808685</v>
      </c>
      <c r="F22" s="167">
        <f t="shared" si="1"/>
        <v>55.409566727184107</v>
      </c>
      <c r="G22" s="34">
        <f>'Data Base'!C26</f>
        <v>113</v>
      </c>
      <c r="H22" s="33">
        <f t="shared" si="0"/>
        <v>6261.2810401718043</v>
      </c>
      <c r="I22" s="33">
        <f t="shared" si="2"/>
        <v>37567.686241030824</v>
      </c>
    </row>
    <row r="23" spans="2:9" x14ac:dyDescent="0.2">
      <c r="B23" s="4" t="s">
        <v>67</v>
      </c>
      <c r="C23" s="166">
        <f>'Scn1'!H27</f>
        <v>1283.3698128832514</v>
      </c>
      <c r="D23" s="166">
        <f t="shared" ref="D23:D24" si="4">D19</f>
        <v>950.72570069265612</v>
      </c>
      <c r="E23" s="117">
        <f t="shared" ref="E23:E24" si="5">E19</f>
        <v>901.26290907924863</v>
      </c>
      <c r="F23" s="167">
        <f t="shared" si="1"/>
        <v>950.72570069265612</v>
      </c>
      <c r="G23" s="34">
        <f>'Data Base'!C27</f>
        <v>231</v>
      </c>
      <c r="H23" s="33">
        <f t="shared" si="0"/>
        <v>219617.63686000355</v>
      </c>
      <c r="I23" s="33">
        <f t="shared" ref="I23" si="6">+H23*6</f>
        <v>1317705.8211600212</v>
      </c>
    </row>
    <row r="24" spans="2:9" x14ac:dyDescent="0.2">
      <c r="B24" s="4" t="s">
        <v>68</v>
      </c>
      <c r="C24" s="166">
        <f>'Scn1'!H28</f>
        <v>8599.5916831926406</v>
      </c>
      <c r="D24" s="166">
        <f t="shared" si="4"/>
        <v>7901.38924437883</v>
      </c>
      <c r="E24" s="117">
        <f t="shared" si="5"/>
        <v>7490.3087725178175</v>
      </c>
      <c r="F24" s="167">
        <f t="shared" si="1"/>
        <v>7901.38924437883</v>
      </c>
      <c r="G24" s="34">
        <f>'Data Base'!C28</f>
        <v>216</v>
      </c>
      <c r="H24" s="33">
        <f t="shared" si="0"/>
        <v>1706700.0767858273</v>
      </c>
      <c r="I24" s="33">
        <f t="shared" si="2"/>
        <v>10240200.460714964</v>
      </c>
    </row>
    <row r="25" spans="2:9" x14ac:dyDescent="0.2">
      <c r="B25" s="4" t="s">
        <v>69</v>
      </c>
      <c r="C25" s="166">
        <f>'Scn1'!H29</f>
        <v>35221.669677696249</v>
      </c>
      <c r="D25" s="166">
        <f>'Scn2'!H21</f>
        <v>35221.669677696256</v>
      </c>
      <c r="E25" s="117">
        <f>'Scn3'!H17</f>
        <v>33389.214631750932</v>
      </c>
      <c r="F25" s="167">
        <f t="shared" si="1"/>
        <v>35221.669677696256</v>
      </c>
      <c r="G25" s="34">
        <f>'Data Base'!C29</f>
        <v>1</v>
      </c>
      <c r="H25" s="33">
        <f t="shared" si="0"/>
        <v>35221.669677696256</v>
      </c>
      <c r="I25" s="33">
        <f t="shared" si="2"/>
        <v>211330.01806617755</v>
      </c>
    </row>
    <row r="26" spans="2:9" x14ac:dyDescent="0.2">
      <c r="B26" s="4" t="s">
        <v>70</v>
      </c>
      <c r="C26" s="166">
        <f>'Scn1'!H30</f>
        <v>2198.0352817434837</v>
      </c>
      <c r="D26" s="166">
        <f>'Scn2'!H22</f>
        <v>2198.0352817434841</v>
      </c>
      <c r="E26" s="117">
        <f>'Scn3'!H18</f>
        <v>2083.6795206437409</v>
      </c>
      <c r="F26" s="167">
        <f t="shared" si="1"/>
        <v>2198.0352817434841</v>
      </c>
      <c r="G26" s="34">
        <f>'Data Base'!C30</f>
        <v>2</v>
      </c>
      <c r="H26" s="33">
        <f t="shared" si="0"/>
        <v>4396.0705634869682</v>
      </c>
      <c r="I26" s="33">
        <f t="shared" si="2"/>
        <v>26376.423380921809</v>
      </c>
    </row>
    <row r="27" spans="2:9" x14ac:dyDescent="0.2">
      <c r="B27" s="4" t="s">
        <v>71</v>
      </c>
      <c r="C27" s="166">
        <f>'Scn1'!H31</f>
        <v>37905.856718690498</v>
      </c>
      <c r="D27" s="166">
        <f>'Scn2'!H23</f>
        <v>37905.856718690506</v>
      </c>
      <c r="E27" s="117">
        <f>'Scn3'!H19</f>
        <v>32248.225407610596</v>
      </c>
      <c r="F27" s="167">
        <f t="shared" si="1"/>
        <v>37905.856718690506</v>
      </c>
      <c r="G27" s="34">
        <f>'Data Base'!C31</f>
        <v>14</v>
      </c>
      <c r="H27" s="33">
        <f t="shared" si="0"/>
        <v>530681.99406166712</v>
      </c>
      <c r="I27" s="33">
        <f t="shared" ref="I27:I36" si="7">+H27*6</f>
        <v>3184091.964370003</v>
      </c>
    </row>
    <row r="28" spans="2:9" x14ac:dyDescent="0.2">
      <c r="B28" s="4" t="s">
        <v>72</v>
      </c>
      <c r="C28" s="166">
        <f>'Scn1'!H32</f>
        <v>6803.4916672975896</v>
      </c>
      <c r="D28" s="166">
        <f>'Scn2'!H24</f>
        <v>6803.4916672975924</v>
      </c>
      <c r="E28" s="117">
        <f>+E27</f>
        <v>32248.225407610596</v>
      </c>
      <c r="F28" s="167">
        <f t="shared" si="1"/>
        <v>6803.4916672975924</v>
      </c>
      <c r="G28" s="34">
        <f>'Data Base'!C32</f>
        <v>2</v>
      </c>
      <c r="H28" s="33">
        <f t="shared" si="0"/>
        <v>13606.983334595185</v>
      </c>
      <c r="I28" s="33">
        <f t="shared" si="7"/>
        <v>81641.900007571108</v>
      </c>
    </row>
    <row r="29" spans="2:9" x14ac:dyDescent="0.2">
      <c r="B29" s="4" t="s">
        <v>121</v>
      </c>
      <c r="C29" s="33">
        <f>'Scn1'!H36</f>
        <v>34.522149337557664</v>
      </c>
      <c r="D29" s="159">
        <f>'Scn2'!H28</f>
        <v>34.522149337557664</v>
      </c>
      <c r="E29" s="33">
        <f>'Scn3'!H25</f>
        <v>24.682210844579124</v>
      </c>
      <c r="F29" s="167">
        <f t="shared" si="1"/>
        <v>34.522149337557664</v>
      </c>
      <c r="G29" s="34">
        <f>'Data Base'!C59+'Data Base'!C60</f>
        <v>3</v>
      </c>
      <c r="H29" s="33">
        <f t="shared" si="0"/>
        <v>103.56644801267299</v>
      </c>
      <c r="I29" s="33">
        <f t="shared" si="7"/>
        <v>621.39868807603796</v>
      </c>
    </row>
    <row r="30" spans="2:9" x14ac:dyDescent="0.2">
      <c r="B30" s="4" t="s">
        <v>98</v>
      </c>
      <c r="C30" s="33">
        <f>'Scn1'!H37</f>
        <v>407.99724334332694</v>
      </c>
      <c r="D30" s="159">
        <f>'Scn2'!H29</f>
        <v>407.997243343327</v>
      </c>
      <c r="E30" s="33">
        <f>'Scn3'!H27</f>
        <v>832.20535517429425</v>
      </c>
      <c r="F30" s="167">
        <f t="shared" si="1"/>
        <v>407.997243343327</v>
      </c>
      <c r="G30" s="34">
        <f>'Data Base'!C61</f>
        <v>23</v>
      </c>
      <c r="H30" s="33">
        <f t="shared" si="0"/>
        <v>9383.9365968965212</v>
      </c>
      <c r="I30" s="33">
        <f t="shared" si="7"/>
        <v>56303.619581379127</v>
      </c>
    </row>
    <row r="31" spans="2:9" x14ac:dyDescent="0.2">
      <c r="B31" s="4" t="s">
        <v>99</v>
      </c>
      <c r="C31" s="33">
        <f>'Scn1'!H38</f>
        <v>33.840442745582678</v>
      </c>
      <c r="D31" s="159">
        <f>'Scn2'!H30</f>
        <v>33.840442745582678</v>
      </c>
      <c r="E31" s="33">
        <f>E30</f>
        <v>832.20535517429425</v>
      </c>
      <c r="F31" s="167">
        <f t="shared" si="1"/>
        <v>33.840442745582678</v>
      </c>
      <c r="G31" s="34">
        <f>'Data Base'!C62</f>
        <v>225</v>
      </c>
      <c r="H31" s="33">
        <f t="shared" si="0"/>
        <v>7614.0996177561028</v>
      </c>
      <c r="I31" s="33">
        <f t="shared" si="7"/>
        <v>45684.597706536617</v>
      </c>
    </row>
    <row r="32" spans="2:9" x14ac:dyDescent="0.2">
      <c r="B32" s="4" t="s">
        <v>137</v>
      </c>
      <c r="C32" s="33">
        <f>'Scn1'!H39</f>
        <v>15.672536532830671</v>
      </c>
      <c r="D32" s="159">
        <f>'Scn2'!H31</f>
        <v>15.672536532830671</v>
      </c>
      <c r="E32" s="33">
        <f t="shared" ref="E32:E34" si="8">E30</f>
        <v>832.20535517429425</v>
      </c>
      <c r="F32" s="167">
        <f t="shared" si="1"/>
        <v>15.672536532830671</v>
      </c>
      <c r="G32" s="34">
        <f>'Data Base'!C63</f>
        <v>80</v>
      </c>
      <c r="H32" s="33">
        <f t="shared" si="0"/>
        <v>1253.8029226264537</v>
      </c>
      <c r="I32" s="33">
        <f t="shared" si="7"/>
        <v>7522.8175357587224</v>
      </c>
    </row>
    <row r="33" spans="2:9" x14ac:dyDescent="0.2">
      <c r="B33" s="4" t="s">
        <v>138</v>
      </c>
      <c r="C33" s="33">
        <f>'Scn1'!H40</f>
        <v>4.2153413523016754</v>
      </c>
      <c r="D33" s="159">
        <f>'Scn2'!H32</f>
        <v>4.2153413523016754</v>
      </c>
      <c r="E33" s="33">
        <f t="shared" si="8"/>
        <v>832.20535517429425</v>
      </c>
      <c r="F33" s="167">
        <f t="shared" si="1"/>
        <v>4.2153413523016754</v>
      </c>
      <c r="G33" s="34">
        <f>'Data Base'!C64</f>
        <v>685</v>
      </c>
      <c r="H33" s="33">
        <f t="shared" si="0"/>
        <v>2887.5088263266475</v>
      </c>
      <c r="I33" s="33">
        <f t="shared" si="7"/>
        <v>17325.052957959884</v>
      </c>
    </row>
    <row r="34" spans="2:9" x14ac:dyDescent="0.2">
      <c r="B34" s="4" t="s">
        <v>102</v>
      </c>
      <c r="C34" s="33">
        <f>'Scn1'!H41</f>
        <v>1.9230132461052165</v>
      </c>
      <c r="D34" s="159">
        <f>'Scn2'!H33</f>
        <v>1.9230132461052165</v>
      </c>
      <c r="E34" s="33">
        <f t="shared" si="8"/>
        <v>832.20535517429425</v>
      </c>
      <c r="F34" s="167">
        <f t="shared" si="1"/>
        <v>1.9230132461052165</v>
      </c>
      <c r="G34" s="34">
        <f>'Data Base'!C65</f>
        <v>1035</v>
      </c>
      <c r="H34" s="33">
        <f t="shared" si="0"/>
        <v>1990.3187097188991</v>
      </c>
      <c r="I34" s="33">
        <f t="shared" si="7"/>
        <v>11941.912258313394</v>
      </c>
    </row>
    <row r="35" spans="2:9" x14ac:dyDescent="0.2">
      <c r="B35" s="4" t="s">
        <v>103</v>
      </c>
      <c r="C35" s="33">
        <f>'Scn1'!H44</f>
        <v>36183.797240855485</v>
      </c>
      <c r="D35" s="159">
        <f>'Scn2'!H36</f>
        <v>36183.797240855485</v>
      </c>
      <c r="E35" s="33">
        <f>'Scn3'!H23</f>
        <v>34301.28620596679</v>
      </c>
      <c r="F35" s="167">
        <f t="shared" si="1"/>
        <v>36183.797240855485</v>
      </c>
      <c r="G35" s="34">
        <f>'Data Base'!C68</f>
        <v>2</v>
      </c>
      <c r="H35" s="33">
        <f t="shared" si="0"/>
        <v>72367.59448171097</v>
      </c>
      <c r="I35" s="33">
        <f t="shared" si="7"/>
        <v>434205.56689026579</v>
      </c>
    </row>
    <row r="36" spans="2:9" x14ac:dyDescent="0.2">
      <c r="B36" s="4" t="s">
        <v>104</v>
      </c>
      <c r="C36" s="33">
        <f>'Scn1'!H47</f>
        <v>59.764295906862728</v>
      </c>
      <c r="D36" s="159">
        <f>'Scn2'!H39</f>
        <v>59.764295906862735</v>
      </c>
      <c r="E36" s="33">
        <f>'Scn3'!H20</f>
        <v>56.654977507024093</v>
      </c>
      <c r="F36" s="167">
        <f t="shared" si="1"/>
        <v>59.764295906862735</v>
      </c>
      <c r="G36" s="34">
        <f>'Data Base'!C71</f>
        <v>1082</v>
      </c>
      <c r="H36" s="33">
        <f>G36*D36</f>
        <v>64664.968171225482</v>
      </c>
      <c r="I36" s="33">
        <f t="shared" si="7"/>
        <v>387989.80902735289</v>
      </c>
    </row>
    <row r="37" spans="2:9" ht="18" x14ac:dyDescent="0.4">
      <c r="B37" s="4"/>
      <c r="G37" s="34">
        <f>SUM(G7:G36)</f>
        <v>1468901</v>
      </c>
      <c r="H37" s="34">
        <f>SUM(H7:H36)</f>
        <v>34737415.296704888</v>
      </c>
      <c r="I37" s="158">
        <f>SUM(I7:I36)</f>
        <v>208424491.78022927</v>
      </c>
    </row>
    <row r="38" spans="2:9" x14ac:dyDescent="0.2">
      <c r="I38" s="33"/>
    </row>
  </sheetData>
  <phoneticPr fontId="17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4AA7B-738F-45E0-8A93-DA1DF17B8407}">
  <dimension ref="B5:R64"/>
  <sheetViews>
    <sheetView showGridLines="0" tabSelected="1" topLeftCell="A7" zoomScale="85" zoomScaleNormal="85" workbookViewId="0">
      <pane xSplit="11" ySplit="2" topLeftCell="L9" activePane="bottomRight" state="frozen"/>
      <selection pane="topRight" activeCell="L7" sqref="L7"/>
      <selection pane="bottomLeft" activeCell="A9" sqref="A9"/>
      <selection pane="bottomRight" activeCell="N17" sqref="N17"/>
    </sheetView>
  </sheetViews>
  <sheetFormatPr defaultColWidth="8.7109375" defaultRowHeight="15" x14ac:dyDescent="0.2"/>
  <cols>
    <col min="1" max="1" width="8.7109375" style="30"/>
    <col min="2" max="2" width="38.42578125" style="30" customWidth="1"/>
    <col min="3" max="4" width="14" style="30" customWidth="1"/>
    <col min="5" max="5" width="13.42578125" style="30" customWidth="1"/>
    <col min="6" max="6" width="14.7109375" style="30" customWidth="1"/>
    <col min="7" max="7" width="13.85546875" style="30" customWidth="1"/>
    <col min="8" max="8" width="14.140625" style="30" customWidth="1"/>
    <col min="9" max="9" width="14" style="30" customWidth="1"/>
    <col min="10" max="11" width="13.85546875" style="30" customWidth="1"/>
    <col min="12" max="12" width="17.5703125" style="30" customWidth="1"/>
    <col min="13" max="13" width="14.42578125" style="30" customWidth="1"/>
    <col min="14" max="14" width="14.7109375" style="30" customWidth="1"/>
    <col min="15" max="15" width="15.140625" style="30" customWidth="1"/>
    <col min="16" max="16" width="15.5703125" style="30" customWidth="1"/>
    <col min="17" max="17" width="16.85546875" style="30" customWidth="1"/>
    <col min="18" max="18" width="14.85546875" style="30" customWidth="1"/>
    <col min="19" max="16384" width="8.7109375" style="30"/>
  </cols>
  <sheetData>
    <row r="5" spans="2:18" s="118" customFormat="1" ht="23.25" x14ac:dyDescent="0.35">
      <c r="B5" s="110" t="s">
        <v>139</v>
      </c>
      <c r="G5" s="119"/>
    </row>
    <row r="6" spans="2:18" ht="51.6" customHeight="1" x14ac:dyDescent="0.25">
      <c r="B6" s="123"/>
      <c r="C6" s="123" t="s">
        <v>140</v>
      </c>
      <c r="D6" s="124"/>
      <c r="E6" s="124"/>
      <c r="F6" s="124"/>
      <c r="G6" s="124"/>
      <c r="H6" s="124"/>
      <c r="I6" s="124"/>
      <c r="J6" s="124"/>
      <c r="K6" s="124"/>
      <c r="L6" s="125"/>
      <c r="M6" s="136" t="s">
        <v>141</v>
      </c>
      <c r="N6" s="121"/>
      <c r="O6" s="143"/>
      <c r="P6" s="136" t="s">
        <v>141</v>
      </c>
      <c r="Q6" s="121"/>
      <c r="R6" s="121"/>
    </row>
    <row r="7" spans="2:18" ht="18" x14ac:dyDescent="0.25">
      <c r="B7" s="121"/>
      <c r="C7" s="123" t="s">
        <v>142</v>
      </c>
      <c r="D7" s="123"/>
      <c r="E7" s="123"/>
      <c r="F7" s="123"/>
      <c r="G7" s="123"/>
      <c r="H7" s="123"/>
      <c r="I7" s="123"/>
      <c r="J7" s="123"/>
      <c r="K7" s="123"/>
      <c r="L7" s="126"/>
      <c r="M7" s="121">
        <v>1.9191E-2</v>
      </c>
      <c r="N7" s="121"/>
      <c r="O7" s="143"/>
      <c r="P7" s="121">
        <v>1.9191E-2</v>
      </c>
      <c r="Q7" s="121"/>
      <c r="R7" s="121"/>
    </row>
    <row r="8" spans="2:18" ht="47.25" x14ac:dyDescent="0.25">
      <c r="B8" s="121" t="s">
        <v>37</v>
      </c>
      <c r="C8" s="122">
        <v>45658</v>
      </c>
      <c r="D8" s="122">
        <v>45689</v>
      </c>
      <c r="E8" s="122">
        <v>45717</v>
      </c>
      <c r="F8" s="122">
        <v>45748</v>
      </c>
      <c r="G8" s="122">
        <v>45778</v>
      </c>
      <c r="H8" s="122">
        <v>45809</v>
      </c>
      <c r="I8" s="122">
        <v>45839</v>
      </c>
      <c r="J8" s="122">
        <v>45870</v>
      </c>
      <c r="K8" s="122">
        <v>45901</v>
      </c>
      <c r="L8" s="202" t="s">
        <v>143</v>
      </c>
      <c r="M8" s="121" t="s">
        <v>144</v>
      </c>
      <c r="N8" s="136" t="s">
        <v>145</v>
      </c>
      <c r="O8" s="143" t="s">
        <v>146</v>
      </c>
      <c r="P8" s="121" t="s">
        <v>144</v>
      </c>
      <c r="Q8" s="136" t="s">
        <v>145</v>
      </c>
      <c r="R8" s="121" t="s">
        <v>146</v>
      </c>
    </row>
    <row r="9" spans="2:18" ht="15.75" x14ac:dyDescent="0.25">
      <c r="B9" s="141" t="s">
        <v>147</v>
      </c>
      <c r="C9" s="112"/>
      <c r="D9" s="112"/>
      <c r="E9" s="112"/>
      <c r="F9" s="112"/>
      <c r="G9" s="112"/>
      <c r="H9" s="112"/>
      <c r="I9" s="112"/>
      <c r="J9" s="112"/>
      <c r="K9" s="112"/>
      <c r="L9" s="127"/>
      <c r="M9" s="138" t="s">
        <v>148</v>
      </c>
      <c r="O9" s="144"/>
      <c r="P9" s="138" t="s">
        <v>42</v>
      </c>
    </row>
    <row r="10" spans="2:18" x14ac:dyDescent="0.2">
      <c r="B10" s="4" t="s">
        <v>44</v>
      </c>
      <c r="C10" s="113">
        <v>757.25168724279797</v>
      </c>
      <c r="D10" s="113">
        <v>753.06878594249201</v>
      </c>
      <c r="E10" s="113">
        <v>729.02586206896547</v>
      </c>
      <c r="F10" s="113">
        <v>767.99910323253391</v>
      </c>
      <c r="G10" s="113">
        <v>833.86645785876988</v>
      </c>
      <c r="H10" s="113">
        <v>974.64245175936435</v>
      </c>
      <c r="I10" s="113">
        <v>847.02096627164997</v>
      </c>
      <c r="J10" s="113">
        <v>898.88539756782041</v>
      </c>
      <c r="K10" s="113">
        <v>846.33506044905005</v>
      </c>
      <c r="L10" s="128">
        <f>AVERAGE(C10:I10,K10)</f>
        <v>813.65129685320289</v>
      </c>
      <c r="M10" s="117">
        <f>ROUND(L10*$M$7,2)</f>
        <v>15.61</v>
      </c>
      <c r="N10" s="117">
        <f>Summary!F7</f>
        <v>8.0554673282556379</v>
      </c>
      <c r="O10" s="145">
        <f>N10-M10</f>
        <v>-7.5545326717443615</v>
      </c>
      <c r="P10" s="117">
        <f>ROUND(K10*$P$7,2)</f>
        <v>16.239999999999998</v>
      </c>
      <c r="Q10" s="117">
        <f>N10</f>
        <v>8.0554673282556379</v>
      </c>
      <c r="R10" s="139">
        <f t="shared" ref="R10:R15" si="0">Q10-P10</f>
        <v>-8.1845326717443605</v>
      </c>
    </row>
    <row r="11" spans="2:18" x14ac:dyDescent="0.2">
      <c r="B11" s="4" t="s">
        <v>46</v>
      </c>
      <c r="C11" s="113">
        <v>209.83996558197748</v>
      </c>
      <c r="D11" s="113">
        <v>210.52284329058494</v>
      </c>
      <c r="E11" s="113">
        <v>211.36366593681578</v>
      </c>
      <c r="F11" s="113">
        <v>212.70673292722029</v>
      </c>
      <c r="G11" s="113">
        <v>210.60236759142495</v>
      </c>
      <c r="H11" s="113">
        <v>206.18932655654385</v>
      </c>
      <c r="I11" s="113">
        <v>216.89462809917356</v>
      </c>
      <c r="J11" s="113">
        <v>219.09077002406326</v>
      </c>
      <c r="K11" s="113">
        <v>221.67789322823361</v>
      </c>
      <c r="L11" s="128">
        <f t="shared" ref="L11:L15" si="1">AVERAGE(C11:I11,K11)</f>
        <v>212.47467790149682</v>
      </c>
      <c r="M11" s="117">
        <f t="shared" ref="M11:M15" si="2">ROUND(L11*$M$7,2)</f>
        <v>4.08</v>
      </c>
      <c r="N11" s="117">
        <f>Summary!F8</f>
        <v>8.0554673282556379</v>
      </c>
      <c r="O11" s="145">
        <f t="shared" ref="O11:O15" si="3">N11-M11</f>
        <v>3.9754673282556379</v>
      </c>
      <c r="P11" s="117">
        <f t="shared" ref="P11:P15" si="4">ROUND(K11*$P$7,2)</f>
        <v>4.25</v>
      </c>
      <c r="Q11" s="117">
        <f t="shared" ref="Q11:Q15" si="5">N11</f>
        <v>8.0554673282556379</v>
      </c>
      <c r="R11" s="139">
        <f t="shared" si="0"/>
        <v>3.8054673282556379</v>
      </c>
    </row>
    <row r="12" spans="2:18" x14ac:dyDescent="0.2">
      <c r="B12" s="4" t="s">
        <v>49</v>
      </c>
      <c r="C12" s="113">
        <v>196.88762024389277</v>
      </c>
      <c r="D12" s="113">
        <v>195.17082942101644</v>
      </c>
      <c r="E12" s="113">
        <v>195.41341623685972</v>
      </c>
      <c r="F12" s="113">
        <v>196.20248596415684</v>
      </c>
      <c r="G12" s="113">
        <v>192.60133287716721</v>
      </c>
      <c r="H12" s="113">
        <v>178.7547635850388</v>
      </c>
      <c r="I12" s="113">
        <v>199.87159825061264</v>
      </c>
      <c r="J12" s="113">
        <v>204.6088472296683</v>
      </c>
      <c r="K12" s="113">
        <v>201.60782666699606</v>
      </c>
      <c r="L12" s="128">
        <f t="shared" si="1"/>
        <v>194.56373415571755</v>
      </c>
      <c r="M12" s="117">
        <f t="shared" si="2"/>
        <v>3.73</v>
      </c>
      <c r="N12" s="117">
        <f>Summary!F9</f>
        <v>7.2571022796204572</v>
      </c>
      <c r="O12" s="145">
        <f t="shared" si="3"/>
        <v>3.5271022796204572</v>
      </c>
      <c r="P12" s="117">
        <f t="shared" si="4"/>
        <v>3.87</v>
      </c>
      <c r="Q12" s="117">
        <f t="shared" si="5"/>
        <v>7.2571022796204572</v>
      </c>
      <c r="R12" s="139">
        <f t="shared" si="0"/>
        <v>3.3871022796204571</v>
      </c>
    </row>
    <row r="13" spans="2:18" x14ac:dyDescent="0.2">
      <c r="B13" s="4" t="s">
        <v>51</v>
      </c>
      <c r="C13" s="113">
        <v>621.5479633364547</v>
      </c>
      <c r="D13" s="113">
        <v>599.67707760549263</v>
      </c>
      <c r="E13" s="113">
        <v>606.331758814674</v>
      </c>
      <c r="F13" s="113">
        <v>626.55696166351072</v>
      </c>
      <c r="G13" s="113">
        <v>612.11462761809048</v>
      </c>
      <c r="H13" s="113">
        <v>885.12437630774184</v>
      </c>
      <c r="I13" s="113">
        <v>684.60383430520415</v>
      </c>
      <c r="J13" s="113">
        <v>720.78292150993843</v>
      </c>
      <c r="K13" s="113">
        <v>702.41542870664944</v>
      </c>
      <c r="L13" s="128">
        <f t="shared" si="1"/>
        <v>667.29650354472722</v>
      </c>
      <c r="M13" s="117">
        <f t="shared" si="2"/>
        <v>12.81</v>
      </c>
      <c r="N13" s="117">
        <f>Summary!F10</f>
        <v>7.2571022796204572</v>
      </c>
      <c r="O13" s="145">
        <f t="shared" si="3"/>
        <v>-5.5528977203795433</v>
      </c>
      <c r="P13" s="117">
        <f t="shared" si="4"/>
        <v>13.48</v>
      </c>
      <c r="Q13" s="117">
        <f t="shared" si="5"/>
        <v>7.2571022796204572</v>
      </c>
      <c r="R13" s="139">
        <f t="shared" si="0"/>
        <v>-6.2228977203795433</v>
      </c>
    </row>
    <row r="14" spans="2:18" x14ac:dyDescent="0.2">
      <c r="B14" s="4" t="s">
        <v>53</v>
      </c>
      <c r="C14" s="113">
        <v>128.70575698736045</v>
      </c>
      <c r="D14" s="113">
        <v>117.61529317364356</v>
      </c>
      <c r="E14" s="113">
        <v>120.25843502793769</v>
      </c>
      <c r="F14" s="113">
        <v>136.77646181410501</v>
      </c>
      <c r="G14" s="113">
        <v>120.60852054475762</v>
      </c>
      <c r="H14" s="113">
        <v>319.40213981176095</v>
      </c>
      <c r="I14" s="113">
        <v>345.17998534810943</v>
      </c>
      <c r="J14" s="113">
        <v>219.34066960195912</v>
      </c>
      <c r="K14" s="113">
        <v>370.89308263931207</v>
      </c>
      <c r="L14" s="128">
        <f t="shared" si="1"/>
        <v>207.42995941837336</v>
      </c>
      <c r="M14" s="117">
        <f t="shared" si="2"/>
        <v>3.98</v>
      </c>
      <c r="N14" s="117">
        <f>Summary!F11</f>
        <v>9.5645277907341963</v>
      </c>
      <c r="O14" s="145">
        <f t="shared" si="3"/>
        <v>5.5845277907341959</v>
      </c>
      <c r="P14" s="117">
        <f t="shared" si="4"/>
        <v>7.12</v>
      </c>
      <c r="Q14" s="117">
        <f t="shared" si="5"/>
        <v>9.5645277907341963</v>
      </c>
      <c r="R14" s="139">
        <f t="shared" si="0"/>
        <v>2.4445277907341962</v>
      </c>
    </row>
    <row r="15" spans="2:18" x14ac:dyDescent="0.2">
      <c r="B15" s="4" t="s">
        <v>55</v>
      </c>
      <c r="C15" s="113">
        <v>437.27322455437002</v>
      </c>
      <c r="D15" s="113">
        <v>422.24042643541532</v>
      </c>
      <c r="E15" s="113">
        <v>427.56633508933174</v>
      </c>
      <c r="F15" s="113">
        <v>443.873522114634</v>
      </c>
      <c r="G15" s="113">
        <v>429.71920502998154</v>
      </c>
      <c r="H15" s="113">
        <v>468.59063864966708</v>
      </c>
      <c r="I15" s="113">
        <v>507.30718249641671</v>
      </c>
      <c r="J15" s="113">
        <v>553.36260006634188</v>
      </c>
      <c r="K15" s="113">
        <v>540.93397778650069</v>
      </c>
      <c r="L15" s="128">
        <f t="shared" si="1"/>
        <v>459.68806401953964</v>
      </c>
      <c r="M15" s="117">
        <f t="shared" si="2"/>
        <v>8.82</v>
      </c>
      <c r="N15" s="117">
        <f>Summary!F12</f>
        <v>9.5645277907341963</v>
      </c>
      <c r="O15" s="145">
        <f t="shared" si="3"/>
        <v>0.74452779073419606</v>
      </c>
      <c r="P15" s="117">
        <f t="shared" si="4"/>
        <v>10.38</v>
      </c>
      <c r="Q15" s="117">
        <f t="shared" si="5"/>
        <v>9.5645277907341963</v>
      </c>
      <c r="R15" s="139">
        <f t="shared" si="0"/>
        <v>-0.81547220926580444</v>
      </c>
    </row>
    <row r="16" spans="2:18" x14ac:dyDescent="0.2">
      <c r="B16" s="111"/>
      <c r="C16" s="113"/>
      <c r="D16" s="113"/>
      <c r="E16" s="113"/>
      <c r="F16" s="113"/>
      <c r="G16" s="113"/>
      <c r="H16" s="113"/>
      <c r="I16" s="113"/>
      <c r="J16" s="113"/>
      <c r="K16" s="113"/>
      <c r="L16" s="127"/>
      <c r="M16" s="117"/>
      <c r="N16" s="117"/>
      <c r="O16" s="145"/>
      <c r="P16" s="117"/>
      <c r="Q16" s="117"/>
      <c r="R16" s="139"/>
    </row>
    <row r="17" spans="2:18" ht="15.75" x14ac:dyDescent="0.25">
      <c r="B17" s="141" t="s">
        <v>149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27"/>
      <c r="M17" s="117"/>
      <c r="N17" s="117"/>
      <c r="O17" s="145"/>
      <c r="P17" s="117"/>
      <c r="Q17" s="117"/>
      <c r="R17" s="139"/>
    </row>
    <row r="18" spans="2:18" x14ac:dyDescent="0.2">
      <c r="B18" s="10" t="s">
        <v>57</v>
      </c>
      <c r="C18" s="113">
        <v>14.66</v>
      </c>
      <c r="D18" s="113">
        <v>14.66</v>
      </c>
      <c r="E18" s="113">
        <v>14.66</v>
      </c>
      <c r="F18" s="113">
        <v>14.66</v>
      </c>
      <c r="G18" s="113">
        <v>14.66</v>
      </c>
      <c r="H18" s="113">
        <v>15</v>
      </c>
      <c r="I18" s="113">
        <v>15</v>
      </c>
      <c r="J18" s="113">
        <v>14.66</v>
      </c>
      <c r="K18" s="113">
        <v>15</v>
      </c>
      <c r="L18" s="128">
        <f>AVERAGE(C18:I18,K18)</f>
        <v>14.7875</v>
      </c>
      <c r="M18" s="117">
        <f t="shared" ref="M18:M26" si="6">ROUND(L18*$M$7,2)</f>
        <v>0.28000000000000003</v>
      </c>
      <c r="N18" s="117">
        <f>Summary!F13</f>
        <v>0.58079676334819985</v>
      </c>
      <c r="O18" s="145">
        <f t="shared" ref="O18:O26" si="7">N18-M18</f>
        <v>0.30079676334819982</v>
      </c>
      <c r="P18" s="117">
        <f t="shared" ref="P18:P26" si="8">ROUND(K18*$P$7,2)</f>
        <v>0.28999999999999998</v>
      </c>
      <c r="Q18" s="117">
        <f>N18</f>
        <v>0.58079676334819985</v>
      </c>
      <c r="R18" s="139">
        <f t="shared" ref="R18:R26" si="9">Q18-P18</f>
        <v>0.29079676334819987</v>
      </c>
    </row>
    <row r="19" spans="2:18" x14ac:dyDescent="0.2">
      <c r="B19" s="4" t="s">
        <v>58</v>
      </c>
      <c r="C19" s="113">
        <v>44260.4</v>
      </c>
      <c r="D19" s="113">
        <v>44260.4</v>
      </c>
      <c r="E19" s="113">
        <v>44260.4</v>
      </c>
      <c r="F19" s="113">
        <v>44260.4</v>
      </c>
      <c r="G19" s="113">
        <v>44260.4</v>
      </c>
      <c r="H19" s="113">
        <v>44260.4</v>
      </c>
      <c r="I19" s="113">
        <v>44260.4</v>
      </c>
      <c r="J19" s="113">
        <v>44260.4</v>
      </c>
      <c r="K19" s="113">
        <v>44260.4</v>
      </c>
      <c r="L19" s="128">
        <f t="shared" ref="L19:L26" si="10">AVERAGE(C19:I19,K19)</f>
        <v>44260.400000000009</v>
      </c>
      <c r="M19" s="117">
        <f t="shared" si="6"/>
        <v>849.4</v>
      </c>
      <c r="N19" s="117">
        <f>Summary!F14</f>
        <v>2794.6450335532254</v>
      </c>
      <c r="O19" s="145">
        <f t="shared" si="7"/>
        <v>1945.2450335532253</v>
      </c>
      <c r="P19" s="117">
        <f t="shared" si="8"/>
        <v>849.4</v>
      </c>
      <c r="Q19" s="117">
        <f t="shared" ref="Q19:Q26" si="11">N19</f>
        <v>2794.6450335532254</v>
      </c>
      <c r="R19" s="139">
        <f t="shared" si="9"/>
        <v>1945.2450335532253</v>
      </c>
    </row>
    <row r="20" spans="2:18" x14ac:dyDescent="0.2">
      <c r="B20" s="4" t="s">
        <v>59</v>
      </c>
      <c r="C20" s="113">
        <v>403104</v>
      </c>
      <c r="D20" s="113">
        <v>403104</v>
      </c>
      <c r="E20" s="113">
        <v>403104</v>
      </c>
      <c r="F20" s="113">
        <v>403104</v>
      </c>
      <c r="G20" s="113">
        <v>403104</v>
      </c>
      <c r="H20" s="113">
        <v>403104</v>
      </c>
      <c r="I20" s="113">
        <v>403104</v>
      </c>
      <c r="J20" s="113">
        <v>403104</v>
      </c>
      <c r="K20" s="113">
        <v>403104</v>
      </c>
      <c r="L20" s="128">
        <f t="shared" si="10"/>
        <v>403104</v>
      </c>
      <c r="M20" s="117">
        <f t="shared" si="6"/>
        <v>7735.97</v>
      </c>
      <c r="N20" s="117">
        <f>Summary!F15</f>
        <v>2794.6450335532254</v>
      </c>
      <c r="O20" s="145">
        <f t="shared" si="7"/>
        <v>-4941.3249664467749</v>
      </c>
      <c r="P20" s="117">
        <f t="shared" si="8"/>
        <v>7735.97</v>
      </c>
      <c r="Q20" s="117">
        <f t="shared" si="11"/>
        <v>2794.6450335532254</v>
      </c>
      <c r="R20" s="139">
        <f t="shared" si="9"/>
        <v>-4941.3249664467749</v>
      </c>
    </row>
    <row r="21" spans="2:18" x14ac:dyDescent="0.2">
      <c r="B21" s="4" t="s">
        <v>60</v>
      </c>
      <c r="C21" s="113">
        <v>11512.567567567568</v>
      </c>
      <c r="D21" s="113">
        <v>11512.567567567568</v>
      </c>
      <c r="E21" s="113">
        <v>11512.567567567568</v>
      </c>
      <c r="F21" s="113">
        <v>11512.567567567568</v>
      </c>
      <c r="G21" s="113">
        <v>11512.567567567568</v>
      </c>
      <c r="H21" s="113">
        <v>11512.567567567568</v>
      </c>
      <c r="I21" s="113">
        <v>11512.567567567568</v>
      </c>
      <c r="J21" s="113">
        <v>11512.567567567568</v>
      </c>
      <c r="K21" s="113">
        <v>11512.567567567568</v>
      </c>
      <c r="L21" s="128">
        <f t="shared" si="10"/>
        <v>11512.56756756757</v>
      </c>
      <c r="M21" s="117">
        <f t="shared" si="6"/>
        <v>220.94</v>
      </c>
      <c r="N21" s="117">
        <f>Summary!F16</f>
        <v>376.05507059430744</v>
      </c>
      <c r="O21" s="145">
        <f t="shared" si="7"/>
        <v>155.11507059430744</v>
      </c>
      <c r="P21" s="117">
        <f t="shared" si="8"/>
        <v>220.94</v>
      </c>
      <c r="Q21" s="117">
        <f t="shared" si="11"/>
        <v>376.05507059430744</v>
      </c>
      <c r="R21" s="139">
        <f t="shared" si="9"/>
        <v>155.11507059430744</v>
      </c>
    </row>
    <row r="22" spans="2:18" x14ac:dyDescent="0.2">
      <c r="B22" s="4" t="s">
        <v>61</v>
      </c>
      <c r="C22" s="113">
        <v>14.697883597883598</v>
      </c>
      <c r="D22" s="113">
        <v>14.697883597883598</v>
      </c>
      <c r="E22" s="113">
        <v>14.697883597883598</v>
      </c>
      <c r="F22" s="113">
        <v>14.697883597883598</v>
      </c>
      <c r="G22" s="113">
        <v>14.697883597883598</v>
      </c>
      <c r="H22" s="113">
        <v>10.49244060475162</v>
      </c>
      <c r="I22" s="113">
        <v>10.49244060475162</v>
      </c>
      <c r="J22" s="113">
        <v>10.426025917926566</v>
      </c>
      <c r="K22" s="113">
        <v>10.17081081081081</v>
      </c>
      <c r="L22" s="128">
        <f t="shared" si="10"/>
        <v>13.080638751216505</v>
      </c>
      <c r="M22" s="117">
        <f t="shared" si="6"/>
        <v>0.25</v>
      </c>
      <c r="N22" s="117">
        <f>Summary!F17</f>
        <v>2.9570135533845243</v>
      </c>
      <c r="O22" s="145">
        <f t="shared" si="7"/>
        <v>2.7070135533845243</v>
      </c>
      <c r="P22" s="117">
        <f t="shared" si="8"/>
        <v>0.2</v>
      </c>
      <c r="Q22" s="117">
        <f t="shared" si="11"/>
        <v>2.9570135533845243</v>
      </c>
      <c r="R22" s="139">
        <f t="shared" si="9"/>
        <v>2.7570135533845241</v>
      </c>
    </row>
    <row r="23" spans="2:18" x14ac:dyDescent="0.2">
      <c r="B23" s="4" t="s">
        <v>62</v>
      </c>
      <c r="C23" s="113">
        <v>1507.7374614538987</v>
      </c>
      <c r="D23" s="113">
        <v>1596.6271312289091</v>
      </c>
      <c r="E23" s="113">
        <v>1572.14442682459</v>
      </c>
      <c r="F23" s="113">
        <v>1679.6899802432308</v>
      </c>
      <c r="G23" s="113">
        <v>1529.3434294214615</v>
      </c>
      <c r="H23" s="113">
        <v>1511.2038761061947</v>
      </c>
      <c r="I23" s="113">
        <v>1559.6087738635863</v>
      </c>
      <c r="J23" s="113">
        <v>1900.4208283033149</v>
      </c>
      <c r="K23" s="113">
        <v>1660.4450839032645</v>
      </c>
      <c r="L23" s="128">
        <f t="shared" si="10"/>
        <v>1577.100020380642</v>
      </c>
      <c r="M23" s="117">
        <f t="shared" si="6"/>
        <v>30.27</v>
      </c>
      <c r="N23" s="117">
        <f>Summary!F18</f>
        <v>55.409566727184107</v>
      </c>
      <c r="O23" s="145">
        <f t="shared" si="7"/>
        <v>25.139566727184107</v>
      </c>
      <c r="P23" s="117">
        <f t="shared" si="8"/>
        <v>31.87</v>
      </c>
      <c r="Q23" s="117">
        <f t="shared" si="11"/>
        <v>55.409566727184107</v>
      </c>
      <c r="R23" s="139">
        <f t="shared" si="9"/>
        <v>23.539566727184106</v>
      </c>
    </row>
    <row r="24" spans="2:18" x14ac:dyDescent="0.2">
      <c r="B24" s="4" t="s">
        <v>63</v>
      </c>
      <c r="C24" s="113">
        <v>26515.303362229573</v>
      </c>
      <c r="D24" s="113">
        <v>28452.626171965818</v>
      </c>
      <c r="E24" s="113">
        <v>28648.974014194035</v>
      </c>
      <c r="F24" s="113">
        <v>30057.102722346506</v>
      </c>
      <c r="G24" s="113">
        <v>28111.311644004712</v>
      </c>
      <c r="H24" s="113">
        <v>30816.626090254078</v>
      </c>
      <c r="I24" s="113">
        <v>31282.736033914272</v>
      </c>
      <c r="J24" s="113">
        <v>37236.779198783057</v>
      </c>
      <c r="K24" s="113">
        <v>32640.833991351759</v>
      </c>
      <c r="L24" s="128">
        <f t="shared" si="10"/>
        <v>29565.689253782595</v>
      </c>
      <c r="M24" s="117">
        <f t="shared" si="6"/>
        <v>567.4</v>
      </c>
      <c r="N24" s="117">
        <f>Summary!F19</f>
        <v>950.72570069265612</v>
      </c>
      <c r="O24" s="145">
        <f t="shared" si="7"/>
        <v>383.32570069265614</v>
      </c>
      <c r="P24" s="117">
        <f t="shared" si="8"/>
        <v>626.41</v>
      </c>
      <c r="Q24" s="117">
        <f>N24</f>
        <v>950.72570069265612</v>
      </c>
      <c r="R24" s="139">
        <f t="shared" si="9"/>
        <v>324.31570069265615</v>
      </c>
    </row>
    <row r="25" spans="2:18" x14ac:dyDescent="0.2">
      <c r="B25" s="4" t="s">
        <v>64</v>
      </c>
      <c r="C25" s="113">
        <v>362700.20805000002</v>
      </c>
      <c r="D25" s="113">
        <v>333977.77167919802</v>
      </c>
      <c r="E25" s="113">
        <v>350151.61653634091</v>
      </c>
      <c r="F25" s="113">
        <v>368185.11829072685</v>
      </c>
      <c r="G25" s="113">
        <v>329675.83711278194</v>
      </c>
      <c r="H25" s="113">
        <v>390031.89847715735</v>
      </c>
      <c r="I25" s="113">
        <v>373353.00755667506</v>
      </c>
      <c r="J25" s="113">
        <v>465989.82082537696</v>
      </c>
      <c r="K25" s="113">
        <v>383093.59749999997</v>
      </c>
      <c r="L25" s="128">
        <f t="shared" si="10"/>
        <v>361396.13190035999</v>
      </c>
      <c r="M25" s="117">
        <f t="shared" si="6"/>
        <v>6935.55</v>
      </c>
      <c r="N25" s="117">
        <f>Summary!F20</f>
        <v>7901.38924437883</v>
      </c>
      <c r="O25" s="145">
        <f t="shared" si="7"/>
        <v>965.83924437882979</v>
      </c>
      <c r="P25" s="117">
        <f t="shared" si="8"/>
        <v>7351.95</v>
      </c>
      <c r="Q25" s="117">
        <f t="shared" si="11"/>
        <v>7901.38924437883</v>
      </c>
      <c r="R25" s="139">
        <f t="shared" si="9"/>
        <v>549.43924437883015</v>
      </c>
    </row>
    <row r="26" spans="2:18" x14ac:dyDescent="0.2">
      <c r="B26" s="4" t="s">
        <v>65</v>
      </c>
      <c r="C26" s="113">
        <v>495000</v>
      </c>
      <c r="D26" s="113">
        <v>511500</v>
      </c>
      <c r="E26" s="113">
        <v>537900</v>
      </c>
      <c r="F26" s="113">
        <v>531300</v>
      </c>
      <c r="G26" s="113">
        <v>501600</v>
      </c>
      <c r="H26" s="113">
        <v>495000</v>
      </c>
      <c r="I26" s="113">
        <v>511500</v>
      </c>
      <c r="J26" s="113">
        <v>488400</v>
      </c>
      <c r="K26" s="113">
        <v>534600</v>
      </c>
      <c r="L26" s="128">
        <f t="shared" si="10"/>
        <v>514800</v>
      </c>
      <c r="M26" s="117">
        <f t="shared" si="6"/>
        <v>9879.5300000000007</v>
      </c>
      <c r="N26" s="117">
        <f>Summary!F21</f>
        <v>13043.685160675914</v>
      </c>
      <c r="O26" s="145">
        <f t="shared" si="7"/>
        <v>3164.1551606759131</v>
      </c>
      <c r="P26" s="117">
        <f t="shared" si="8"/>
        <v>10259.51</v>
      </c>
      <c r="Q26" s="117">
        <f t="shared" si="11"/>
        <v>13043.685160675914</v>
      </c>
      <c r="R26" s="139">
        <f t="shared" si="9"/>
        <v>2784.1751606759135</v>
      </c>
    </row>
    <row r="27" spans="2:18" x14ac:dyDescent="0.2">
      <c r="B27" s="111"/>
      <c r="C27" s="113"/>
      <c r="D27" s="113"/>
      <c r="E27" s="113"/>
      <c r="F27" s="113"/>
      <c r="G27" s="113"/>
      <c r="H27" s="113"/>
      <c r="I27" s="113"/>
      <c r="J27" s="113"/>
      <c r="K27" s="113"/>
      <c r="L27" s="127"/>
      <c r="M27" s="117"/>
      <c r="N27" s="117"/>
      <c r="O27" s="145"/>
      <c r="P27" s="117"/>
      <c r="Q27" s="117"/>
      <c r="R27" s="139"/>
    </row>
    <row r="28" spans="2:18" ht="15.75" x14ac:dyDescent="0.25">
      <c r="B28" s="141" t="s">
        <v>150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27"/>
      <c r="M28" s="117"/>
      <c r="N28" s="117"/>
      <c r="O28" s="145"/>
      <c r="P28" s="117"/>
      <c r="Q28" s="117"/>
      <c r="R28" s="139"/>
    </row>
    <row r="29" spans="2:18" x14ac:dyDescent="0.2">
      <c r="B29" s="4" t="s">
        <v>66</v>
      </c>
      <c r="C29" s="113">
        <v>2198.4573913043478</v>
      </c>
      <c r="D29" s="113">
        <v>19079.859649122805</v>
      </c>
      <c r="E29" s="113">
        <v>2739.9245132743358</v>
      </c>
      <c r="F29" s="113">
        <v>2791.4957272727274</v>
      </c>
      <c r="G29" s="113">
        <v>-13848.121818181817</v>
      </c>
      <c r="H29" s="113">
        <v>3102.6181818181817</v>
      </c>
      <c r="I29" s="113">
        <v>3028.0720720720719</v>
      </c>
      <c r="J29" s="113">
        <v>4381.0936936936941</v>
      </c>
      <c r="K29" s="113">
        <v>3212.9549549549552</v>
      </c>
      <c r="L29" s="128">
        <f t="shared" ref="L29:L35" si="12">AVERAGE(C29:I29,K29)</f>
        <v>2788.1575839547004</v>
      </c>
      <c r="M29" s="117">
        <f t="shared" ref="M29:M35" si="13">ROUND(L29*$M$7,2)</f>
        <v>53.51</v>
      </c>
      <c r="N29" s="117">
        <f>Summary!F22</f>
        <v>55.409566727184107</v>
      </c>
      <c r="O29" s="145">
        <f t="shared" ref="O29:O35" si="14">N29-M29</f>
        <v>1.8995667271841086</v>
      </c>
      <c r="P29" s="117">
        <f t="shared" ref="P29:P35" si="15">ROUND(K29*$P$7,2)</f>
        <v>61.66</v>
      </c>
      <c r="Q29" s="117">
        <f t="shared" ref="Q29:Q35" si="16">N29</f>
        <v>55.409566727184107</v>
      </c>
      <c r="R29" s="139">
        <f t="shared" ref="R29:R35" si="17">Q29-P29</f>
        <v>-6.25043327281589</v>
      </c>
    </row>
    <row r="30" spans="2:18" x14ac:dyDescent="0.2">
      <c r="B30" s="4" t="s">
        <v>67</v>
      </c>
      <c r="C30" s="113">
        <v>4244.0159220779215</v>
      </c>
      <c r="D30" s="113">
        <v>36448.71002155172</v>
      </c>
      <c r="E30" s="113">
        <v>36258.512285714285</v>
      </c>
      <c r="F30" s="113">
        <v>36399.199605676855</v>
      </c>
      <c r="G30" s="113">
        <v>35064.464650438596</v>
      </c>
      <c r="H30" s="113">
        <v>36535.872807017542</v>
      </c>
      <c r="I30" s="113">
        <v>41625.632743362832</v>
      </c>
      <c r="J30" s="113">
        <v>43521.35933185841</v>
      </c>
      <c r="K30" s="113">
        <v>40367.148471615721</v>
      </c>
      <c r="L30" s="128">
        <f t="shared" si="12"/>
        <v>33367.944563431935</v>
      </c>
      <c r="M30" s="117">
        <f t="shared" si="13"/>
        <v>640.36</v>
      </c>
      <c r="N30" s="117">
        <f>Summary!F23</f>
        <v>950.72570069265612</v>
      </c>
      <c r="O30" s="145">
        <f t="shared" si="14"/>
        <v>310.36570069265611</v>
      </c>
      <c r="P30" s="117">
        <f t="shared" si="15"/>
        <v>774.69</v>
      </c>
      <c r="Q30" s="117">
        <f t="shared" si="16"/>
        <v>950.72570069265612</v>
      </c>
      <c r="R30" s="139">
        <f t="shared" si="17"/>
        <v>176.03570069265606</v>
      </c>
    </row>
    <row r="31" spans="2:18" x14ac:dyDescent="0.2">
      <c r="B31" s="4" t="s">
        <v>68</v>
      </c>
      <c r="C31" s="113">
        <v>343248.76170370367</v>
      </c>
      <c r="D31" s="113">
        <v>372838.3092523365</v>
      </c>
      <c r="E31" s="113">
        <v>393656.02757009346</v>
      </c>
      <c r="F31" s="113">
        <v>358661.66115887853</v>
      </c>
      <c r="G31" s="113">
        <v>371592.38856074767</v>
      </c>
      <c r="H31" s="113">
        <v>363330.78971962619</v>
      </c>
      <c r="I31" s="113">
        <v>387654.29439252336</v>
      </c>
      <c r="J31" s="113">
        <v>436132.98055555555</v>
      </c>
      <c r="K31" s="113">
        <v>403833.06018518517</v>
      </c>
      <c r="L31" s="128">
        <f t="shared" si="12"/>
        <v>374351.91156788683</v>
      </c>
      <c r="M31" s="117">
        <f t="shared" si="13"/>
        <v>7184.19</v>
      </c>
      <c r="N31" s="117">
        <f>Summary!F24</f>
        <v>7901.38924437883</v>
      </c>
      <c r="O31" s="145">
        <f t="shared" si="14"/>
        <v>717.19924437883037</v>
      </c>
      <c r="P31" s="117">
        <f t="shared" si="15"/>
        <v>7749.96</v>
      </c>
      <c r="Q31" s="117">
        <f t="shared" si="16"/>
        <v>7901.38924437883</v>
      </c>
      <c r="R31" s="139">
        <f t="shared" si="17"/>
        <v>151.42924437882994</v>
      </c>
    </row>
    <row r="32" spans="2:18" x14ac:dyDescent="0.2">
      <c r="B32" s="4" t="s">
        <v>69</v>
      </c>
      <c r="C32" s="113">
        <v>4633447</v>
      </c>
      <c r="D32" s="113">
        <v>5003344</v>
      </c>
      <c r="E32" s="113">
        <v>4870377</v>
      </c>
      <c r="F32" s="113">
        <v>4723604</v>
      </c>
      <c r="G32" s="113">
        <v>4821554</v>
      </c>
      <c r="H32" s="113">
        <v>8609786</v>
      </c>
      <c r="I32" s="113">
        <v>7557080</v>
      </c>
      <c r="J32" s="113">
        <v>4982605</v>
      </c>
      <c r="K32" s="113">
        <v>6129881</v>
      </c>
      <c r="L32" s="128">
        <f t="shared" si="12"/>
        <v>5793634.125</v>
      </c>
      <c r="M32" s="117">
        <f t="shared" si="13"/>
        <v>111185.63</v>
      </c>
      <c r="N32" s="117">
        <f>Summary!F25</f>
        <v>35221.669677696256</v>
      </c>
      <c r="O32" s="145">
        <f t="shared" si="14"/>
        <v>-75963.960322303756</v>
      </c>
      <c r="P32" s="117">
        <f t="shared" si="15"/>
        <v>117638.55</v>
      </c>
      <c r="Q32" s="117">
        <f t="shared" si="16"/>
        <v>35221.669677696256</v>
      </c>
      <c r="R32" s="139">
        <f t="shared" si="17"/>
        <v>-82416.880322303739</v>
      </c>
    </row>
    <row r="33" spans="2:18" x14ac:dyDescent="0.2">
      <c r="B33" s="4" t="s">
        <v>70</v>
      </c>
      <c r="C33" s="113">
        <v>231758.5</v>
      </c>
      <c r="D33" s="113">
        <v>223885.5</v>
      </c>
      <c r="E33" s="113">
        <v>12030</v>
      </c>
      <c r="F33" s="113">
        <v>10965.5</v>
      </c>
      <c r="G33" s="113">
        <v>156986.5</v>
      </c>
      <c r="H33" s="113">
        <v>11334.5</v>
      </c>
      <c r="I33" s="113">
        <v>158832</v>
      </c>
      <c r="J33" s="113">
        <v>82856</v>
      </c>
      <c r="K33" s="113">
        <v>58454</v>
      </c>
      <c r="L33" s="128">
        <f t="shared" si="12"/>
        <v>108030.8125</v>
      </c>
      <c r="M33" s="117">
        <f t="shared" si="13"/>
        <v>2073.2199999999998</v>
      </c>
      <c r="N33" s="117">
        <f>Summary!F26</f>
        <v>2198.0352817434841</v>
      </c>
      <c r="O33" s="145">
        <f t="shared" si="14"/>
        <v>124.81528174348432</v>
      </c>
      <c r="P33" s="117">
        <f t="shared" si="15"/>
        <v>1121.79</v>
      </c>
      <c r="Q33" s="117">
        <f t="shared" si="16"/>
        <v>2198.0352817434841</v>
      </c>
      <c r="R33" s="139">
        <f t="shared" si="17"/>
        <v>1076.2452817434842</v>
      </c>
    </row>
    <row r="34" spans="2:18" x14ac:dyDescent="0.2">
      <c r="B34" s="4" t="s">
        <v>71</v>
      </c>
      <c r="C34" s="113">
        <v>1738555.2857142857</v>
      </c>
      <c r="D34" s="113">
        <v>1496008.4285714286</v>
      </c>
      <c r="E34" s="113">
        <v>1621916.9285714286</v>
      </c>
      <c r="F34" s="113">
        <v>1618229.7857142857</v>
      </c>
      <c r="G34" s="113">
        <v>1392279.7857142857</v>
      </c>
      <c r="H34" s="113">
        <v>2045460.5</v>
      </c>
      <c r="I34" s="113">
        <v>1616999.5</v>
      </c>
      <c r="J34" s="113">
        <v>1548142.4285714286</v>
      </c>
      <c r="K34" s="113">
        <v>1794209</v>
      </c>
      <c r="L34" s="128">
        <f t="shared" si="12"/>
        <v>1665457.4017857143</v>
      </c>
      <c r="M34" s="117">
        <f t="shared" si="13"/>
        <v>31961.79</v>
      </c>
      <c r="N34" s="117">
        <f>Summary!F27</f>
        <v>37905.856718690506</v>
      </c>
      <c r="O34" s="145">
        <f t="shared" si="14"/>
        <v>5944.0667186905048</v>
      </c>
      <c r="P34" s="117">
        <f t="shared" si="15"/>
        <v>34432.660000000003</v>
      </c>
      <c r="Q34" s="117">
        <f t="shared" si="16"/>
        <v>37905.856718690506</v>
      </c>
      <c r="R34" s="139">
        <f t="shared" si="17"/>
        <v>3473.1967186905022</v>
      </c>
    </row>
    <row r="35" spans="2:18" x14ac:dyDescent="0.2">
      <c r="B35" s="4" t="s">
        <v>72</v>
      </c>
      <c r="C35" s="113">
        <v>443738.5</v>
      </c>
      <c r="D35" s="113">
        <v>513516.5</v>
      </c>
      <c r="E35" s="113">
        <v>534478</v>
      </c>
      <c r="F35" s="113">
        <v>444353</v>
      </c>
      <c r="G35" s="113">
        <v>459367</v>
      </c>
      <c r="H35" s="113">
        <v>468092.5</v>
      </c>
      <c r="I35" s="113">
        <v>492569.5</v>
      </c>
      <c r="J35" s="113">
        <v>580939.5</v>
      </c>
      <c r="K35" s="113">
        <v>548870</v>
      </c>
      <c r="L35" s="128">
        <f t="shared" si="12"/>
        <v>488123.125</v>
      </c>
      <c r="M35" s="117">
        <f t="shared" si="13"/>
        <v>9367.57</v>
      </c>
      <c r="N35" s="117">
        <f>Summary!F28</f>
        <v>6803.4916672975924</v>
      </c>
      <c r="O35" s="145">
        <f t="shared" si="14"/>
        <v>-2564.0783327024074</v>
      </c>
      <c r="P35" s="117">
        <f t="shared" si="15"/>
        <v>10533.36</v>
      </c>
      <c r="Q35" s="117">
        <f t="shared" si="16"/>
        <v>6803.4916672975924</v>
      </c>
      <c r="R35" s="139">
        <f t="shared" si="17"/>
        <v>-3729.8683327024082</v>
      </c>
    </row>
    <row r="36" spans="2:18" x14ac:dyDescent="0.2">
      <c r="B36" s="111"/>
      <c r="C36" s="113"/>
      <c r="D36" s="113"/>
      <c r="E36" s="113"/>
      <c r="F36" s="113"/>
      <c r="G36" s="113"/>
      <c r="H36" s="113"/>
      <c r="I36" s="113"/>
      <c r="J36" s="113"/>
      <c r="K36" s="113"/>
      <c r="L36" s="128"/>
      <c r="M36" s="117"/>
      <c r="N36" s="117"/>
      <c r="O36" s="145"/>
      <c r="P36" s="117"/>
      <c r="Q36" s="117"/>
      <c r="R36" s="139"/>
    </row>
    <row r="37" spans="2:18" ht="15.75" x14ac:dyDescent="0.25">
      <c r="B37" s="142" t="s">
        <v>151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27"/>
      <c r="M37" s="117"/>
      <c r="N37" s="117"/>
      <c r="O37" s="145"/>
      <c r="P37" s="117"/>
      <c r="Q37" s="117"/>
      <c r="R37" s="139"/>
    </row>
    <row r="38" spans="2:18" x14ac:dyDescent="0.2">
      <c r="B38" s="4" t="s">
        <v>104</v>
      </c>
      <c r="C38" s="113">
        <v>1590.6560277777778</v>
      </c>
      <c r="D38" s="113">
        <v>1725.1318072289157</v>
      </c>
      <c r="E38" s="113">
        <v>1849.7296118299446</v>
      </c>
      <c r="F38" s="113">
        <v>1797.5482287822879</v>
      </c>
      <c r="G38" s="113">
        <v>1618.8465096952909</v>
      </c>
      <c r="H38" s="113">
        <v>1808.1125461254612</v>
      </c>
      <c r="I38" s="113">
        <v>1955.0027624309391</v>
      </c>
      <c r="J38" s="113">
        <v>2082.5060516605167</v>
      </c>
      <c r="K38" s="113">
        <v>1683.5093283582089</v>
      </c>
      <c r="L38" s="128">
        <f>AVERAGE(C38:I38,K38)</f>
        <v>1753.5671027786032</v>
      </c>
      <c r="M38" s="117">
        <f>ROUND(L38*$M$7,2)</f>
        <v>33.65</v>
      </c>
      <c r="N38" s="117">
        <f>Summary!F36</f>
        <v>59.764295906862735</v>
      </c>
      <c r="O38" s="145">
        <f>N38-M38</f>
        <v>26.114295906862736</v>
      </c>
      <c r="P38" s="117">
        <f>ROUND(K38*$P$7,2)</f>
        <v>32.31</v>
      </c>
      <c r="Q38" s="117">
        <f t="shared" ref="Q38" si="18">N38</f>
        <v>59.764295906862735</v>
      </c>
      <c r="R38" s="139">
        <f>Q38-P38</f>
        <v>27.454295906862733</v>
      </c>
    </row>
    <row r="39" spans="2:18" x14ac:dyDescent="0.2">
      <c r="B39" s="4"/>
      <c r="C39" s="113"/>
      <c r="D39" s="113"/>
      <c r="E39" s="113"/>
      <c r="F39" s="113"/>
      <c r="G39" s="113"/>
      <c r="H39" s="113"/>
      <c r="I39" s="113"/>
      <c r="J39" s="113"/>
      <c r="K39" s="113"/>
      <c r="L39" s="127"/>
      <c r="M39" s="117"/>
      <c r="N39" s="117"/>
      <c r="O39" s="145"/>
      <c r="P39" s="117"/>
      <c r="Q39" s="117"/>
      <c r="R39" s="139"/>
    </row>
    <row r="40" spans="2:18" x14ac:dyDescent="0.2">
      <c r="B40" s="4"/>
      <c r="C40" s="113"/>
      <c r="D40" s="113"/>
      <c r="E40" s="113"/>
      <c r="F40" s="113"/>
      <c r="G40" s="113"/>
      <c r="H40" s="113"/>
      <c r="I40" s="113"/>
      <c r="J40" s="113"/>
      <c r="K40" s="113"/>
      <c r="L40" s="127"/>
      <c r="M40" s="117"/>
      <c r="N40" s="117"/>
      <c r="O40" s="145"/>
      <c r="P40" s="117"/>
      <c r="Q40" s="117"/>
      <c r="R40" s="139"/>
    </row>
    <row r="41" spans="2:18" ht="15.75" x14ac:dyDescent="0.25">
      <c r="B41" s="142" t="s">
        <v>152</v>
      </c>
      <c r="C41" s="113"/>
      <c r="D41" s="113"/>
      <c r="E41" s="113"/>
      <c r="F41" s="113"/>
      <c r="G41" s="113"/>
      <c r="H41" s="113"/>
      <c r="I41" s="113"/>
      <c r="J41" s="113"/>
      <c r="K41" s="113"/>
      <c r="L41" s="127"/>
      <c r="M41" s="117"/>
      <c r="N41" s="117"/>
      <c r="O41" s="145"/>
      <c r="P41" s="117"/>
      <c r="Q41" s="117"/>
      <c r="R41" s="139"/>
    </row>
    <row r="42" spans="2:18" x14ac:dyDescent="0.2">
      <c r="B42" s="4" t="s">
        <v>103</v>
      </c>
      <c r="C42" s="113">
        <v>1524534</v>
      </c>
      <c r="D42" s="113">
        <v>1446390</v>
      </c>
      <c r="E42" s="113">
        <v>1593900</v>
      </c>
      <c r="F42" s="113">
        <v>1640760</v>
      </c>
      <c r="G42" s="113">
        <v>1464540</v>
      </c>
      <c r="H42" s="113">
        <v>1553640</v>
      </c>
      <c r="I42" s="113">
        <v>1663200</v>
      </c>
      <c r="J42" s="113">
        <v>1532790.6</v>
      </c>
      <c r="K42" s="113">
        <v>1625969.5</v>
      </c>
      <c r="L42" s="128">
        <f>AVERAGE(C42:I42,K42)</f>
        <v>1564116.6875</v>
      </c>
      <c r="M42" s="117">
        <f>ROUND(L42*$M$7,2)</f>
        <v>30016.959999999999</v>
      </c>
      <c r="N42" s="117">
        <f>Summary!F35</f>
        <v>36183.797240855485</v>
      </c>
      <c r="O42" s="145">
        <f>N42-M42</f>
        <v>6166.837240855486</v>
      </c>
      <c r="P42" s="117">
        <f>ROUND(K42*$P$7,2)</f>
        <v>31203.98</v>
      </c>
      <c r="Q42" s="117">
        <f t="shared" ref="Q42" si="19">N42</f>
        <v>36183.797240855485</v>
      </c>
      <c r="R42" s="139">
        <f>Q42-P42</f>
        <v>4979.8172408554856</v>
      </c>
    </row>
    <row r="43" spans="2:18" x14ac:dyDescent="0.2">
      <c r="B43" s="4"/>
      <c r="C43" s="113"/>
      <c r="D43" s="113"/>
      <c r="E43" s="113"/>
      <c r="F43" s="113"/>
      <c r="G43" s="113"/>
      <c r="H43" s="113"/>
      <c r="I43" s="113"/>
      <c r="J43" s="113"/>
      <c r="K43" s="113"/>
      <c r="L43" s="128"/>
      <c r="M43" s="117"/>
      <c r="N43" s="117"/>
      <c r="O43" s="145"/>
      <c r="P43" s="117"/>
      <c r="Q43" s="117"/>
      <c r="R43" s="139"/>
    </row>
    <row r="44" spans="2:18" ht="15.75" x14ac:dyDescent="0.25">
      <c r="B44" s="142" t="s">
        <v>153</v>
      </c>
      <c r="C44" s="113"/>
      <c r="D44" s="113"/>
      <c r="E44" s="113"/>
      <c r="F44" s="113"/>
      <c r="G44" s="113"/>
      <c r="H44" s="113"/>
      <c r="I44" s="113"/>
      <c r="J44" s="113"/>
      <c r="K44" s="113"/>
      <c r="L44" s="127"/>
      <c r="M44" s="117"/>
      <c r="N44" s="117"/>
      <c r="O44" s="145"/>
      <c r="P44" s="117"/>
      <c r="Q44" s="117"/>
      <c r="R44" s="139"/>
    </row>
    <row r="45" spans="2:18" x14ac:dyDescent="0.2">
      <c r="B45" s="4" t="s">
        <v>121</v>
      </c>
      <c r="C45" s="113">
        <v>1912.3333333333333</v>
      </c>
      <c r="D45" s="113">
        <v>1912.3333333333333</v>
      </c>
      <c r="E45" s="113">
        <v>1912.3333333333333</v>
      </c>
      <c r="F45" s="113">
        <v>1912.3333333333333</v>
      </c>
      <c r="G45" s="113">
        <v>1912.3333333333333</v>
      </c>
      <c r="H45" s="113">
        <v>1912.3333333333333</v>
      </c>
      <c r="I45" s="113">
        <v>1912.3333333333333</v>
      </c>
      <c r="J45" s="113">
        <v>1912.3333333333333</v>
      </c>
      <c r="K45" s="113">
        <v>1912.3333333333333</v>
      </c>
      <c r="L45" s="128">
        <f t="shared" ref="L45:L50" si="20">AVERAGE(C45:K45)</f>
        <v>1912.3333333333333</v>
      </c>
      <c r="M45" s="117">
        <f t="shared" ref="M45:M49" si="21">ROUND(L45*$M$7,2)</f>
        <v>36.700000000000003</v>
      </c>
      <c r="N45" s="117">
        <f>Summary!F29</f>
        <v>34.522149337557664</v>
      </c>
      <c r="O45" s="145">
        <f t="shared" ref="O45:O50" si="22">N45-M45</f>
        <v>-2.1778506624423386</v>
      </c>
      <c r="P45" s="117">
        <f t="shared" ref="P45:P50" si="23">ROUND(K45*$P$7,2)</f>
        <v>36.700000000000003</v>
      </c>
      <c r="Q45" s="117">
        <f t="shared" ref="Q45:Q50" si="24">N45</f>
        <v>34.522149337557664</v>
      </c>
      <c r="R45" s="139">
        <f t="shared" ref="R45:R50" si="25">Q45-P45</f>
        <v>-2.1778506624423386</v>
      </c>
    </row>
    <row r="46" spans="2:18" x14ac:dyDescent="0.2">
      <c r="B46" s="4" t="s">
        <v>98</v>
      </c>
      <c r="C46" s="113">
        <v>14580.64947826087</v>
      </c>
      <c r="D46" s="113">
        <v>15066.980869565217</v>
      </c>
      <c r="E46" s="113">
        <v>12687.287826086957</v>
      </c>
      <c r="F46" s="113">
        <v>16852.648869565219</v>
      </c>
      <c r="G46" s="113">
        <v>12594.344782608696</v>
      </c>
      <c r="H46" s="113">
        <v>14607.347826086956</v>
      </c>
      <c r="I46" s="113">
        <v>15888.04347826087</v>
      </c>
      <c r="J46" s="113">
        <v>17686.673565217392</v>
      </c>
      <c r="K46" s="113">
        <v>15952.565217391304</v>
      </c>
      <c r="L46" s="128">
        <f t="shared" si="20"/>
        <v>15101.837990338165</v>
      </c>
      <c r="M46" s="117">
        <f t="shared" si="21"/>
        <v>289.82</v>
      </c>
      <c r="N46" s="117">
        <f>Summary!F30</f>
        <v>407.997243343327</v>
      </c>
      <c r="O46" s="145">
        <f t="shared" si="22"/>
        <v>118.17724334332701</v>
      </c>
      <c r="P46" s="117">
        <f t="shared" si="23"/>
        <v>306.14999999999998</v>
      </c>
      <c r="Q46" s="117">
        <f t="shared" si="24"/>
        <v>407.997243343327</v>
      </c>
      <c r="R46" s="139">
        <f t="shared" si="25"/>
        <v>101.84724334332702</v>
      </c>
    </row>
    <row r="47" spans="2:18" x14ac:dyDescent="0.2">
      <c r="B47" s="4" t="s">
        <v>99</v>
      </c>
      <c r="C47" s="113">
        <v>761.71182978723402</v>
      </c>
      <c r="D47" s="113">
        <v>1161.8108085106383</v>
      </c>
      <c r="E47" s="113">
        <v>1141.633559322034</v>
      </c>
      <c r="F47" s="113">
        <v>1213.8431914893617</v>
      </c>
      <c r="G47" s="113">
        <v>817.48911016949148</v>
      </c>
      <c r="H47" s="113">
        <v>1153.9957805907172</v>
      </c>
      <c r="I47" s="113">
        <v>1182.1680672268908</v>
      </c>
      <c r="J47" s="113">
        <v>1250.790669456067</v>
      </c>
      <c r="K47" s="113">
        <v>1072.2166666666667</v>
      </c>
      <c r="L47" s="128">
        <f t="shared" si="20"/>
        <v>1083.9621870243448</v>
      </c>
      <c r="M47" s="117">
        <f t="shared" si="21"/>
        <v>20.8</v>
      </c>
      <c r="N47" s="117">
        <f>Summary!F31</f>
        <v>33.840442745582678</v>
      </c>
      <c r="O47" s="145">
        <f t="shared" si="22"/>
        <v>13.040442745582677</v>
      </c>
      <c r="P47" s="117">
        <f t="shared" si="23"/>
        <v>20.58</v>
      </c>
      <c r="Q47" s="117">
        <f t="shared" si="24"/>
        <v>33.840442745582678</v>
      </c>
      <c r="R47" s="139">
        <f t="shared" si="25"/>
        <v>13.260442745582679</v>
      </c>
    </row>
    <row r="48" spans="2:18" x14ac:dyDescent="0.2">
      <c r="B48" s="4" t="s">
        <v>100</v>
      </c>
      <c r="C48" s="113">
        <v>1404.6582278481012</v>
      </c>
      <c r="D48" s="113">
        <v>1541.0449367088609</v>
      </c>
      <c r="E48" s="113">
        <v>969.38139240506337</v>
      </c>
      <c r="F48" s="113">
        <v>845.94936708860757</v>
      </c>
      <c r="G48" s="113">
        <v>653.07594936708858</v>
      </c>
      <c r="H48" s="113">
        <v>925.39743589743591</v>
      </c>
      <c r="I48" s="113">
        <v>725.18292682926824</v>
      </c>
      <c r="J48" s="113">
        <v>780.83317073170736</v>
      </c>
      <c r="K48" s="113">
        <v>702.83333333333337</v>
      </c>
      <c r="L48" s="128">
        <f t="shared" si="20"/>
        <v>949.8174155788297</v>
      </c>
      <c r="M48" s="117">
        <f t="shared" si="21"/>
        <v>18.23</v>
      </c>
      <c r="N48" s="117">
        <f>Summary!F32</f>
        <v>15.672536532830671</v>
      </c>
      <c r="O48" s="145">
        <f t="shared" si="22"/>
        <v>-2.5574634671693293</v>
      </c>
      <c r="P48" s="117">
        <f t="shared" si="23"/>
        <v>13.49</v>
      </c>
      <c r="Q48" s="117">
        <f t="shared" si="24"/>
        <v>15.672536532830671</v>
      </c>
      <c r="R48" s="139">
        <f t="shared" si="25"/>
        <v>2.182536532830671</v>
      </c>
    </row>
    <row r="49" spans="2:18" x14ac:dyDescent="0.2">
      <c r="B49" s="4" t="s">
        <v>101</v>
      </c>
      <c r="C49" s="113">
        <v>114.05929203539823</v>
      </c>
      <c r="D49" s="113">
        <v>163.38255162241887</v>
      </c>
      <c r="E49" s="113">
        <v>140.59879056047197</v>
      </c>
      <c r="F49" s="113">
        <v>159.51663716814159</v>
      </c>
      <c r="G49" s="113">
        <v>156.52185294117646</v>
      </c>
      <c r="H49" s="113">
        <v>181.65832106038292</v>
      </c>
      <c r="I49" s="113">
        <v>175.28445747800586</v>
      </c>
      <c r="J49" s="113">
        <v>178.644375917768</v>
      </c>
      <c r="K49" s="113">
        <v>383.00147058823529</v>
      </c>
      <c r="L49" s="128">
        <f t="shared" si="20"/>
        <v>183.62974993022215</v>
      </c>
      <c r="M49" s="117">
        <f t="shared" si="21"/>
        <v>3.52</v>
      </c>
      <c r="N49" s="117">
        <f>Summary!F33</f>
        <v>4.2153413523016754</v>
      </c>
      <c r="O49" s="145">
        <f t="shared" si="22"/>
        <v>0.69534135230167538</v>
      </c>
      <c r="P49" s="117">
        <f t="shared" si="23"/>
        <v>7.35</v>
      </c>
      <c r="Q49" s="117">
        <f t="shared" si="24"/>
        <v>4.2153413523016754</v>
      </c>
      <c r="R49" s="139">
        <f t="shared" si="25"/>
        <v>-3.1346586476983243</v>
      </c>
    </row>
    <row r="50" spans="2:18" x14ac:dyDescent="0.2">
      <c r="B50" s="191" t="s">
        <v>102</v>
      </c>
      <c r="C50" s="129">
        <v>1193.9526516634053</v>
      </c>
      <c r="D50" s="129">
        <v>1001.22343444227</v>
      </c>
      <c r="E50" s="129">
        <v>1499.2848434442271</v>
      </c>
      <c r="F50" s="129">
        <v>1336.7392759295499</v>
      </c>
      <c r="G50" s="129">
        <v>1299.261429970617</v>
      </c>
      <c r="H50" s="129">
        <v>1257.8076545632973</v>
      </c>
      <c r="I50" s="129">
        <v>1233.2323529411765</v>
      </c>
      <c r="J50" s="129">
        <v>1292.025549019608</v>
      </c>
      <c r="K50" s="129">
        <v>1015.6107843137255</v>
      </c>
      <c r="L50" s="130">
        <f t="shared" si="20"/>
        <v>1236.5708862542085</v>
      </c>
      <c r="M50" s="131">
        <f>ROUND(L50*$M$7,2)</f>
        <v>23.73</v>
      </c>
      <c r="N50" s="131">
        <f>Summary!F34</f>
        <v>1.9230132461052165</v>
      </c>
      <c r="O50" s="146">
        <f t="shared" si="22"/>
        <v>-21.806986753894783</v>
      </c>
      <c r="P50" s="131">
        <f t="shared" si="23"/>
        <v>19.489999999999998</v>
      </c>
      <c r="Q50" s="131">
        <f t="shared" si="24"/>
        <v>1.9230132461052165</v>
      </c>
      <c r="R50" s="140">
        <f t="shared" si="25"/>
        <v>-17.566986753894781</v>
      </c>
    </row>
    <row r="51" spans="2:18" ht="21.6" customHeight="1" x14ac:dyDescent="0.25">
      <c r="B51" s="31"/>
    </row>
    <row r="53" spans="2:18" x14ac:dyDescent="0.2">
      <c r="N53" s="32"/>
    </row>
    <row r="54" spans="2:18" x14ac:dyDescent="0.2">
      <c r="N54" s="32"/>
    </row>
    <row r="55" spans="2:18" x14ac:dyDescent="0.2">
      <c r="L55" s="163"/>
      <c r="M55" s="163"/>
      <c r="N55" s="32"/>
    </row>
    <row r="56" spans="2:18" x14ac:dyDescent="0.2">
      <c r="L56" s="164"/>
      <c r="M56" s="164"/>
      <c r="N56" s="32"/>
    </row>
    <row r="57" spans="2:18" x14ac:dyDescent="0.2">
      <c r="L57" s="164"/>
      <c r="M57" s="164"/>
      <c r="N57" s="32"/>
    </row>
    <row r="58" spans="2:18" x14ac:dyDescent="0.2">
      <c r="L58" s="164"/>
      <c r="M58" s="164"/>
      <c r="N58" s="32"/>
    </row>
    <row r="59" spans="2:18" x14ac:dyDescent="0.2">
      <c r="L59" s="164"/>
      <c r="M59" s="164"/>
      <c r="N59" s="32"/>
    </row>
    <row r="60" spans="2:18" x14ac:dyDescent="0.2">
      <c r="L60" s="164"/>
      <c r="M60" s="164"/>
      <c r="N60" s="164"/>
    </row>
    <row r="61" spans="2:18" x14ac:dyDescent="0.2">
      <c r="L61" s="164"/>
      <c r="M61" s="164"/>
      <c r="N61" s="164"/>
    </row>
    <row r="62" spans="2:18" x14ac:dyDescent="0.2">
      <c r="L62" s="164"/>
      <c r="M62" s="164"/>
      <c r="N62" s="164"/>
    </row>
    <row r="63" spans="2:18" x14ac:dyDescent="0.2">
      <c r="L63" s="165"/>
      <c r="M63" s="165"/>
      <c r="N63" s="165"/>
    </row>
    <row r="64" spans="2:18" x14ac:dyDescent="0.2">
      <c r="L64" s="164"/>
      <c r="M64" s="164"/>
      <c r="N64" s="164"/>
    </row>
  </sheetData>
  <pageMargins left="0.7" right="0.7" top="0.75" bottom="0.75" header="0.3" footer="0.3"/>
  <pageSetup orientation="landscape" r:id="rId1"/>
  <drawing r:id="rId2"/>
</worksheet>
</file>

<file path=docMetadata/LabelInfo.xml><?xml version="1.0" encoding="utf-8"?>
<clbl:labelList xmlns:clbl="http://schemas.microsoft.com/office/2020/mipLabelMetadata">
  <clbl:label id="{78d53608-54ca-4a74-8beb-8a1399c1189c}" enabled="0" method="" siteId="{78d53608-54ca-4a74-8beb-8a1399c1189c}" removed="1"/>
  <clbl:label id="{b0a9b38e-5be3-4a10-8fdc-cef4306b5139}" enabled="0" method="" siteId="{b0a9b38e-5be3-4a10-8fdc-cef4306b51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Cover Page</vt:lpstr>
      <vt:lpstr>Data Base</vt:lpstr>
      <vt:lpstr>Scn1</vt:lpstr>
      <vt:lpstr>Scn2</vt:lpstr>
      <vt:lpstr>Scn3</vt:lpstr>
      <vt:lpstr>Summary</vt:lpstr>
      <vt:lpstr>Average Consumption</vt:lpstr>
      <vt:lpstr>'Data Base'!_ftnref1</vt:lpstr>
      <vt:lpstr>'Scn1'!_ftnref1</vt:lpstr>
      <vt:lpstr>'Scn2'!_ftnref1</vt:lpstr>
      <vt:lpstr>'Scn3'!_ftnref1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1900-01-01T04:00:00Z</dcterms:created>
  <dcterms:modified xsi:type="dcterms:W3CDTF">2025-11-17T14:35:40Z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a1bc8a-c77f-42fc-94c5-4575f811706d_Enabled">
    <vt:lpwstr>true</vt:lpwstr>
  </property>
  <property fmtid="{D5CDD505-2E9C-101B-9397-08002B2CF9AE}" pid="3" name="MSIP_Label_e3a1bc8a-c77f-42fc-94c5-4575f811706d_SetDate">
    <vt:lpwstr>2025-11-15T03:28:13Z</vt:lpwstr>
  </property>
  <property fmtid="{D5CDD505-2E9C-101B-9397-08002B2CF9AE}" pid="4" name="MSIP_Label_e3a1bc8a-c77f-42fc-94c5-4575f811706d_Method">
    <vt:lpwstr>Standard</vt:lpwstr>
  </property>
  <property fmtid="{D5CDD505-2E9C-101B-9397-08002B2CF9AE}" pid="5" name="MSIP_Label_e3a1bc8a-c77f-42fc-94c5-4575f811706d_Name">
    <vt:lpwstr>e3a1bc8a-c77f-42fc-94c5-4575f811706d</vt:lpwstr>
  </property>
  <property fmtid="{D5CDD505-2E9C-101B-9397-08002B2CF9AE}" pid="6" name="MSIP_Label_e3a1bc8a-c77f-42fc-94c5-4575f811706d_SiteId">
    <vt:lpwstr>fb7083da-754c-45a4-8b6b-a05941a3a3e9</vt:lpwstr>
  </property>
  <property fmtid="{D5CDD505-2E9C-101B-9397-08002B2CF9AE}" pid="7" name="MSIP_Label_e3a1bc8a-c77f-42fc-94c5-4575f811706d_ActionId">
    <vt:lpwstr>5f0581e7-cd59-4a01-b0ad-290787cac82f</vt:lpwstr>
  </property>
  <property fmtid="{D5CDD505-2E9C-101B-9397-08002B2CF9AE}" pid="8" name="MSIP_Label_e3a1bc8a-c77f-42fc-94c5-4575f811706d_ContentBits">
    <vt:lpwstr>0</vt:lpwstr>
  </property>
  <property fmtid="{D5CDD505-2E9C-101B-9397-08002B2CF9AE}" pid="9" name="MSIP_Label_e3a1bc8a-c77f-42fc-94c5-4575f811706d_Tag">
    <vt:lpwstr>10, 3, 0, 1</vt:lpwstr>
  </property>
</Properties>
</file>