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0" documentId="8_{E6048785-5D01-4BA5-8477-367C4D99F3E2}" xr6:coauthVersionLast="47" xr6:coauthVersionMax="47" xr10:uidLastSave="{00000000-0000-0000-0000-000000000000}"/>
  <bookViews>
    <workbookView xWindow="1905" yWindow="1905" windowWidth="14310" windowHeight="11295" firstSheet="3" activeTab="2" xr2:uid="{1E02DE49-DB1A-43B5-B48B-15768D83D1BE}"/>
  </bookViews>
  <sheets>
    <sheet name="Schedule 1" sheetId="1" r:id="rId1"/>
    <sheet name="Schedule 2" sheetId="4" r:id="rId2"/>
    <sheet name="Schedule 3" sheetId="5" r:id="rId3"/>
    <sheet name="Schedule 4" sheetId="6" r:id="rId4"/>
  </sheets>
  <definedNames>
    <definedName name="_ftn1" localSheetId="0">'Schedule 1'!#REF!</definedName>
    <definedName name="_ftn1" localSheetId="1">'Schedule 2'!#REF!</definedName>
    <definedName name="_ftnref1" localSheetId="0">'Schedule 1'!$A$7</definedName>
    <definedName name="_ftnref1" localSheetId="1">'Schedule 2'!$A$7</definedName>
    <definedName name="_xlnm.Print_Area">#REF!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5" l="1"/>
  <c r="H49" i="5"/>
  <c r="H48" i="5"/>
  <c r="H18" i="5" s="1"/>
  <c r="K18" i="5" s="1"/>
  <c r="H47" i="5"/>
  <c r="H46" i="5"/>
  <c r="H42" i="5"/>
  <c r="H38" i="5"/>
  <c r="K38" i="5" s="1"/>
  <c r="H35" i="5"/>
  <c r="K35" i="5" s="1"/>
  <c r="H34" i="5"/>
  <c r="K34" i="5" s="1"/>
  <c r="H33" i="5"/>
  <c r="K33" i="5" s="1"/>
  <c r="H32" i="5"/>
  <c r="K32" i="5" s="1"/>
  <c r="H31" i="5"/>
  <c r="H30" i="5"/>
  <c r="H29" i="5"/>
  <c r="H26" i="5"/>
  <c r="H25" i="5"/>
  <c r="H24" i="5"/>
  <c r="H23" i="5"/>
  <c r="H22" i="5"/>
  <c r="K22" i="5" s="1"/>
  <c r="H21" i="5"/>
  <c r="K21" i="5" s="1"/>
  <c r="H20" i="5"/>
  <c r="K20" i="5" s="1"/>
  <c r="H19" i="5"/>
  <c r="K19" i="5" s="1"/>
  <c r="H15" i="5"/>
  <c r="K15" i="5" s="1"/>
  <c r="H14" i="5"/>
  <c r="H13" i="5"/>
  <c r="H12" i="5"/>
  <c r="H11" i="5"/>
  <c r="H10" i="5"/>
  <c r="K50" i="5"/>
  <c r="K49" i="5"/>
  <c r="K48" i="5"/>
  <c r="K47" i="5"/>
  <c r="K46" i="5"/>
  <c r="K42" i="5"/>
  <c r="K31" i="5"/>
  <c r="K30" i="5"/>
  <c r="K29" i="5"/>
  <c r="K26" i="5"/>
  <c r="K25" i="5"/>
  <c r="K24" i="5"/>
  <c r="K23" i="5"/>
  <c r="K14" i="5"/>
  <c r="K13" i="5"/>
  <c r="K12" i="5"/>
  <c r="K11" i="5"/>
  <c r="K10" i="5"/>
  <c r="H45" i="5"/>
  <c r="K45" i="5" s="1"/>
  <c r="E30" i="4"/>
  <c r="D30" i="4"/>
  <c r="C30" i="4"/>
  <c r="E27" i="4"/>
  <c r="E32" i="4" s="1"/>
  <c r="D27" i="4"/>
  <c r="C27" i="4"/>
  <c r="E26" i="4"/>
  <c r="D26" i="4"/>
  <c r="C26" i="4"/>
  <c r="E25" i="4"/>
  <c r="D25" i="4"/>
  <c r="C25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C22" i="4" s="1"/>
  <c r="E16" i="4"/>
  <c r="D16" i="4"/>
  <c r="C16" i="4"/>
  <c r="E15" i="4"/>
  <c r="E22" i="4" s="1"/>
  <c r="D15" i="4"/>
  <c r="C15" i="4"/>
  <c r="E14" i="4"/>
  <c r="D14" i="4"/>
  <c r="C14" i="4"/>
  <c r="E13" i="4"/>
  <c r="D13" i="4"/>
  <c r="C13" i="4"/>
  <c r="L10" i="4"/>
  <c r="E10" i="4"/>
  <c r="D10" i="4"/>
  <c r="C10" i="4"/>
  <c r="M9" i="4"/>
  <c r="L9" i="4"/>
  <c r="E9" i="4"/>
  <c r="D9" i="4"/>
  <c r="C9" i="4"/>
  <c r="M8" i="4"/>
  <c r="L8" i="4"/>
  <c r="E8" i="4"/>
  <c r="D8" i="4"/>
  <c r="C8" i="4"/>
  <c r="M7" i="4"/>
  <c r="L7" i="4"/>
  <c r="E7" i="4"/>
  <c r="D7" i="4"/>
  <c r="C7" i="4"/>
  <c r="M6" i="4"/>
  <c r="L6" i="4"/>
  <c r="L5" i="4"/>
  <c r="L11" i="4" s="1"/>
  <c r="J50" i="5"/>
  <c r="F50" i="5"/>
  <c r="G50" i="5" s="1"/>
  <c r="J49" i="5"/>
  <c r="F49" i="5"/>
  <c r="G49" i="5" s="1"/>
  <c r="J48" i="5"/>
  <c r="F48" i="5"/>
  <c r="G48" i="5" s="1"/>
  <c r="J47" i="5"/>
  <c r="F47" i="5"/>
  <c r="G47" i="5" s="1"/>
  <c r="J46" i="5"/>
  <c r="F46" i="5"/>
  <c r="G46" i="5" s="1"/>
  <c r="J45" i="5"/>
  <c r="F45" i="5"/>
  <c r="G45" i="5" s="1"/>
  <c r="J42" i="5"/>
  <c r="F42" i="5"/>
  <c r="G42" i="5" s="1"/>
  <c r="J38" i="5"/>
  <c r="F38" i="5"/>
  <c r="G38" i="5" s="1"/>
  <c r="J35" i="5"/>
  <c r="F35" i="5"/>
  <c r="G35" i="5" s="1"/>
  <c r="J34" i="5"/>
  <c r="F34" i="5"/>
  <c r="G34" i="5" s="1"/>
  <c r="J33" i="5"/>
  <c r="F33" i="5"/>
  <c r="G33" i="5" s="1"/>
  <c r="J32" i="5"/>
  <c r="F32" i="5"/>
  <c r="G32" i="5" s="1"/>
  <c r="J31" i="5"/>
  <c r="F31" i="5"/>
  <c r="G31" i="5" s="1"/>
  <c r="J30" i="5"/>
  <c r="F30" i="5"/>
  <c r="G30" i="5" s="1"/>
  <c r="J29" i="5"/>
  <c r="F29" i="5"/>
  <c r="G29" i="5" s="1"/>
  <c r="J26" i="5"/>
  <c r="F26" i="5"/>
  <c r="G26" i="5" s="1"/>
  <c r="J25" i="5"/>
  <c r="F25" i="5"/>
  <c r="G25" i="5" s="1"/>
  <c r="J24" i="5"/>
  <c r="F24" i="5"/>
  <c r="G24" i="5" s="1"/>
  <c r="J23" i="5"/>
  <c r="F23" i="5"/>
  <c r="G23" i="5" s="1"/>
  <c r="J22" i="5"/>
  <c r="F22" i="5"/>
  <c r="G22" i="5" s="1"/>
  <c r="J21" i="5"/>
  <c r="F21" i="5"/>
  <c r="G21" i="5" s="1"/>
  <c r="J20" i="5"/>
  <c r="F20" i="5"/>
  <c r="G20" i="5" s="1"/>
  <c r="J19" i="5"/>
  <c r="F19" i="5"/>
  <c r="G19" i="5" s="1"/>
  <c r="J18" i="5"/>
  <c r="F18" i="5"/>
  <c r="G18" i="5" s="1"/>
  <c r="J15" i="5"/>
  <c r="F15" i="5"/>
  <c r="G15" i="5" s="1"/>
  <c r="J14" i="5"/>
  <c r="F14" i="5"/>
  <c r="G14" i="5" s="1"/>
  <c r="J13" i="5"/>
  <c r="F13" i="5"/>
  <c r="G13" i="5" s="1"/>
  <c r="J12" i="5"/>
  <c r="F12" i="5"/>
  <c r="G12" i="5" s="1"/>
  <c r="J11" i="5"/>
  <c r="F11" i="5"/>
  <c r="G11" i="5" s="1"/>
  <c r="J10" i="5"/>
  <c r="F10" i="5"/>
  <c r="G10" i="5" s="1"/>
  <c r="E66" i="1"/>
  <c r="D66" i="1"/>
  <c r="C66" i="1"/>
  <c r="E57" i="1"/>
  <c r="D57" i="1"/>
  <c r="C33" i="1"/>
  <c r="E24" i="1"/>
  <c r="E73" i="1" s="1"/>
  <c r="D24" i="1"/>
  <c r="D73" i="1" s="1"/>
  <c r="C24" i="1"/>
  <c r="E13" i="1"/>
  <c r="D13" i="1"/>
  <c r="C13" i="1"/>
  <c r="C73" i="1" s="1"/>
  <c r="J11" i="1"/>
  <c r="J10" i="1"/>
  <c r="C32" i="4" l="1"/>
  <c r="D22" i="4"/>
  <c r="I38" i="5"/>
  <c r="L38" i="5"/>
  <c r="D32" i="4" l="1"/>
  <c r="F20" i="4" l="1"/>
  <c r="F7" i="4"/>
  <c r="F13" i="4"/>
  <c r="F21" i="4"/>
  <c r="F19" i="4"/>
  <c r="F30" i="4"/>
  <c r="G30" i="4" s="1"/>
  <c r="H30" i="4" s="1"/>
  <c r="I30" i="4" s="1"/>
  <c r="F14" i="4"/>
  <c r="F25" i="4"/>
  <c r="F15" i="4"/>
  <c r="F16" i="4"/>
  <c r="F27" i="4"/>
  <c r="F9" i="4"/>
  <c r="F26" i="4"/>
  <c r="F8" i="4"/>
  <c r="F10" i="4"/>
  <c r="G10" i="4" s="1"/>
  <c r="F18" i="4"/>
  <c r="F17" i="4"/>
  <c r="F22" i="4"/>
  <c r="G22" i="4" s="1"/>
  <c r="F32" i="4" l="1"/>
  <c r="G27" i="4"/>
  <c r="G32" i="4" s="1"/>
  <c r="G20" i="4" l="1"/>
  <c r="H20" i="4" s="1"/>
  <c r="I20" i="4" s="1"/>
  <c r="G13" i="4"/>
  <c r="H13" i="4" s="1"/>
  <c r="G18" i="4"/>
  <c r="H18" i="4" s="1"/>
  <c r="I18" i="4" s="1"/>
  <c r="G8" i="4"/>
  <c r="H8" i="4" s="1"/>
  <c r="I8" i="4" s="1"/>
  <c r="G25" i="4"/>
  <c r="H25" i="4" s="1"/>
  <c r="I25" i="4" s="1"/>
  <c r="G16" i="4"/>
  <c r="H16" i="4" s="1"/>
  <c r="I16" i="4" s="1"/>
  <c r="G21" i="4"/>
  <c r="H21" i="4" s="1"/>
  <c r="I21" i="4" s="1"/>
  <c r="G14" i="4"/>
  <c r="H14" i="4" s="1"/>
  <c r="I14" i="4" s="1"/>
  <c r="G9" i="4"/>
  <c r="H9" i="4" s="1"/>
  <c r="I9" i="4" s="1"/>
  <c r="G17" i="4"/>
  <c r="H17" i="4" s="1"/>
  <c r="I17" i="4" s="1"/>
  <c r="G7" i="4"/>
  <c r="H7" i="4" s="1"/>
  <c r="I7" i="4" s="1"/>
  <c r="I10" i="4" s="1"/>
  <c r="G19" i="4"/>
  <c r="H19" i="4" s="1"/>
  <c r="I19" i="4" s="1"/>
  <c r="G26" i="4"/>
  <c r="H26" i="4" s="1"/>
  <c r="I26" i="4" s="1"/>
  <c r="G15" i="4"/>
  <c r="H15" i="4" s="1"/>
  <c r="I15" i="4" s="1"/>
  <c r="L46" i="5" l="1"/>
  <c r="I46" i="5"/>
  <c r="I27" i="4"/>
  <c r="I32" i="4" s="1"/>
  <c r="I13" i="4"/>
  <c r="I22" i="4" s="1"/>
  <c r="L13" i="5" l="1"/>
  <c r="I13" i="5"/>
  <c r="I12" i="5"/>
  <c r="L12" i="5"/>
  <c r="L14" i="5"/>
  <c r="I14" i="5"/>
  <c r="L15" i="5"/>
  <c r="I15" i="5"/>
  <c r="L11" i="5"/>
  <c r="I11" i="5"/>
  <c r="L10" i="5"/>
  <c r="I10" i="5"/>
  <c r="L32" i="5"/>
  <c r="I32" i="5"/>
  <c r="L19" i="5"/>
  <c r="I19" i="5"/>
  <c r="I22" i="5"/>
  <c r="L22" i="5"/>
  <c r="L34" i="5"/>
  <c r="I34" i="5"/>
  <c r="L29" i="5"/>
  <c r="I29" i="5"/>
  <c r="L35" i="5"/>
  <c r="I35" i="5"/>
  <c r="I26" i="5"/>
  <c r="L26" i="5"/>
  <c r="L42" i="5"/>
  <c r="I42" i="5"/>
  <c r="L24" i="5"/>
  <c r="I24" i="5"/>
  <c r="L30" i="5"/>
  <c r="I30" i="5"/>
  <c r="L23" i="5"/>
  <c r="I23" i="5"/>
  <c r="L25" i="5"/>
  <c r="I25" i="5"/>
  <c r="L31" i="5"/>
  <c r="I31" i="5"/>
  <c r="L33" i="5"/>
  <c r="I33" i="5"/>
  <c r="L21" i="5"/>
  <c r="I21" i="5"/>
  <c r="L20" i="5"/>
  <c r="I20" i="5"/>
  <c r="I47" i="5" l="1"/>
  <c r="L47" i="5"/>
  <c r="L49" i="5"/>
  <c r="I49" i="5"/>
  <c r="L50" i="5"/>
  <c r="I50" i="5"/>
  <c r="L48" i="5"/>
  <c r="I48" i="5"/>
  <c r="I18" i="5" l="1"/>
  <c r="L18" i="5"/>
  <c r="I45" i="5"/>
  <c r="L45" i="5"/>
</calcChain>
</file>

<file path=xl/sharedStrings.xml><?xml version="1.0" encoding="utf-8"?>
<sst xmlns="http://schemas.openxmlformats.org/spreadsheetml/2006/main" count="265" uniqueCount="168">
  <si>
    <t>Data Base - Forecast FY 2026 (Rate Review_Rev Req, Permanent Rate Dockets)</t>
  </si>
  <si>
    <t>Rate</t>
  </si>
  <si>
    <t>Customers</t>
  </si>
  <si>
    <t>GWh</t>
  </si>
  <si>
    <t>Total - Base Rate
($MM)</t>
  </si>
  <si>
    <t>Approved Amount (M$)</t>
  </si>
  <si>
    <t>Sept</t>
  </si>
  <si>
    <t>Actual</t>
  </si>
  <si>
    <t>RH3 103</t>
  </si>
  <si>
    <t>Oct</t>
  </si>
  <si>
    <t>RH3 104</t>
  </si>
  <si>
    <t>Nov</t>
  </si>
  <si>
    <t>Forecast</t>
  </si>
  <si>
    <t>LRS 109</t>
  </si>
  <si>
    <t>Dec</t>
  </si>
  <si>
    <t>LRS 110</t>
  </si>
  <si>
    <t>Total (Sept-Dec)</t>
  </si>
  <si>
    <t>GRS 111</t>
  </si>
  <si>
    <t>To be billed Jan-Jun</t>
  </si>
  <si>
    <t>GRS 112</t>
  </si>
  <si>
    <t>TOTAL</t>
  </si>
  <si>
    <t>PHONE CABIN 060</t>
  </si>
  <si>
    <t>CATV 070</t>
  </si>
  <si>
    <t>CATV 071</t>
  </si>
  <si>
    <t>CATV 080</t>
  </si>
  <si>
    <t>USSL 082</t>
  </si>
  <si>
    <t>GSS 211</t>
  </si>
  <si>
    <t>GSP 212</t>
  </si>
  <si>
    <t>GST 213</t>
  </si>
  <si>
    <t>TOU-P 862</t>
  </si>
  <si>
    <t>GSS 311</t>
  </si>
  <si>
    <t>GSP 312</t>
  </si>
  <si>
    <t>GST 313</t>
  </si>
  <si>
    <t>LIS 333</t>
  </si>
  <si>
    <t>PPBB 343</t>
  </si>
  <si>
    <t>TOU-T 363</t>
  </si>
  <si>
    <t>TOU-T 963</t>
  </si>
  <si>
    <t>PLGUM 001</t>
  </si>
  <si>
    <t>PLGUM 002</t>
  </si>
  <si>
    <t>PLGUM 003</t>
  </si>
  <si>
    <t>PLGUM 004</t>
  </si>
  <si>
    <t>PLGUM 005</t>
  </si>
  <si>
    <t>PLGUM 006</t>
  </si>
  <si>
    <t>PLGUM 007</t>
  </si>
  <si>
    <t>PLGUM 010</t>
  </si>
  <si>
    <t>PLGUM 011</t>
  </si>
  <si>
    <t>PLGUM 012</t>
  </si>
  <si>
    <t>PLGUM 013</t>
  </si>
  <si>
    <t>PLGUM 014</t>
  </si>
  <si>
    <t>PLGUM 015</t>
  </si>
  <si>
    <t>PLGUM 020</t>
  </si>
  <si>
    <t>PLGUM 021</t>
  </si>
  <si>
    <t>PLGUM 022</t>
  </si>
  <si>
    <t>PLGUM 023</t>
  </si>
  <si>
    <t>PLGUM 024</t>
  </si>
  <si>
    <t>PLGUM 025</t>
  </si>
  <si>
    <t>PLGUM 026</t>
  </si>
  <si>
    <t>PLGUM 027</t>
  </si>
  <si>
    <t>PLGUM 028</t>
  </si>
  <si>
    <t>TOTAL PLG UNMETER</t>
  </si>
  <si>
    <t>PLG BUS SHELTER 072</t>
  </si>
  <si>
    <t>PLG POLICE 073</t>
  </si>
  <si>
    <t>LP-13 414</t>
  </si>
  <si>
    <t>PLG 421</t>
  </si>
  <si>
    <t>PLG 422</t>
  </si>
  <si>
    <t>PLG 423</t>
  </si>
  <si>
    <t>PLG 424</t>
  </si>
  <si>
    <t>GST 513</t>
  </si>
  <si>
    <t>GAS 711</t>
  </si>
  <si>
    <t xml:space="preserve">Proposed Rate Design - Fixed Pension Fund Rider Charge </t>
  </si>
  <si>
    <t>Energy Share</t>
  </si>
  <si>
    <t xml:space="preserve">Cost allocation </t>
  </si>
  <si>
    <t>Monthly Rate</t>
  </si>
  <si>
    <t>6-month Revenues</t>
  </si>
  <si>
    <t>RH3</t>
  </si>
  <si>
    <t>LRS</t>
  </si>
  <si>
    <t>GRS</t>
  </si>
  <si>
    <t>CATV</t>
  </si>
  <si>
    <t>GSS (211,311)</t>
  </si>
  <si>
    <t>GSP  (212,312)</t>
  </si>
  <si>
    <t>GST (213,313,513)</t>
  </si>
  <si>
    <t>TOU-P</t>
  </si>
  <si>
    <t>LIS</t>
  </si>
  <si>
    <t xml:space="preserve">PPBB </t>
  </si>
  <si>
    <t>TOU-T (363,963)</t>
  </si>
  <si>
    <t>PLG (421-424)</t>
  </si>
  <si>
    <t>Actual Average Consumption (FY2026 to date)</t>
  </si>
  <si>
    <t>Cost per kWh Pension</t>
  </si>
  <si>
    <t>Actual Average Consumption</t>
  </si>
  <si>
    <t>Average kWh/Customer</t>
  </si>
  <si>
    <t>$ Volumetric</t>
  </si>
  <si>
    <t>$ Fixed</t>
  </si>
  <si>
    <t>Diff.</t>
  </si>
  <si>
    <t>$ Fix recommended</t>
  </si>
  <si>
    <t>Residential</t>
  </si>
  <si>
    <t>Average</t>
  </si>
  <si>
    <t>Commercial</t>
  </si>
  <si>
    <t>Industrial</t>
  </si>
  <si>
    <t>Agriculture</t>
  </si>
  <si>
    <t>Other Authorities</t>
  </si>
  <si>
    <t>Public Lighting</t>
  </si>
  <si>
    <t>Unmetered 072 and 073</t>
  </si>
  <si>
    <t>CLASS SERVICE</t>
  </si>
  <si>
    <t>CODE</t>
  </si>
  <si>
    <t>NAME</t>
  </si>
  <si>
    <t>DESCRIPTION</t>
  </si>
  <si>
    <t xml:space="preserve">Residential 
</t>
  </si>
  <si>
    <t>Residential Service for Public Housing Projects</t>
  </si>
  <si>
    <t>Public Housing administered by the Government.  Customers with monthly consumption over 500 kWh.</t>
  </si>
  <si>
    <t xml:space="preserve">Public Housing adminsitered by the Government with fuel subsidy.  Customers with monthly consumption of 500 kWh or less. </t>
  </si>
  <si>
    <t>Lifeline Residential Service</t>
  </si>
  <si>
    <t>Rate for customers who fulfill the Nutritional Assistance Program with fuel subsidy.  Customers monthly consumption must not exceed 500 kWh.</t>
  </si>
  <si>
    <t>Rate for customers who fulfill the Nutritional Assistance Program. Customers with monthly consumption over 500 kWh.</t>
  </si>
  <si>
    <t>General Residential Service</t>
  </si>
  <si>
    <t xml:space="preserve">General Residential Service with fuel subsidy to students, handicapped and 65 years or older customers.  The monthly consumption must not exceed 500 kWh. </t>
  </si>
  <si>
    <t>General Residential Service.</t>
  </si>
  <si>
    <t xml:space="preserve">Commercial                                                                                  </t>
  </si>
  <si>
    <t>General Service at Secondary Distribution Voltage</t>
  </si>
  <si>
    <t>General Commercial Service at Secondary Distribution Voltage.</t>
  </si>
  <si>
    <t>General Service at Primary Distribution Voltage</t>
  </si>
  <si>
    <t>General Commercial Service at Primary Distribution Voltage.</t>
  </si>
  <si>
    <t>General Service at Transmission Voltage</t>
  </si>
  <si>
    <t>General Commercial Service at Transmission Voltage.</t>
  </si>
  <si>
    <t>Time of Use Rate to Primary                           Distribution</t>
  </si>
  <si>
    <t xml:space="preserve">Commercial customer with Time of Use Rate at Primary Distribution Voltage with demand between 1,000 and 3,000 kVA </t>
  </si>
  <si>
    <t xml:space="preserve"> 060-061</t>
  </si>
  <si>
    <t>Unmetered Service</t>
  </si>
  <si>
    <t>General Public Lighting - Lighting service for Telephone Booths.</t>
  </si>
  <si>
    <t>Cable TV Repeater Boxes 60V 656kWh</t>
  </si>
  <si>
    <t>Cable TV Repeater Boxes 90V 494kWh</t>
  </si>
  <si>
    <t>Cable TV Units - 384 kWh.</t>
  </si>
  <si>
    <t>Unmetered Service for Small Loads</t>
  </si>
  <si>
    <t>Applies to the services of electrical equipment installed on Authorithy's poles or structures that operate 24 hours daily.  The consumption of those equipments must not exceed 200 kWh monthly.</t>
  </si>
  <si>
    <t xml:space="preserve">Industrial
</t>
  </si>
  <si>
    <t xml:space="preserve">General Service at Secondary Distribution Voltage </t>
  </si>
  <si>
    <t>General Industrial Service at Secondary Distribution Voltage.</t>
  </si>
  <si>
    <t xml:space="preserve">General Service at Primary Distribution Voltage </t>
  </si>
  <si>
    <t>General Industrial Service at Primary Distribution Voltage.</t>
  </si>
  <si>
    <t>General Industrial Service at Transmission Voltage.</t>
  </si>
  <si>
    <t>Power Producers Connected at PREPA Bus Bar</t>
  </si>
  <si>
    <t>Rate apply to large power producers connected to the 230 kV bus bar.</t>
  </si>
  <si>
    <t xml:space="preserve">Time of Use Rate at Transmission Voltage                           </t>
  </si>
  <si>
    <t>Time of Use Rate at Transmission Voltage with a demand higher than 3,000 kVA.</t>
  </si>
  <si>
    <t>Time of Use Rate at Transmission Voltage</t>
  </si>
  <si>
    <t>Time of Use Rate Industrial Service at Transmission Voltage with a demand between 1,000 and 3,000 kVA.</t>
  </si>
  <si>
    <t>Large Industrial Service (115 kV)</t>
  </si>
  <si>
    <t>Rate apply to industries connected to 115 kV service with a demand equal to or higher than 12,000 kW and less than 25,000 kW.</t>
  </si>
  <si>
    <t xml:space="preserve">Public Lighting 
</t>
  </si>
  <si>
    <t>Outdoor Sports Field Lighting for Parks where Admission Rights are Collected</t>
  </si>
  <si>
    <t>Sport fields's outdoor illumination.  Service at Primary Distribution Voltage.</t>
  </si>
  <si>
    <t xml:space="preserve">Public Lighting General </t>
  </si>
  <si>
    <t>General Public Lighting - Public Plazas (recreational places)</t>
  </si>
  <si>
    <t>General Public Lighting - Traffic Lights</t>
  </si>
  <si>
    <t>General Public Lighting - Ball Parks and other parks of free admission</t>
  </si>
  <si>
    <t>General Public Lighting - Public Lighting for Streets and Roadways Systems without Operation, Maintenance and Materials Renewal Costs.</t>
  </si>
  <si>
    <t>Unmetered Services 01-045</t>
  </si>
  <si>
    <t>General Public Lighting - Public lighting for streets and roadways, urban and rural zones.</t>
  </si>
  <si>
    <t>Unmetered Services 050 -056</t>
  </si>
  <si>
    <t>General Public Lighting - "Dusk to Dawn" luminaires (Government property).</t>
  </si>
  <si>
    <t>Unmetered Services 072</t>
  </si>
  <si>
    <t>General Public Lighting - Lighting service for bus shelters.</t>
  </si>
  <si>
    <t>Unmetered Services 073</t>
  </si>
  <si>
    <t>General Public Lighting - Police Strobe Lights.</t>
  </si>
  <si>
    <t xml:space="preserve">Other Public Authorities 
</t>
  </si>
  <si>
    <t>General Service at Transmission Voltage (GST) to NAVY accounts.</t>
  </si>
  <si>
    <t xml:space="preserve">Agriculture 
</t>
  </si>
  <si>
    <t>General Agricultural Service and Aqueducts Pumps Operated by Rural Communities</t>
  </si>
  <si>
    <t>General Agricultural Service and Aqueducts Pumps operated by rural communities. Service at Secondary Distribution Voltage.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</si>
</sst>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00000"/>
    <numFmt numFmtId="167" formatCode="#,##0.0000"/>
    <numFmt numFmtId="168" formatCode="_(* #,##0.0_);_(* \(#,##0.0\);_(* &quot;-&quot;?_);_(@_)"/>
    <numFmt numFmtId="169" formatCode="0.0"/>
    <numFmt numFmtId="170" formatCode="_(* #,##0.000_);_(* \(#,##0.000\);_(* &quot;-&quot;??_);_(@_)"/>
    <numFmt numFmtId="171" formatCode="0.0%"/>
    <numFmt numFmtId="172" formatCode="_(* #,##0_);_(* \(#,##0\);_(* &quot;-&quot;??_);_(@_)"/>
    <numFmt numFmtId="173" formatCode="_(* #,##0.0_);_(* \(#,##0.0\);_(* &quot;-&quot;??_);_(@_)"/>
    <numFmt numFmtId="174" formatCode="#,##0.000"/>
    <numFmt numFmtId="175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9100"/>
      <name val="Arial"/>
      <family val="2"/>
    </font>
    <font>
      <sz val="18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2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hair">
        <color indexed="64"/>
      </right>
      <top style="dashDotDot">
        <color auto="1"/>
      </top>
      <bottom style="dashDotDot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164" fontId="4" fillId="2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/>
    <xf numFmtId="165" fontId="4" fillId="2" borderId="0" xfId="0" applyNumberFormat="1" applyFont="1" applyFill="1"/>
    <xf numFmtId="0" fontId="5" fillId="2" borderId="4" xfId="0" applyFont="1" applyFill="1" applyBorder="1"/>
    <xf numFmtId="166" fontId="3" fillId="0" borderId="0" xfId="0" applyNumberFormat="1" applyFont="1"/>
    <xf numFmtId="0" fontId="6" fillId="0" borderId="0" xfId="0" applyFont="1"/>
    <xf numFmtId="3" fontId="6" fillId="0" borderId="5" xfId="0" applyNumberFormat="1" applyFont="1" applyBorder="1"/>
    <xf numFmtId="164" fontId="6" fillId="0" borderId="0" xfId="0" applyNumberFormat="1" applyFont="1"/>
    <xf numFmtId="4" fontId="6" fillId="0" borderId="5" xfId="0" applyNumberFormat="1" applyFont="1" applyBorder="1"/>
    <xf numFmtId="0" fontId="5" fillId="2" borderId="6" xfId="0" applyFont="1" applyFill="1" applyBorder="1"/>
    <xf numFmtId="165" fontId="5" fillId="2" borderId="0" xfId="0" applyNumberFormat="1" applyFont="1" applyFill="1"/>
    <xf numFmtId="0" fontId="5" fillId="2" borderId="7" xfId="0" applyFont="1" applyFill="1" applyBorder="1"/>
    <xf numFmtId="49" fontId="6" fillId="0" borderId="0" xfId="1" applyNumberFormat="1" applyFont="1" applyAlignment="1">
      <alignment horizontal="left"/>
    </xf>
    <xf numFmtId="3" fontId="7" fillId="0" borderId="5" xfId="1" applyNumberFormat="1" applyFont="1" applyBorder="1"/>
    <xf numFmtId="164" fontId="7" fillId="0" borderId="0" xfId="1" applyNumberFormat="1" applyFont="1"/>
    <xf numFmtId="167" fontId="7" fillId="0" borderId="5" xfId="1" applyNumberFormat="1" applyFont="1" applyBorder="1"/>
    <xf numFmtId="3" fontId="3" fillId="0" borderId="0" xfId="0" applyNumberFormat="1" applyFont="1"/>
    <xf numFmtId="165" fontId="5" fillId="2" borderId="8" xfId="0" applyNumberFormat="1" applyFont="1" applyFill="1" applyBorder="1"/>
    <xf numFmtId="0" fontId="4" fillId="2" borderId="6" xfId="0" applyFont="1" applyFill="1" applyBorder="1"/>
    <xf numFmtId="0" fontId="5" fillId="2" borderId="9" xfId="0" applyFont="1" applyFill="1" applyBorder="1"/>
    <xf numFmtId="43" fontId="5" fillId="2" borderId="10" xfId="0" applyNumberFormat="1" applyFont="1" applyFill="1" applyBorder="1"/>
    <xf numFmtId="0" fontId="5" fillId="2" borderId="11" xfId="0" applyFont="1" applyFill="1" applyBorder="1"/>
    <xf numFmtId="0" fontId="6" fillId="0" borderId="12" xfId="0" applyFont="1" applyBorder="1"/>
    <xf numFmtId="3" fontId="6" fillId="0" borderId="13" xfId="1" applyNumberFormat="1" applyFont="1" applyBorder="1"/>
    <xf numFmtId="164" fontId="6" fillId="0" borderId="12" xfId="1" applyNumberFormat="1" applyFont="1" applyBorder="1"/>
    <xf numFmtId="167" fontId="6" fillId="0" borderId="13" xfId="1" applyNumberFormat="1" applyFont="1" applyBorder="1"/>
    <xf numFmtId="168" fontId="3" fillId="0" borderId="0" xfId="0" applyNumberFormat="1" applyFont="1"/>
    <xf numFmtId="3" fontId="3" fillId="0" borderId="5" xfId="0" applyNumberFormat="1" applyFont="1" applyBorder="1"/>
    <xf numFmtId="164" fontId="3" fillId="0" borderId="0" xfId="0" applyNumberFormat="1" applyFont="1"/>
    <xf numFmtId="167" fontId="6" fillId="0" borderId="5" xfId="1" applyNumberFormat="1" applyFont="1" applyBorder="1"/>
    <xf numFmtId="49" fontId="6" fillId="0" borderId="0" xfId="0" applyNumberFormat="1" applyFont="1" applyAlignment="1">
      <alignment horizontal="left"/>
    </xf>
    <xf numFmtId="3" fontId="6" fillId="0" borderId="5" xfId="1" applyNumberFormat="1" applyFont="1" applyBorder="1"/>
    <xf numFmtId="164" fontId="6" fillId="0" borderId="0" xfId="1" applyNumberFormat="1" applyFont="1"/>
    <xf numFmtId="0" fontId="6" fillId="0" borderId="0" xfId="0" applyFont="1" applyAlignment="1">
      <alignment horizontal="right"/>
    </xf>
    <xf numFmtId="49" fontId="6" fillId="0" borderId="14" xfId="1" applyNumberFormat="1" applyFont="1" applyBorder="1" applyAlignment="1">
      <alignment horizontal="left"/>
    </xf>
    <xf numFmtId="3" fontId="6" fillId="0" borderId="15" xfId="1" applyNumberFormat="1" applyFont="1" applyBorder="1"/>
    <xf numFmtId="164" fontId="6" fillId="0" borderId="14" xfId="0" applyNumberFormat="1" applyFont="1" applyBorder="1" applyAlignment="1">
      <alignment horizontal="right"/>
    </xf>
    <xf numFmtId="167" fontId="6" fillId="0" borderId="15" xfId="1" applyNumberFormat="1" applyFont="1" applyBorder="1"/>
    <xf numFmtId="49" fontId="6" fillId="0" borderId="0" xfId="1" applyNumberFormat="1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49" fontId="6" fillId="0" borderId="10" xfId="1" applyNumberFormat="1" applyFont="1" applyBorder="1" applyAlignment="1">
      <alignment horizontal="left"/>
    </xf>
    <xf numFmtId="3" fontId="7" fillId="0" borderId="16" xfId="1" applyNumberFormat="1" applyFont="1" applyBorder="1"/>
    <xf numFmtId="164" fontId="6" fillId="0" borderId="12" xfId="0" applyNumberFormat="1" applyFont="1" applyBorder="1" applyAlignment="1">
      <alignment horizontal="right"/>
    </xf>
    <xf numFmtId="0" fontId="6" fillId="0" borderId="10" xfId="0" applyFont="1" applyBorder="1"/>
    <xf numFmtId="3" fontId="7" fillId="0" borderId="10" xfId="1" applyNumberFormat="1" applyFont="1" applyBorder="1"/>
    <xf numFmtId="164" fontId="7" fillId="0" borderId="17" xfId="1" applyNumberFormat="1" applyFont="1" applyBorder="1"/>
    <xf numFmtId="167" fontId="7" fillId="0" borderId="16" xfId="1" applyNumberFormat="1" applyFont="1" applyBorder="1"/>
    <xf numFmtId="169" fontId="7" fillId="0" borderId="0" xfId="1" applyNumberFormat="1" applyFont="1"/>
    <xf numFmtId="0" fontId="8" fillId="0" borderId="18" xfId="0" applyFont="1" applyBorder="1"/>
    <xf numFmtId="3" fontId="9" fillId="0" borderId="19" xfId="0" applyNumberFormat="1" applyFont="1" applyBorder="1"/>
    <xf numFmtId="164" fontId="9" fillId="0" borderId="18" xfId="0" applyNumberFormat="1" applyFont="1" applyBorder="1"/>
    <xf numFmtId="167" fontId="9" fillId="0" borderId="19" xfId="0" applyNumberFormat="1" applyFont="1" applyBorder="1"/>
    <xf numFmtId="170" fontId="3" fillId="0" borderId="0" xfId="0" applyNumberFormat="1" applyFont="1"/>
    <xf numFmtId="171" fontId="3" fillId="0" borderId="0" xfId="3" applyNumberFormat="1" applyFont="1" applyBorder="1"/>
    <xf numFmtId="4" fontId="3" fillId="0" borderId="0" xfId="0" applyNumberFormat="1" applyFont="1"/>
    <xf numFmtId="171" fontId="4" fillId="2" borderId="0" xfId="3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5" fillId="3" borderId="0" xfId="0" applyNumberFormat="1" applyFont="1" applyFill="1"/>
    <xf numFmtId="164" fontId="6" fillId="0" borderId="20" xfId="0" applyNumberFormat="1" applyFont="1" applyBorder="1"/>
    <xf numFmtId="164" fontId="6" fillId="0" borderId="21" xfId="1" applyNumberFormat="1" applyFont="1" applyBorder="1"/>
    <xf numFmtId="172" fontId="3" fillId="0" borderId="0" xfId="1" applyNumberFormat="1" applyFont="1"/>
    <xf numFmtId="43" fontId="3" fillId="0" borderId="0" xfId="0" applyNumberFormat="1" applyFont="1"/>
    <xf numFmtId="4" fontId="5" fillId="3" borderId="22" xfId="0" applyNumberFormat="1" applyFont="1" applyFill="1" applyBorder="1"/>
    <xf numFmtId="164" fontId="6" fillId="0" borderId="23" xfId="1" applyNumberFormat="1" applyFont="1" applyBorder="1"/>
    <xf numFmtId="171" fontId="6" fillId="0" borderId="12" xfId="3" applyNumberFormat="1" applyFont="1" applyBorder="1"/>
    <xf numFmtId="0" fontId="3" fillId="0" borderId="12" xfId="0" applyFont="1" applyBorder="1"/>
    <xf numFmtId="164" fontId="3" fillId="0" borderId="21" xfId="0" applyNumberFormat="1" applyFont="1" applyBorder="1"/>
    <xf numFmtId="173" fontId="3" fillId="0" borderId="0" xfId="1" applyNumberFormat="1" applyFont="1"/>
    <xf numFmtId="43" fontId="3" fillId="0" borderId="0" xfId="1" applyFont="1"/>
    <xf numFmtId="0" fontId="3" fillId="0" borderId="21" xfId="0" applyFont="1" applyBorder="1"/>
    <xf numFmtId="3" fontId="10" fillId="0" borderId="5" xfId="1" applyNumberFormat="1" applyFont="1" applyBorder="1"/>
    <xf numFmtId="164" fontId="10" fillId="0" borderId="0" xfId="1" applyNumberFormat="1" applyFont="1"/>
    <xf numFmtId="167" fontId="10" fillId="0" borderId="5" xfId="1" applyNumberFormat="1" applyFont="1" applyBorder="1"/>
    <xf numFmtId="3" fontId="3" fillId="0" borderId="5" xfId="1" applyNumberFormat="1" applyFont="1" applyBorder="1"/>
    <xf numFmtId="164" fontId="3" fillId="0" borderId="0" xfId="1" applyNumberFormat="1" applyFont="1"/>
    <xf numFmtId="167" fontId="3" fillId="0" borderId="5" xfId="1" applyNumberFormat="1" applyFont="1" applyBorder="1"/>
    <xf numFmtId="164" fontId="10" fillId="0" borderId="21" xfId="1" applyNumberFormat="1" applyFont="1" applyBorder="1"/>
    <xf numFmtId="174" fontId="6" fillId="0" borderId="13" xfId="1" applyNumberFormat="1" applyFont="1" applyBorder="1"/>
    <xf numFmtId="164" fontId="6" fillId="0" borderId="23" xfId="0" applyNumberFormat="1" applyFont="1" applyBorder="1" applyAlignment="1">
      <alignment horizontal="right"/>
    </xf>
    <xf numFmtId="3" fontId="10" fillId="0" borderId="13" xfId="1" applyNumberFormat="1" applyFont="1" applyBorder="1"/>
    <xf numFmtId="164" fontId="10" fillId="0" borderId="12" xfId="1" applyNumberFormat="1" applyFont="1" applyBorder="1"/>
    <xf numFmtId="167" fontId="10" fillId="0" borderId="13" xfId="1" applyNumberFormat="1" applyFont="1" applyBorder="1"/>
    <xf numFmtId="171" fontId="6" fillId="0" borderId="18" xfId="3" applyNumberFormat="1" applyFont="1" applyBorder="1"/>
    <xf numFmtId="0" fontId="3" fillId="0" borderId="18" xfId="0" applyFont="1" applyBorder="1"/>
    <xf numFmtId="0" fontId="11" fillId="0" borderId="0" xfId="0" applyFont="1"/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0" fontId="13" fillId="2" borderId="7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4" borderId="0" xfId="0" applyFont="1" applyFill="1" applyAlignment="1">
      <alignment horizontal="center"/>
    </xf>
    <xf numFmtId="0" fontId="3" fillId="0" borderId="5" xfId="0" applyFont="1" applyBorder="1"/>
    <xf numFmtId="172" fontId="7" fillId="0" borderId="7" xfId="0" applyNumberFormat="1" applyFont="1" applyBorder="1" applyAlignment="1">
      <alignment horizontal="left"/>
    </xf>
    <xf numFmtId="172" fontId="3" fillId="0" borderId="7" xfId="0" applyNumberFormat="1" applyFont="1" applyBorder="1"/>
    <xf numFmtId="165" fontId="3" fillId="0" borderId="0" xfId="0" applyNumberFormat="1" applyFont="1"/>
    <xf numFmtId="8" fontId="3" fillId="0" borderId="5" xfId="0" applyNumberFormat="1" applyFont="1" applyBorder="1"/>
    <xf numFmtId="8" fontId="3" fillId="0" borderId="0" xfId="0" applyNumberFormat="1" applyFont="1"/>
    <xf numFmtId="0" fontId="3" fillId="0" borderId="0" xfId="0" applyFont="1" applyAlignment="1">
      <alignment horizontal="left"/>
    </xf>
    <xf numFmtId="49" fontId="8" fillId="0" borderId="0" xfId="1" applyNumberFormat="1" applyFont="1" applyAlignment="1">
      <alignment horizontal="left"/>
    </xf>
    <xf numFmtId="172" fontId="7" fillId="0" borderId="11" xfId="0" applyNumberFormat="1" applyFont="1" applyBorder="1" applyAlignment="1">
      <alignment horizontal="left"/>
    </xf>
    <xf numFmtId="165" fontId="3" fillId="0" borderId="10" xfId="0" applyNumberFormat="1" applyFont="1" applyBorder="1"/>
    <xf numFmtId="8" fontId="3" fillId="0" borderId="16" xfId="0" applyNumberFormat="1" applyFont="1" applyBorder="1"/>
    <xf numFmtId="8" fontId="3" fillId="0" borderId="10" xfId="0" applyNumberFormat="1" applyFont="1" applyBorder="1"/>
    <xf numFmtId="0" fontId="9" fillId="0" borderId="0" xfId="0" applyFont="1"/>
    <xf numFmtId="44" fontId="3" fillId="0" borderId="0" xfId="2" applyFont="1"/>
    <xf numFmtId="0" fontId="3" fillId="0" borderId="0" xfId="0" applyFont="1" applyAlignment="1">
      <alignment horizontal="center" wrapText="1"/>
    </xf>
    <xf numFmtId="175" fontId="3" fillId="0" borderId="0" xfId="0" applyNumberFormat="1" applyFont="1"/>
    <xf numFmtId="175" fontId="3" fillId="0" borderId="0" xfId="1" applyNumberFormat="1" applyFont="1"/>
    <xf numFmtId="165" fontId="3" fillId="0" borderId="0" xfId="2" applyNumberFormat="1" applyFont="1"/>
    <xf numFmtId="165" fontId="3" fillId="0" borderId="12" xfId="0" applyNumberFormat="1" applyFont="1" applyBorder="1"/>
    <xf numFmtId="175" fontId="3" fillId="0" borderId="12" xfId="0" applyNumberFormat="1" applyFont="1" applyBorder="1"/>
    <xf numFmtId="175" fontId="3" fillId="0" borderId="18" xfId="0" applyNumberFormat="1" applyFont="1" applyBorder="1"/>
    <xf numFmtId="175" fontId="3" fillId="0" borderId="12" xfId="1" applyNumberFormat="1" applyFont="1" applyBorder="1"/>
    <xf numFmtId="172" fontId="3" fillId="0" borderId="0" xfId="0" applyNumberFormat="1" applyFont="1"/>
    <xf numFmtId="172" fontId="3" fillId="0" borderId="24" xfId="0" applyNumberFormat="1" applyFont="1" applyBorder="1"/>
    <xf numFmtId="2" fontId="3" fillId="0" borderId="0" xfId="0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5" borderId="25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7" fillId="6" borderId="28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1019383</xdr:colOff>
      <xdr:row>3</xdr:row>
      <xdr:rowOff>41029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C46A2-B4C9-44CB-885C-E1B38EDB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5808" cy="63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1012240</xdr:colOff>
      <xdr:row>3</xdr:row>
      <xdr:rowOff>41029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93F0D1-F6CF-4532-92A9-CDB41365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1840" cy="63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1012657</xdr:colOff>
      <xdr:row>3</xdr:row>
      <xdr:rowOff>31504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EF5C6-4F5B-4372-91F7-1C8643D4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2257" cy="62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4BCD-B245-459C-A20A-0AF8CC0ABDC9}">
  <dimension ref="B4:M82"/>
  <sheetViews>
    <sheetView showGridLines="0" zoomScale="90" zoomScaleNormal="90" workbookViewId="0">
      <selection activeCell="F32" sqref="F32"/>
    </sheetView>
  </sheetViews>
  <sheetFormatPr defaultColWidth="8.7109375" defaultRowHeight="15" x14ac:dyDescent="0.2"/>
  <cols>
    <col min="1" max="1" width="8.7109375" style="2"/>
    <col min="2" max="2" width="29.28515625" style="2" customWidth="1"/>
    <col min="3" max="5" width="15.7109375" style="2" customWidth="1"/>
    <col min="6" max="7" width="8.7109375" style="2"/>
    <col min="8" max="8" width="9.28515625" style="2" bestFit="1" customWidth="1"/>
    <col min="9" max="9" width="25.5703125" style="2" customWidth="1"/>
    <col min="10" max="10" width="20.85546875" style="2" customWidth="1"/>
    <col min="11" max="11" width="15.5703125" style="2" customWidth="1"/>
    <col min="12" max="12" width="8.7109375" style="2"/>
    <col min="13" max="13" width="10.85546875" style="2" bestFit="1" customWidth="1"/>
    <col min="14" max="16384" width="8.7109375" style="2"/>
  </cols>
  <sheetData>
    <row r="4" spans="2:13" ht="23.25" x14ac:dyDescent="0.35">
      <c r="B4" s="1" t="s">
        <v>0</v>
      </c>
    </row>
    <row r="5" spans="2:13" ht="48" thickBot="1" x14ac:dyDescent="0.3">
      <c r="B5" s="3" t="s">
        <v>1</v>
      </c>
      <c r="C5" s="4" t="s">
        <v>2</v>
      </c>
      <c r="D5" s="5" t="s">
        <v>3</v>
      </c>
      <c r="E5" s="6" t="s">
        <v>4</v>
      </c>
      <c r="I5" s="7" t="s">
        <v>5</v>
      </c>
      <c r="J5" s="8">
        <v>307.47542199999998</v>
      </c>
      <c r="K5" s="9"/>
      <c r="M5" s="10"/>
    </row>
    <row r="6" spans="2:13" x14ac:dyDescent="0.2">
      <c r="B6" s="11"/>
      <c r="C6" s="12"/>
      <c r="D6" s="13"/>
      <c r="E6" s="14"/>
      <c r="I6" s="15" t="s">
        <v>6</v>
      </c>
      <c r="J6" s="16">
        <v>24.520767489999997</v>
      </c>
      <c r="K6" s="17" t="s">
        <v>7</v>
      </c>
    </row>
    <row r="7" spans="2:13" x14ac:dyDescent="0.2">
      <c r="B7" s="18" t="s">
        <v>8</v>
      </c>
      <c r="C7" s="19">
        <v>1098</v>
      </c>
      <c r="D7" s="20">
        <v>9.731083367794243</v>
      </c>
      <c r="E7" s="21">
        <v>0.56379755952255584</v>
      </c>
      <c r="G7" s="22"/>
      <c r="I7" s="15" t="s">
        <v>9</v>
      </c>
      <c r="J7" s="16">
        <v>24.12527789</v>
      </c>
      <c r="K7" s="17" t="s">
        <v>7</v>
      </c>
    </row>
    <row r="8" spans="2:13" x14ac:dyDescent="0.2">
      <c r="B8" s="18" t="s">
        <v>10</v>
      </c>
      <c r="C8" s="19">
        <v>3279</v>
      </c>
      <c r="D8" s="20">
        <v>7.6487764770606539</v>
      </c>
      <c r="E8" s="21">
        <v>0.53622424311344585</v>
      </c>
      <c r="G8" s="22"/>
      <c r="I8" s="15" t="s">
        <v>11</v>
      </c>
      <c r="J8" s="16">
        <v>25.823086282409086</v>
      </c>
      <c r="K8" s="17" t="s">
        <v>12</v>
      </c>
    </row>
    <row r="9" spans="2:13" x14ac:dyDescent="0.2">
      <c r="B9" s="18" t="s">
        <v>13</v>
      </c>
      <c r="C9" s="19">
        <v>99890</v>
      </c>
      <c r="D9" s="20">
        <v>214.2907591913127</v>
      </c>
      <c r="E9" s="21">
        <v>15.389822866026661</v>
      </c>
      <c r="G9" s="22"/>
      <c r="I9" s="15" t="s">
        <v>14</v>
      </c>
      <c r="J9" s="23">
        <v>24.581798557361601</v>
      </c>
      <c r="K9" s="17" t="s">
        <v>12</v>
      </c>
    </row>
    <row r="10" spans="2:13" ht="15.75" x14ac:dyDescent="0.25">
      <c r="B10" s="18" t="s">
        <v>15</v>
      </c>
      <c r="C10" s="19">
        <v>37579</v>
      </c>
      <c r="D10" s="20">
        <v>268.84408060927638</v>
      </c>
      <c r="E10" s="21">
        <v>15.734651323483126</v>
      </c>
      <c r="G10" s="22"/>
      <c r="I10" s="24" t="s">
        <v>16</v>
      </c>
      <c r="J10" s="8">
        <f>SUM(J6:J9)</f>
        <v>99.050930219770692</v>
      </c>
      <c r="K10" s="17"/>
    </row>
    <row r="11" spans="2:13" ht="15.75" x14ac:dyDescent="0.25">
      <c r="B11" s="18" t="s">
        <v>17</v>
      </c>
      <c r="C11" s="19">
        <v>235650</v>
      </c>
      <c r="D11" s="20">
        <v>833.19415631304491</v>
      </c>
      <c r="E11" s="21">
        <v>53.712439068081061</v>
      </c>
      <c r="G11" s="22"/>
      <c r="I11" s="24" t="s">
        <v>18</v>
      </c>
      <c r="J11" s="8">
        <f>J5-J10</f>
        <v>208.42449178022929</v>
      </c>
      <c r="K11" s="17"/>
    </row>
    <row r="12" spans="2:13" x14ac:dyDescent="0.2">
      <c r="B12" s="18" t="s">
        <v>19</v>
      </c>
      <c r="C12" s="19">
        <v>962616</v>
      </c>
      <c r="D12" s="20">
        <v>4969.3705833894428</v>
      </c>
      <c r="E12" s="21">
        <v>303.84908186084073</v>
      </c>
      <c r="G12" s="22"/>
      <c r="I12" s="25"/>
      <c r="J12" s="26"/>
      <c r="K12" s="27"/>
    </row>
    <row r="13" spans="2:13" x14ac:dyDescent="0.2">
      <c r="B13" s="28" t="s">
        <v>20</v>
      </c>
      <c r="C13" s="29">
        <f>SUM(C7:C12)</f>
        <v>1340112</v>
      </c>
      <c r="D13" s="30">
        <f t="shared" ref="D13:E13" si="0">SUM(D7:D12)</f>
        <v>6303.0794393479318</v>
      </c>
      <c r="E13" s="31">
        <f t="shared" si="0"/>
        <v>389.78601692106758</v>
      </c>
      <c r="J13" s="32"/>
    </row>
    <row r="14" spans="2:13" x14ac:dyDescent="0.2">
      <c r="B14" s="11"/>
      <c r="C14" s="33"/>
      <c r="D14" s="34"/>
      <c r="E14" s="35"/>
    </row>
    <row r="15" spans="2:13" x14ac:dyDescent="0.2">
      <c r="B15" s="36" t="s">
        <v>21</v>
      </c>
      <c r="C15" s="19">
        <v>1</v>
      </c>
      <c r="D15" s="20">
        <v>1.8000000000000004E-4</v>
      </c>
      <c r="E15" s="21">
        <v>1.8120000000000003E-5</v>
      </c>
      <c r="G15" s="22"/>
    </row>
    <row r="16" spans="2:13" x14ac:dyDescent="0.2">
      <c r="B16" s="18" t="s">
        <v>22</v>
      </c>
      <c r="C16" s="19">
        <v>10</v>
      </c>
      <c r="D16" s="20">
        <v>4.9200000000000008</v>
      </c>
      <c r="E16" s="21">
        <v>0.41629079999999985</v>
      </c>
      <c r="G16" s="22"/>
    </row>
    <row r="17" spans="2:7" x14ac:dyDescent="0.2">
      <c r="B17" s="18" t="s">
        <v>23</v>
      </c>
      <c r="C17" s="19">
        <v>1</v>
      </c>
      <c r="D17" s="20">
        <v>6.4235519999999982</v>
      </c>
      <c r="E17" s="21">
        <v>0.54278590848000008</v>
      </c>
      <c r="G17" s="22"/>
    </row>
    <row r="18" spans="2:7" x14ac:dyDescent="0.2">
      <c r="B18" s="18" t="s">
        <v>24</v>
      </c>
      <c r="C18" s="19">
        <v>37</v>
      </c>
      <c r="D18" s="20">
        <v>5.11158</v>
      </c>
      <c r="E18" s="21">
        <v>0.43409739419999988</v>
      </c>
      <c r="G18" s="22"/>
    </row>
    <row r="19" spans="2:7" x14ac:dyDescent="0.2">
      <c r="B19" s="18" t="s">
        <v>25</v>
      </c>
      <c r="C19" s="19">
        <v>693</v>
      </c>
      <c r="D19" s="20">
        <v>0.15366000000000002</v>
      </c>
      <c r="E19" s="21">
        <v>6.3932333400000013E-2</v>
      </c>
      <c r="G19" s="22"/>
    </row>
    <row r="20" spans="2:7" x14ac:dyDescent="0.2">
      <c r="B20" s="18" t="s">
        <v>26</v>
      </c>
      <c r="C20" s="19">
        <v>113344</v>
      </c>
      <c r="D20" s="20">
        <v>2237.1731773805627</v>
      </c>
      <c r="E20" s="21">
        <v>195.81942675688376</v>
      </c>
      <c r="G20" s="22"/>
    </row>
    <row r="21" spans="2:7" x14ac:dyDescent="0.2">
      <c r="B21" s="18" t="s">
        <v>27</v>
      </c>
      <c r="C21" s="19">
        <v>10588</v>
      </c>
      <c r="D21" s="20">
        <v>3695.2588557477102</v>
      </c>
      <c r="E21" s="21">
        <v>311.65584468879752</v>
      </c>
      <c r="G21" s="22"/>
    </row>
    <row r="22" spans="2:7" x14ac:dyDescent="0.2">
      <c r="B22" s="18" t="s">
        <v>28</v>
      </c>
      <c r="C22" s="19">
        <v>400</v>
      </c>
      <c r="D22" s="20">
        <v>1679.3258089021394</v>
      </c>
      <c r="E22" s="21">
        <v>93.899560389319532</v>
      </c>
      <c r="G22" s="22"/>
    </row>
    <row r="23" spans="2:7" x14ac:dyDescent="0.2">
      <c r="B23" s="18" t="s">
        <v>29</v>
      </c>
      <c r="C23" s="19">
        <v>1</v>
      </c>
      <c r="D23" s="20">
        <v>6.058689152868368</v>
      </c>
      <c r="E23" s="21">
        <v>0.4069436849973454</v>
      </c>
      <c r="G23" s="22"/>
    </row>
    <row r="24" spans="2:7" x14ac:dyDescent="0.2">
      <c r="B24" s="28" t="s">
        <v>20</v>
      </c>
      <c r="C24" s="29">
        <f>SUM(C15:C23)</f>
        <v>125075</v>
      </c>
      <c r="D24" s="30">
        <f t="shared" ref="D24:E24" si="1">SUM(D15:D23)</f>
        <v>7634.4255031832799</v>
      </c>
      <c r="E24" s="31">
        <f t="shared" si="1"/>
        <v>603.23890007607815</v>
      </c>
    </row>
    <row r="25" spans="2:7" x14ac:dyDescent="0.2">
      <c r="B25" s="11"/>
      <c r="C25" s="12"/>
      <c r="D25" s="13"/>
      <c r="E25" s="35"/>
    </row>
    <row r="26" spans="2:7" x14ac:dyDescent="0.2">
      <c r="B26" s="18" t="s">
        <v>30</v>
      </c>
      <c r="C26" s="19">
        <v>113</v>
      </c>
      <c r="D26" s="20">
        <v>3.6278302895549395</v>
      </c>
      <c r="E26" s="21">
        <v>0.31329538116449684</v>
      </c>
      <c r="G26" s="22"/>
    </row>
    <row r="27" spans="2:7" x14ac:dyDescent="0.2">
      <c r="B27" s="18" t="s">
        <v>31</v>
      </c>
      <c r="C27" s="19">
        <v>231</v>
      </c>
      <c r="D27" s="20">
        <v>108.62744704606504</v>
      </c>
      <c r="E27" s="21">
        <v>9.2490644441852066</v>
      </c>
      <c r="G27" s="22"/>
    </row>
    <row r="28" spans="2:7" x14ac:dyDescent="0.2">
      <c r="B28" s="18" t="s">
        <v>32</v>
      </c>
      <c r="C28" s="19">
        <v>216</v>
      </c>
      <c r="D28" s="20">
        <v>969.04059549796705</v>
      </c>
      <c r="E28" s="21">
        <v>57.951620953683943</v>
      </c>
      <c r="G28" s="22"/>
    </row>
    <row r="29" spans="2:7" x14ac:dyDescent="0.2">
      <c r="B29" s="18" t="s">
        <v>33</v>
      </c>
      <c r="C29" s="19">
        <v>1</v>
      </c>
      <c r="D29" s="20">
        <v>64.792428988055747</v>
      </c>
      <c r="E29" s="21">
        <v>1.0988640000000001</v>
      </c>
      <c r="G29" s="22"/>
    </row>
    <row r="30" spans="2:7" x14ac:dyDescent="0.2">
      <c r="B30" s="18" t="s">
        <v>34</v>
      </c>
      <c r="C30" s="19">
        <v>2</v>
      </c>
      <c r="D30" s="20">
        <v>4.4336741250730203</v>
      </c>
      <c r="E30" s="21">
        <v>0.1371508996558026</v>
      </c>
      <c r="G30" s="22"/>
    </row>
    <row r="31" spans="2:7" x14ac:dyDescent="0.2">
      <c r="B31" s="18" t="s">
        <v>35</v>
      </c>
      <c r="C31" s="19">
        <v>14</v>
      </c>
      <c r="D31" s="20">
        <v>297.05609140832462</v>
      </c>
      <c r="E31" s="21">
        <v>16.556493319561497</v>
      </c>
      <c r="G31" s="22"/>
    </row>
    <row r="32" spans="2:7" x14ac:dyDescent="0.2">
      <c r="B32" s="18" t="s">
        <v>36</v>
      </c>
      <c r="C32" s="19">
        <v>2</v>
      </c>
      <c r="D32" s="20">
        <v>11.614126004174347</v>
      </c>
      <c r="E32" s="21">
        <v>0.42451775488812044</v>
      </c>
      <c r="G32" s="22"/>
    </row>
    <row r="33" spans="2:7" x14ac:dyDescent="0.2">
      <c r="B33" s="28" t="s">
        <v>20</v>
      </c>
      <c r="C33" s="29">
        <f>SUM(C26:C32)</f>
        <v>579</v>
      </c>
      <c r="D33" s="30">
        <v>1459.1921933592146</v>
      </c>
      <c r="E33" s="31">
        <v>85.73100675313907</v>
      </c>
      <c r="G33" s="22"/>
    </row>
    <row r="34" spans="2:7" x14ac:dyDescent="0.2">
      <c r="B34" s="11"/>
      <c r="C34" s="37"/>
      <c r="D34" s="38"/>
      <c r="E34" s="35"/>
      <c r="G34" s="22"/>
    </row>
    <row r="35" spans="2:7" x14ac:dyDescent="0.2">
      <c r="B35" s="39" t="s">
        <v>37</v>
      </c>
      <c r="C35" s="37"/>
      <c r="D35" s="20">
        <v>2.3910223598225008E-3</v>
      </c>
      <c r="E35" s="21">
        <v>7.7880000000000007E-4</v>
      </c>
    </row>
    <row r="36" spans="2:7" x14ac:dyDescent="0.2">
      <c r="B36" s="39" t="s">
        <v>38</v>
      </c>
      <c r="C36" s="37"/>
      <c r="D36" s="20">
        <v>3.0597219113238148</v>
      </c>
      <c r="E36" s="21">
        <v>0.75923423999999995</v>
      </c>
    </row>
    <row r="37" spans="2:7" x14ac:dyDescent="0.2">
      <c r="B37" s="39" t="s">
        <v>39</v>
      </c>
      <c r="C37" s="37"/>
      <c r="D37" s="20">
        <v>31.916672859683249</v>
      </c>
      <c r="E37" s="21">
        <v>6.274782000000001</v>
      </c>
    </row>
    <row r="38" spans="2:7" x14ac:dyDescent="0.2">
      <c r="B38" s="39" t="s">
        <v>40</v>
      </c>
      <c r="C38" s="37"/>
      <c r="D38" s="20">
        <v>0.38364488902181981</v>
      </c>
      <c r="E38" s="21">
        <v>5.7754800000000002E-2</v>
      </c>
    </row>
    <row r="39" spans="2:7" x14ac:dyDescent="0.2">
      <c r="B39" s="39" t="s">
        <v>41</v>
      </c>
      <c r="C39" s="37"/>
      <c r="D39" s="20">
        <v>17.240800497656974</v>
      </c>
      <c r="E39" s="21">
        <v>2.6919321599999999</v>
      </c>
    </row>
    <row r="40" spans="2:7" x14ac:dyDescent="0.2">
      <c r="B40" s="39" t="s">
        <v>42</v>
      </c>
      <c r="C40" s="37"/>
      <c r="D40" s="20">
        <v>0.86427679485415998</v>
      </c>
      <c r="E40" s="21">
        <v>0.11924063999999997</v>
      </c>
    </row>
    <row r="41" spans="2:7" x14ac:dyDescent="0.2">
      <c r="B41" s="39" t="s">
        <v>43</v>
      </c>
      <c r="C41" s="37"/>
      <c r="D41" s="20">
        <v>2.0268101822917717</v>
      </c>
      <c r="E41" s="21">
        <v>0.24755711999999996</v>
      </c>
    </row>
    <row r="42" spans="2:7" x14ac:dyDescent="0.2">
      <c r="B42" s="39" t="s">
        <v>44</v>
      </c>
      <c r="C42" s="37"/>
      <c r="D42" s="20">
        <v>7.6077984176170484E-3</v>
      </c>
      <c r="E42" s="21">
        <v>3.7590000000000006E-3</v>
      </c>
    </row>
    <row r="43" spans="2:7" x14ac:dyDescent="0.2">
      <c r="B43" s="39" t="s">
        <v>45</v>
      </c>
      <c r="C43" s="37"/>
      <c r="D43" s="20">
        <v>17.51019159141471</v>
      </c>
      <c r="E43" s="21">
        <v>6.4074254400000017</v>
      </c>
    </row>
    <row r="44" spans="2:7" x14ac:dyDescent="0.2">
      <c r="B44" s="39" t="s">
        <v>46</v>
      </c>
      <c r="C44" s="37"/>
      <c r="D44" s="20">
        <v>112.78716178871106</v>
      </c>
      <c r="E44" s="21">
        <v>31.766762399999994</v>
      </c>
    </row>
    <row r="45" spans="2:7" x14ac:dyDescent="0.2">
      <c r="B45" s="39" t="s">
        <v>47</v>
      </c>
      <c r="C45" s="37"/>
      <c r="D45" s="20">
        <v>0.46288957101649075</v>
      </c>
      <c r="E45" s="21">
        <v>9.6180480000000013E-2</v>
      </c>
    </row>
    <row r="46" spans="2:7" x14ac:dyDescent="0.2">
      <c r="B46" s="39" t="s">
        <v>48</v>
      </c>
      <c r="C46" s="37"/>
      <c r="D46" s="20">
        <v>34.113383551901272</v>
      </c>
      <c r="E46" s="21">
        <v>5.7643958399999997</v>
      </c>
    </row>
    <row r="47" spans="2:7" x14ac:dyDescent="0.2">
      <c r="B47" s="39" t="s">
        <v>49</v>
      </c>
      <c r="C47" s="37"/>
      <c r="D47" s="20">
        <v>0.16103816955057407</v>
      </c>
      <c r="E47" s="21">
        <v>2.3885759999999995E-2</v>
      </c>
    </row>
    <row r="48" spans="2:7" x14ac:dyDescent="0.2">
      <c r="B48" s="39" t="s">
        <v>50</v>
      </c>
      <c r="C48" s="37"/>
      <c r="D48" s="20">
        <v>0.33311343954660472</v>
      </c>
      <c r="E48" s="21">
        <v>5.1053040000000015E-2</v>
      </c>
    </row>
    <row r="49" spans="2:7" x14ac:dyDescent="0.2">
      <c r="B49" s="39" t="s">
        <v>51</v>
      </c>
      <c r="C49" s="37"/>
      <c r="D49" s="20">
        <v>19.449865724883271</v>
      </c>
      <c r="E49" s="21">
        <v>2.42501364</v>
      </c>
    </row>
    <row r="50" spans="2:7" x14ac:dyDescent="0.2">
      <c r="B50" s="39" t="s">
        <v>52</v>
      </c>
      <c r="C50" s="37"/>
      <c r="D50" s="20">
        <v>3.6548327017425248</v>
      </c>
      <c r="E50" s="21">
        <v>0.54390960000000022</v>
      </c>
    </row>
    <row r="51" spans="2:7" x14ac:dyDescent="0.2">
      <c r="B51" s="39" t="s">
        <v>53</v>
      </c>
      <c r="C51" s="37"/>
      <c r="D51" s="20">
        <v>3.7037454941795032</v>
      </c>
      <c r="E51" s="21">
        <v>0.74772828000000002</v>
      </c>
    </row>
    <row r="52" spans="2:7" x14ac:dyDescent="0.2">
      <c r="B52" s="39" t="s">
        <v>54</v>
      </c>
      <c r="C52" s="37"/>
      <c r="D52" s="20">
        <v>6.6644093462519165E-3</v>
      </c>
      <c r="E52" s="21">
        <v>1.20144E-3</v>
      </c>
    </row>
    <row r="53" spans="2:7" x14ac:dyDescent="0.2">
      <c r="B53" s="39" t="s">
        <v>55</v>
      </c>
      <c r="C53" s="37"/>
      <c r="D53" s="20">
        <v>4.4931580217914133</v>
      </c>
      <c r="E53" s="21">
        <v>0.4993104000000001</v>
      </c>
    </row>
    <row r="54" spans="2:7" x14ac:dyDescent="0.2">
      <c r="B54" s="39" t="s">
        <v>56</v>
      </c>
      <c r="C54" s="37"/>
      <c r="D54" s="20">
        <v>8.5217978851168201</v>
      </c>
      <c r="E54" s="21">
        <v>0.83860128000000012</v>
      </c>
    </row>
    <row r="55" spans="2:7" x14ac:dyDescent="0.2">
      <c r="B55" s="39" t="s">
        <v>57</v>
      </c>
      <c r="C55" s="37"/>
      <c r="D55" s="20">
        <v>0.94722883039244155</v>
      </c>
      <c r="E55" s="21">
        <v>8.7354720000000011E-2</v>
      </c>
    </row>
    <row r="56" spans="2:7" ht="15" customHeight="1" x14ac:dyDescent="0.2">
      <c r="B56" s="39" t="s">
        <v>58</v>
      </c>
      <c r="C56" s="37"/>
      <c r="D56" s="20">
        <v>0.80972573556960792</v>
      </c>
      <c r="E56" s="21">
        <v>7.0450560000000009E-2</v>
      </c>
    </row>
    <row r="57" spans="2:7" x14ac:dyDescent="0.2">
      <c r="B57" s="40" t="s">
        <v>59</v>
      </c>
      <c r="C57" s="41">
        <v>150</v>
      </c>
      <c r="D57" s="42">
        <f>SUM(D35:D56)</f>
        <v>262.45672287077173</v>
      </c>
      <c r="E57" s="43">
        <f>SUM(E35:E56)</f>
        <v>59.478311639999994</v>
      </c>
    </row>
    <row r="58" spans="2:7" x14ac:dyDescent="0.2">
      <c r="B58" s="44"/>
      <c r="C58" s="37"/>
      <c r="D58" s="45"/>
      <c r="E58" s="35"/>
    </row>
    <row r="59" spans="2:7" x14ac:dyDescent="0.2">
      <c r="B59" s="18" t="s">
        <v>60</v>
      </c>
      <c r="C59" s="19">
        <v>1</v>
      </c>
      <c r="D59" s="20">
        <v>3.3564790118043593E-2</v>
      </c>
      <c r="E59" s="21">
        <v>2.3431200000000002E-3</v>
      </c>
      <c r="G59" s="22"/>
    </row>
    <row r="60" spans="2:7" x14ac:dyDescent="0.2">
      <c r="B60" s="18" t="s">
        <v>61</v>
      </c>
      <c r="C60" s="19">
        <v>2</v>
      </c>
      <c r="D60" s="20">
        <v>3.1435268588529325E-2</v>
      </c>
      <c r="E60" s="21">
        <v>8.8799999999999979E-4</v>
      </c>
      <c r="G60" s="22"/>
    </row>
    <row r="61" spans="2:7" x14ac:dyDescent="0.2">
      <c r="B61" s="18" t="s">
        <v>62</v>
      </c>
      <c r="C61" s="19">
        <v>23</v>
      </c>
      <c r="D61" s="20">
        <v>3.1091575656600652</v>
      </c>
      <c r="E61" s="21">
        <v>0.2927649426892972</v>
      </c>
      <c r="G61" s="22"/>
    </row>
    <row r="62" spans="2:7" x14ac:dyDescent="0.2">
      <c r="B62" s="18" t="s">
        <v>63</v>
      </c>
      <c r="C62" s="19">
        <v>225</v>
      </c>
      <c r="D62" s="20">
        <v>2.8801728574882861</v>
      </c>
      <c r="E62" s="21">
        <v>0.23754864658401381</v>
      </c>
      <c r="G62" s="22"/>
    </row>
    <row r="63" spans="2:7" x14ac:dyDescent="0.2">
      <c r="B63" s="18" t="s">
        <v>64</v>
      </c>
      <c r="C63" s="19">
        <v>80</v>
      </c>
      <c r="D63" s="20">
        <v>0.75771244805597937</v>
      </c>
      <c r="E63" s="21">
        <v>3.9116796772455303E-2</v>
      </c>
      <c r="G63" s="22"/>
    </row>
    <row r="64" spans="2:7" x14ac:dyDescent="0.2">
      <c r="B64" s="18" t="s">
        <v>65</v>
      </c>
      <c r="C64" s="19">
        <v>685</v>
      </c>
      <c r="D64" s="20">
        <v>1.5194131331775194</v>
      </c>
      <c r="E64" s="21">
        <v>9.0086004666095135E-2</v>
      </c>
      <c r="G64" s="22"/>
    </row>
    <row r="65" spans="2:7" x14ac:dyDescent="0.2">
      <c r="B65" s="46" t="s">
        <v>66</v>
      </c>
      <c r="C65" s="47">
        <v>1035</v>
      </c>
      <c r="D65" s="20">
        <v>13.869595664257442</v>
      </c>
      <c r="E65" s="21">
        <v>6.2094999999999997E-2</v>
      </c>
      <c r="G65" s="22"/>
    </row>
    <row r="66" spans="2:7" x14ac:dyDescent="0.2">
      <c r="B66" s="28" t="s">
        <v>20</v>
      </c>
      <c r="C66" s="29">
        <f>SUM(C59:C65)</f>
        <v>2051</v>
      </c>
      <c r="D66" s="48">
        <f t="shared" ref="D66:E66" si="2">SUM(D59:D65)</f>
        <v>22.201051727345863</v>
      </c>
      <c r="E66" s="31">
        <f t="shared" si="2"/>
        <v>0.72484251071186145</v>
      </c>
    </row>
    <row r="67" spans="2:7" x14ac:dyDescent="0.2">
      <c r="B67" s="11"/>
      <c r="C67" s="37"/>
      <c r="D67" s="38"/>
      <c r="E67" s="35"/>
    </row>
    <row r="68" spans="2:7" x14ac:dyDescent="0.2">
      <c r="B68" s="49" t="s">
        <v>67</v>
      </c>
      <c r="C68" s="50">
        <v>2</v>
      </c>
      <c r="D68" s="51">
        <v>38.293598199999998</v>
      </c>
      <c r="E68" s="52">
        <v>2.2577619139080003</v>
      </c>
    </row>
    <row r="69" spans="2:7" x14ac:dyDescent="0.2">
      <c r="B69" s="11"/>
      <c r="C69" s="19"/>
      <c r="D69" s="20"/>
      <c r="E69" s="21"/>
    </row>
    <row r="70" spans="2:7" x14ac:dyDescent="0.2">
      <c r="B70" s="11"/>
      <c r="C70" s="19"/>
      <c r="D70" s="53"/>
      <c r="E70" s="21"/>
    </row>
    <row r="71" spans="2:7" x14ac:dyDescent="0.2">
      <c r="B71" s="49" t="s">
        <v>68</v>
      </c>
      <c r="C71" s="19">
        <v>1082</v>
      </c>
      <c r="D71" s="20">
        <v>23.109614930104854</v>
      </c>
      <c r="E71" s="52">
        <v>2.0174513654445589</v>
      </c>
    </row>
    <row r="72" spans="2:7" x14ac:dyDescent="0.2">
      <c r="B72" s="28"/>
      <c r="C72" s="29"/>
      <c r="D72" s="48"/>
      <c r="E72" s="31"/>
    </row>
    <row r="73" spans="2:7" ht="16.5" thickBot="1" x14ac:dyDescent="0.3">
      <c r="B73" s="54" t="s">
        <v>20</v>
      </c>
      <c r="C73" s="55">
        <f>C13+C24+C33+C57+C66+C68+C71</f>
        <v>1469051</v>
      </c>
      <c r="D73" s="56">
        <f>D13+D24+D33+D57+D66+D68+D71</f>
        <v>15742.758123618649</v>
      </c>
      <c r="E73" s="57">
        <f>E13+E24+E33+E57+E66+E68+E71</f>
        <v>1143.2342911803491</v>
      </c>
    </row>
    <row r="74" spans="2:7" x14ac:dyDescent="0.2">
      <c r="E74" s="58"/>
    </row>
    <row r="75" spans="2:7" x14ac:dyDescent="0.2">
      <c r="E75" s="58"/>
    </row>
    <row r="76" spans="2:7" x14ac:dyDescent="0.2">
      <c r="C76" s="22"/>
      <c r="D76" s="22"/>
      <c r="E76" s="22"/>
    </row>
    <row r="77" spans="2:7" x14ac:dyDescent="0.2">
      <c r="C77" s="22"/>
      <c r="D77" s="22"/>
      <c r="E77" s="22"/>
    </row>
    <row r="78" spans="2:7" x14ac:dyDescent="0.2">
      <c r="C78" s="22"/>
      <c r="D78" s="22"/>
      <c r="E78" s="22"/>
    </row>
    <row r="79" spans="2:7" x14ac:dyDescent="0.2">
      <c r="C79" s="22"/>
      <c r="D79" s="22"/>
      <c r="E79" s="22"/>
    </row>
    <row r="82" spans="3:5" x14ac:dyDescent="0.2">
      <c r="C82" s="22"/>
      <c r="D82" s="22"/>
      <c r="E82" s="2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04B7-833A-4937-8CB7-66246194CED0}">
  <dimension ref="B4:R39"/>
  <sheetViews>
    <sheetView showGridLines="0" zoomScale="90" zoomScaleNormal="90" workbookViewId="0">
      <selection activeCell="D10" sqref="D10"/>
    </sheetView>
  </sheetViews>
  <sheetFormatPr defaultColWidth="8.7109375" defaultRowHeight="15" x14ac:dyDescent="0.2"/>
  <cols>
    <col min="1" max="1" width="8.7109375" style="2"/>
    <col min="2" max="2" width="30.7109375" style="2" bestFit="1" customWidth="1"/>
    <col min="3" max="3" width="13.7109375" style="2" bestFit="1" customWidth="1"/>
    <col min="4" max="4" width="14.28515625" style="2" bestFit="1" customWidth="1"/>
    <col min="5" max="5" width="13" style="2" bestFit="1" customWidth="1"/>
    <col min="6" max="6" width="12.85546875" style="59" customWidth="1"/>
    <col min="7" max="7" width="22.42578125" style="2" customWidth="1"/>
    <col min="8" max="8" width="22.42578125" style="60" customWidth="1"/>
    <col min="9" max="9" width="22.42578125" style="2" customWidth="1"/>
    <col min="10" max="10" width="8.7109375" style="2"/>
    <col min="11" max="11" width="23.85546875" style="2" customWidth="1"/>
    <col min="12" max="12" width="15.7109375" style="2" bestFit="1" customWidth="1"/>
    <col min="13" max="13" width="10.28515625" style="2" bestFit="1" customWidth="1"/>
    <col min="14" max="16384" width="8.7109375" style="2"/>
  </cols>
  <sheetData>
    <row r="4" spans="2:18" ht="23.25" x14ac:dyDescent="0.35">
      <c r="B4" s="1" t="s">
        <v>69</v>
      </c>
    </row>
    <row r="5" spans="2:18" ht="49.5" customHeight="1" thickBot="1" x14ac:dyDescent="0.3">
      <c r="B5" s="3" t="s">
        <v>1</v>
      </c>
      <c r="C5" s="4" t="s">
        <v>2</v>
      </c>
      <c r="D5" s="5" t="s">
        <v>3</v>
      </c>
      <c r="E5" s="6" t="s">
        <v>4</v>
      </c>
      <c r="F5" s="61" t="s">
        <v>70</v>
      </c>
      <c r="G5" s="62" t="s">
        <v>71</v>
      </c>
      <c r="H5" s="63" t="s">
        <v>72</v>
      </c>
      <c r="I5" s="62" t="s">
        <v>73</v>
      </c>
      <c r="K5" s="64" t="s">
        <v>5</v>
      </c>
      <c r="L5" s="65">
        <f>'Schedule 1'!J5</f>
        <v>307.47542199999998</v>
      </c>
      <c r="M5" s="64"/>
    </row>
    <row r="6" spans="2:18" x14ac:dyDescent="0.2">
      <c r="B6" s="11"/>
      <c r="C6" s="12"/>
      <c r="D6" s="66"/>
      <c r="E6" s="14"/>
      <c r="K6" s="64" t="s">
        <v>6</v>
      </c>
      <c r="L6" s="65">
        <f>'Schedule 1'!J6</f>
        <v>24.520767489999997</v>
      </c>
      <c r="M6" s="64" t="str">
        <f>'Schedule 1'!K6</f>
        <v>Actual</v>
      </c>
    </row>
    <row r="7" spans="2:18" x14ac:dyDescent="0.2">
      <c r="B7" s="18" t="s">
        <v>74</v>
      </c>
      <c r="C7" s="37">
        <f>SUM('Schedule 1'!C7:C8)</f>
        <v>4377</v>
      </c>
      <c r="D7" s="67">
        <f>SUM('Schedule 1'!D7:D8)</f>
        <v>17.379859844854899</v>
      </c>
      <c r="E7" s="35">
        <f>SUM('Schedule 1'!E7:E8)</f>
        <v>1.1000218026360016</v>
      </c>
      <c r="F7" s="59">
        <f>+D7/$D$32</f>
        <v>1.1253276999358931E-3</v>
      </c>
      <c r="G7" s="121">
        <f>$G$32*F7</f>
        <v>234545.85394535286</v>
      </c>
      <c r="H7" s="122">
        <f>ROUND(G7/C7/6,2)</f>
        <v>8.93</v>
      </c>
      <c r="I7" s="120">
        <f>H7*C7*6</f>
        <v>234519.66</v>
      </c>
      <c r="K7" s="64" t="s">
        <v>9</v>
      </c>
      <c r="L7" s="65">
        <f>'Schedule 1'!J7</f>
        <v>24.12527789</v>
      </c>
      <c r="M7" s="64" t="str">
        <f>'Schedule 1'!K7</f>
        <v>Actual</v>
      </c>
    </row>
    <row r="8" spans="2:18" x14ac:dyDescent="0.2">
      <c r="B8" s="18" t="s">
        <v>75</v>
      </c>
      <c r="C8" s="37">
        <f>SUM('Schedule 1'!C9:C10)</f>
        <v>137469</v>
      </c>
      <c r="D8" s="67">
        <f>SUM('Schedule 1'!D9:D10)</f>
        <v>483.13483980058908</v>
      </c>
      <c r="E8" s="35">
        <f>SUM('Schedule 1'!E9:E10)</f>
        <v>31.124474189509787</v>
      </c>
      <c r="F8" s="59">
        <f>+D8/$D$32</f>
        <v>3.1282474248067342E-2</v>
      </c>
      <c r="G8" s="121">
        <f>$G$32*F8</f>
        <v>6520033.7967815455</v>
      </c>
      <c r="H8" s="122">
        <f t="shared" ref="H8:H9" si="0">ROUND(G8/C8/6,2)</f>
        <v>7.9</v>
      </c>
      <c r="I8" s="120">
        <f t="shared" ref="I8:I9" si="1">H8*C8*6</f>
        <v>6516030.6000000006</v>
      </c>
      <c r="K8" s="64" t="s">
        <v>11</v>
      </c>
      <c r="L8" s="65">
        <f>'Schedule 1'!J8</f>
        <v>25.823086282409086</v>
      </c>
      <c r="M8" s="64" t="str">
        <f>'Schedule 1'!K8</f>
        <v>Forecast</v>
      </c>
    </row>
    <row r="9" spans="2:18" ht="15.75" thickBot="1" x14ac:dyDescent="0.25">
      <c r="B9" s="18" t="s">
        <v>76</v>
      </c>
      <c r="C9" s="37">
        <f>SUM('Schedule 1'!C11:C12)</f>
        <v>1198266</v>
      </c>
      <c r="D9" s="67">
        <f>SUM('Schedule 1'!D11:D12)</f>
        <v>5802.5647397024877</v>
      </c>
      <c r="E9" s="35">
        <f>SUM('Schedule 1'!E11:E12)</f>
        <v>357.56152092892177</v>
      </c>
      <c r="F9" s="59">
        <f>+D9/$D$32</f>
        <v>0.37570998216027501</v>
      </c>
      <c r="G9" s="121">
        <f>$G$32*F9</f>
        <v>78307162.088514328</v>
      </c>
      <c r="H9" s="122">
        <f t="shared" si="0"/>
        <v>10.89</v>
      </c>
      <c r="I9" s="120">
        <f t="shared" si="1"/>
        <v>78294700.439999998</v>
      </c>
      <c r="K9" s="64" t="s">
        <v>14</v>
      </c>
      <c r="L9" s="70">
        <f>'Schedule 1'!J9</f>
        <v>24.581798557361601</v>
      </c>
      <c r="M9" s="64" t="str">
        <f>'Schedule 1'!K9</f>
        <v>Forecast</v>
      </c>
    </row>
    <row r="10" spans="2:18" ht="15.75" thickTop="1" x14ac:dyDescent="0.2">
      <c r="B10" s="28" t="s">
        <v>20</v>
      </c>
      <c r="C10" s="29">
        <f>SUM(C7:C9)</f>
        <v>1340112</v>
      </c>
      <c r="D10" s="71">
        <f>SUM(D7:D9)</f>
        <v>6303.0794393479318</v>
      </c>
      <c r="E10" s="31">
        <f>SUM(E7:E9)</f>
        <v>389.78601692106758</v>
      </c>
      <c r="F10" s="72">
        <f>D10/$D$32</f>
        <v>0.40811778410827826</v>
      </c>
      <c r="G10" s="124">
        <f>((F10*$L$11))*1000000</f>
        <v>85061741.739241228</v>
      </c>
      <c r="H10" s="73"/>
      <c r="I10" s="124">
        <f>SUM(I7:I9)</f>
        <v>85045250.700000003</v>
      </c>
      <c r="K10" s="64" t="s">
        <v>16</v>
      </c>
      <c r="L10" s="65">
        <f>SUM(L6:L9)</f>
        <v>99.050930219770692</v>
      </c>
      <c r="M10" s="64"/>
    </row>
    <row r="11" spans="2:18" x14ac:dyDescent="0.2">
      <c r="B11" s="11"/>
      <c r="C11" s="33"/>
      <c r="D11" s="74"/>
      <c r="E11" s="35"/>
      <c r="G11" s="75"/>
      <c r="H11" s="2"/>
      <c r="I11" s="120"/>
      <c r="K11" s="64" t="s">
        <v>18</v>
      </c>
      <c r="L11" s="65">
        <f>L5-L10</f>
        <v>208.42449178022929</v>
      </c>
      <c r="M11" s="64"/>
      <c r="R11" s="76"/>
    </row>
    <row r="12" spans="2:18" x14ac:dyDescent="0.2">
      <c r="C12" s="37"/>
      <c r="D12" s="77"/>
      <c r="E12" s="37"/>
      <c r="G12" s="75"/>
      <c r="H12" s="2"/>
      <c r="I12" s="120"/>
    </row>
    <row r="13" spans="2:18" x14ac:dyDescent="0.2">
      <c r="B13" s="18" t="s">
        <v>77</v>
      </c>
      <c r="C13" s="81">
        <f>SUM('Schedule 1'!C16:C18)</f>
        <v>48</v>
      </c>
      <c r="D13" s="82">
        <f>SUM('Schedule 1'!D16:D18)</f>
        <v>16.455131999999999</v>
      </c>
      <c r="E13" s="83">
        <f>SUM('Schedule 1'!E16:E18)</f>
        <v>1.3931741026799997</v>
      </c>
      <c r="F13" s="59">
        <f t="shared" ref="F13:F21" si="2">+D13/$D$32</f>
        <v>1.065452541677623E-3</v>
      </c>
      <c r="G13" s="121">
        <f t="shared" ref="G13:G21" si="3">$G$32*F13</f>
        <v>222066.40451511214</v>
      </c>
      <c r="H13" s="122">
        <f>ROUND(G13/C13/6,2)</f>
        <v>771.06</v>
      </c>
      <c r="I13" s="120">
        <f t="shared" ref="I13:I21" si="4">H13*C13*6</f>
        <v>222065.27999999997</v>
      </c>
    </row>
    <row r="14" spans="2:18" x14ac:dyDescent="0.2">
      <c r="B14" s="18" t="s">
        <v>25</v>
      </c>
      <c r="C14" s="78">
        <f>'Schedule 1'!C19</f>
        <v>693</v>
      </c>
      <c r="D14" s="79">
        <f>'Schedule 1'!D19</f>
        <v>0.15366000000000002</v>
      </c>
      <c r="E14" s="80">
        <f>'Schedule 1'!E19</f>
        <v>6.3932333400000013E-2</v>
      </c>
      <c r="F14" s="59">
        <f t="shared" si="2"/>
        <v>9.9493238677261038E-6</v>
      </c>
      <c r="G14" s="121">
        <f t="shared" si="3"/>
        <v>2073.6827706877184</v>
      </c>
      <c r="H14" s="122">
        <f t="shared" ref="H14:H21" si="5">ROUND(G14/C14/6,2)</f>
        <v>0.5</v>
      </c>
      <c r="I14" s="120">
        <f t="shared" si="4"/>
        <v>2079</v>
      </c>
      <c r="L14" s="129"/>
    </row>
    <row r="15" spans="2:18" ht="16.149999999999999" customHeight="1" x14ac:dyDescent="0.2">
      <c r="B15" s="18" t="s">
        <v>78</v>
      </c>
      <c r="C15" s="37">
        <f>SUM('Schedule 1'!C20,'Schedule 1'!C26)</f>
        <v>113457</v>
      </c>
      <c r="D15" s="67">
        <f>SUM('Schedule 1'!D20,'Schedule 1'!D26)</f>
        <v>2240.8010076701175</v>
      </c>
      <c r="E15" s="35">
        <f>SUM('Schedule 1'!E20,'Schedule 1'!E26)</f>
        <v>196.13272213804825</v>
      </c>
      <c r="F15" s="59">
        <f t="shared" si="2"/>
        <v>0.14508951547856958</v>
      </c>
      <c r="G15" s="121">
        <f t="shared" si="3"/>
        <v>30240208.526260573</v>
      </c>
      <c r="H15" s="122">
        <f t="shared" si="5"/>
        <v>44.42</v>
      </c>
      <c r="I15" s="120">
        <f t="shared" si="4"/>
        <v>30238559.640000001</v>
      </c>
    </row>
    <row r="16" spans="2:18" x14ac:dyDescent="0.2">
      <c r="B16" s="18" t="s">
        <v>79</v>
      </c>
      <c r="C16" s="37">
        <f>SUM('Schedule 1'!C21,'Schedule 1'!C27)</f>
        <v>10819</v>
      </c>
      <c r="D16" s="67">
        <f>SUM('Schedule 1'!D21,'Schedule 1'!D27)</f>
        <v>3803.886302793775</v>
      </c>
      <c r="E16" s="35">
        <f>SUM('Schedule 1'!E21,'Schedule 1'!E27)</f>
        <v>320.90490913298271</v>
      </c>
      <c r="F16" s="59">
        <f t="shared" si="2"/>
        <v>0.24629764924184894</v>
      </c>
      <c r="G16" s="121">
        <f t="shared" si="3"/>
        <v>51334462.369897537</v>
      </c>
      <c r="H16" s="122">
        <f t="shared" si="5"/>
        <v>790.81</v>
      </c>
      <c r="I16" s="120">
        <f t="shared" si="4"/>
        <v>51334640.339999989</v>
      </c>
    </row>
    <row r="17" spans="2:18" ht="16.149999999999999" customHeight="1" x14ac:dyDescent="0.2">
      <c r="B17" s="18" t="s">
        <v>80</v>
      </c>
      <c r="C17" s="37">
        <f>SUM('Schedule 1'!C22,'Schedule 1'!C28,'Schedule 1'!C68)</f>
        <v>618</v>
      </c>
      <c r="D17" s="67">
        <f>SUM('Schedule 1'!D22,'Schedule 1'!D28,'Schedule 1'!E68)</f>
        <v>2650.6241663140145</v>
      </c>
      <c r="E17" s="35">
        <f>SUM('Schedule 1'!E22,'Schedule 1'!E28,'Schedule 1'!E68)</f>
        <v>154.10894325691149</v>
      </c>
      <c r="F17" s="59">
        <f t="shared" si="2"/>
        <v>0.17162513524846823</v>
      </c>
      <c r="G17" s="121">
        <f t="shared" si="3"/>
        <v>35770881.590875104</v>
      </c>
      <c r="H17" s="122">
        <f t="shared" si="5"/>
        <v>9646.9500000000007</v>
      </c>
      <c r="I17" s="120">
        <f t="shared" si="4"/>
        <v>35770890.600000001</v>
      </c>
      <c r="L17" s="22"/>
      <c r="R17" s="69"/>
    </row>
    <row r="18" spans="2:18" x14ac:dyDescent="0.2">
      <c r="B18" s="18" t="s">
        <v>81</v>
      </c>
      <c r="C18" s="78">
        <f>'Schedule 1'!C23</f>
        <v>1</v>
      </c>
      <c r="D18" s="84">
        <f>'Schedule 1'!D23</f>
        <v>6.058689152868368</v>
      </c>
      <c r="E18" s="80">
        <f>'Schedule 1'!E23</f>
        <v>0.4069436849973454</v>
      </c>
      <c r="F18" s="59">
        <f t="shared" si="2"/>
        <v>3.9229376933337559E-4</v>
      </c>
      <c r="G18" s="121">
        <f t="shared" si="3"/>
        <v>81763.629501859294</v>
      </c>
      <c r="H18" s="122">
        <f t="shared" si="5"/>
        <v>13627.27</v>
      </c>
      <c r="I18" s="120">
        <f t="shared" si="4"/>
        <v>81763.62</v>
      </c>
      <c r="R18" s="69"/>
    </row>
    <row r="19" spans="2:18" x14ac:dyDescent="0.2">
      <c r="B19" s="18" t="s">
        <v>82</v>
      </c>
      <c r="C19" s="78">
        <f>'Schedule 1'!C29</f>
        <v>1</v>
      </c>
      <c r="D19" s="84">
        <f>'Schedule 1'!D29</f>
        <v>64.792428988055747</v>
      </c>
      <c r="E19" s="80">
        <f>'Schedule 1'!E29</f>
        <v>1.0988640000000001</v>
      </c>
      <c r="F19" s="59">
        <f t="shared" si="2"/>
        <v>4.1952418337811506E-3</v>
      </c>
      <c r="G19" s="121">
        <f t="shared" si="3"/>
        <v>874391.14710099343</v>
      </c>
      <c r="H19" s="122">
        <f t="shared" si="5"/>
        <v>145731.85999999999</v>
      </c>
      <c r="I19" s="120">
        <f t="shared" si="4"/>
        <v>874391.15999999992</v>
      </c>
    </row>
    <row r="20" spans="2:18" x14ac:dyDescent="0.2">
      <c r="B20" s="18" t="s">
        <v>83</v>
      </c>
      <c r="C20" s="78">
        <f>'Schedule 1'!C30</f>
        <v>2</v>
      </c>
      <c r="D20" s="84">
        <f>'Schedule 1'!D30</f>
        <v>4.4336741250730203</v>
      </c>
      <c r="E20" s="80">
        <f>'Schedule 1'!E30</f>
        <v>0.1371508996558026</v>
      </c>
      <c r="F20" s="59">
        <f t="shared" si="2"/>
        <v>2.8707575032089447E-4</v>
      </c>
      <c r="G20" s="121">
        <f t="shared" si="3"/>
        <v>59833.617363060417</v>
      </c>
      <c r="H20" s="122">
        <f t="shared" si="5"/>
        <v>4986.13</v>
      </c>
      <c r="I20" s="120">
        <f t="shared" si="4"/>
        <v>59833.56</v>
      </c>
    </row>
    <row r="21" spans="2:18" x14ac:dyDescent="0.2">
      <c r="B21" s="18" t="s">
        <v>84</v>
      </c>
      <c r="C21" s="78">
        <f>'Schedule 1'!C31+'Schedule 1'!C32</f>
        <v>16</v>
      </c>
      <c r="D21" s="84">
        <f>'Schedule 1'!D31+'Schedule 1'!D32</f>
        <v>308.67021741249897</v>
      </c>
      <c r="E21" s="80">
        <f>'Schedule 1'!E31+'Schedule 1'!E32</f>
        <v>16.981011074449619</v>
      </c>
      <c r="F21" s="59">
        <f t="shared" si="2"/>
        <v>1.9986072897034891E-2</v>
      </c>
      <c r="G21" s="121">
        <f t="shared" si="3"/>
        <v>4165587.0862471117</v>
      </c>
      <c r="H21" s="122">
        <f t="shared" si="5"/>
        <v>43391.53</v>
      </c>
      <c r="I21" s="120">
        <f t="shared" si="4"/>
        <v>4165586.88</v>
      </c>
    </row>
    <row r="22" spans="2:18" x14ac:dyDescent="0.2">
      <c r="B22" s="28" t="s">
        <v>20</v>
      </c>
      <c r="C22" s="29">
        <f>SUM(C13:C21)</f>
        <v>125655</v>
      </c>
      <c r="D22" s="71">
        <f>SUM(D13:D21)</f>
        <v>9095.875278456404</v>
      </c>
      <c r="E22" s="85">
        <f>SUM(E13:E21)</f>
        <v>691.22765062312533</v>
      </c>
      <c r="F22" s="72">
        <f>D22/$D$32</f>
        <v>0.58894838608490241</v>
      </c>
      <c r="G22" s="124">
        <f>((F22*$L$11))*1000000</f>
        <v>122751268.05453205</v>
      </c>
      <c r="H22" s="73"/>
      <c r="I22" s="124">
        <f>SUM(I13:I21)</f>
        <v>122749810.07999998</v>
      </c>
    </row>
    <row r="23" spans="2:18" x14ac:dyDescent="0.2">
      <c r="B23" s="36"/>
      <c r="C23" s="37"/>
      <c r="D23" s="67"/>
      <c r="E23" s="35"/>
      <c r="G23" s="68"/>
      <c r="I23" s="120"/>
    </row>
    <row r="24" spans="2:18" x14ac:dyDescent="0.2">
      <c r="B24" s="36"/>
      <c r="C24" s="37"/>
      <c r="D24" s="67"/>
      <c r="E24" s="35"/>
      <c r="G24" s="68"/>
      <c r="I24" s="120"/>
    </row>
    <row r="25" spans="2:18" x14ac:dyDescent="0.2">
      <c r="B25" s="36" t="s">
        <v>62</v>
      </c>
      <c r="C25" s="78">
        <f>'Schedule 1'!C61</f>
        <v>23</v>
      </c>
      <c r="D25" s="84">
        <f>'Schedule 1'!D61</f>
        <v>3.1091575656600652</v>
      </c>
      <c r="E25" s="80">
        <f>'Schedule 1'!E61</f>
        <v>0.2927649426892972</v>
      </c>
      <c r="F25" s="59">
        <f t="shared" ref="F25:F26" si="6">+D25/$D$32</f>
        <v>2.0131469202487877E-4</v>
      </c>
      <c r="G25" s="121">
        <f t="shared" ref="G25:G26" si="7">$G$32*F25</f>
        <v>41958.912373178733</v>
      </c>
      <c r="H25" s="122">
        <f>ROUND(G25/C25/6,2)</f>
        <v>304.05</v>
      </c>
      <c r="I25" s="120">
        <f t="shared" ref="I25:I26" si="8">H25*C25*6</f>
        <v>41958.9</v>
      </c>
      <c r="N25" s="60"/>
    </row>
    <row r="26" spans="2:18" x14ac:dyDescent="0.2">
      <c r="B26" s="36" t="s">
        <v>85</v>
      </c>
      <c r="C26" s="78">
        <f>SUM('Schedule 1'!C62:C65,'Schedule 1'!C15,'Schedule 1'!C59:C60)</f>
        <v>2029</v>
      </c>
      <c r="D26" s="84">
        <f>SUM('Schedule 1'!D62:D65,'Schedule 1'!D15,'Schedule 1'!D59:D60)</f>
        <v>19.092074161685801</v>
      </c>
      <c r="E26" s="80">
        <f>SUM('Schedule 1'!E62:E65,'Schedule 1'!E15,'Schedule 1'!E59:E60)</f>
        <v>0.43209568802256426</v>
      </c>
      <c r="F26" s="59">
        <f t="shared" si="6"/>
        <v>1.2361917814737561E-3</v>
      </c>
      <c r="G26" s="121">
        <f t="shared" si="7"/>
        <v>257652.64379656388</v>
      </c>
      <c r="H26" s="122">
        <f>ROUND(G26/C26/6,2)</f>
        <v>21.16</v>
      </c>
      <c r="I26" s="120">
        <f t="shared" si="8"/>
        <v>257601.84</v>
      </c>
    </row>
    <row r="27" spans="2:18" x14ac:dyDescent="0.2">
      <c r="B27" s="28" t="s">
        <v>20</v>
      </c>
      <c r="C27" s="29">
        <f>SUM(C25:C26)</f>
        <v>2052</v>
      </c>
      <c r="D27" s="86">
        <f>SUM(D25:D26)</f>
        <v>22.201231727345867</v>
      </c>
      <c r="E27" s="31">
        <f>SUM(E25:E26)</f>
        <v>0.72486063071186146</v>
      </c>
      <c r="F27" s="72">
        <f>D27/$D$32</f>
        <v>1.4375064734986349E-3</v>
      </c>
      <c r="G27" s="124">
        <f>((F27*$L$11))*1000000</f>
        <v>299611.5561697426</v>
      </c>
      <c r="H27" s="73"/>
      <c r="I27" s="124">
        <f>SUM(I25:I26)</f>
        <v>299560.74</v>
      </c>
    </row>
    <row r="28" spans="2:18" x14ac:dyDescent="0.2">
      <c r="B28" s="11"/>
      <c r="C28" s="37"/>
      <c r="D28" s="38"/>
      <c r="E28" s="35"/>
      <c r="H28" s="2"/>
      <c r="I28" s="120"/>
    </row>
    <row r="29" spans="2:18" x14ac:dyDescent="0.2">
      <c r="B29" s="11"/>
      <c r="C29" s="19"/>
      <c r="D29" s="53"/>
      <c r="E29" s="21"/>
      <c r="H29" s="2"/>
      <c r="I29" s="120"/>
    </row>
    <row r="30" spans="2:18" x14ac:dyDescent="0.2">
      <c r="B30" s="28" t="s">
        <v>68</v>
      </c>
      <c r="C30" s="87">
        <f>'Schedule 1'!C71</f>
        <v>1082</v>
      </c>
      <c r="D30" s="88">
        <f>'Schedule 1'!D71</f>
        <v>23.109614930104854</v>
      </c>
      <c r="E30" s="89">
        <f>'Schedule 1'!E71</f>
        <v>2.0174513654445589</v>
      </c>
      <c r="F30" s="72">
        <f>D30/$D$32</f>
        <v>1.4963233333206542E-3</v>
      </c>
      <c r="G30" s="126">
        <f>((F30*$L$11))*1000000</f>
        <v>311870.43028625601</v>
      </c>
      <c r="H30" s="123">
        <f>ROUND(G30/C30/6,2)</f>
        <v>48.04</v>
      </c>
      <c r="I30" s="124">
        <f t="shared" ref="I30" si="9">H30*C30*6</f>
        <v>311875.68</v>
      </c>
    </row>
    <row r="31" spans="2:18" x14ac:dyDescent="0.2">
      <c r="B31" s="11"/>
      <c r="C31" s="37"/>
      <c r="D31" s="45"/>
      <c r="E31" s="35"/>
      <c r="G31" s="120"/>
      <c r="H31" s="2"/>
      <c r="I31" s="120"/>
    </row>
    <row r="32" spans="2:18" ht="16.5" thickBot="1" x14ac:dyDescent="0.3">
      <c r="B32" s="54" t="s">
        <v>20</v>
      </c>
      <c r="C32" s="55">
        <f>C27+C30+C22+C10</f>
        <v>1468901</v>
      </c>
      <c r="D32" s="56">
        <f>D27+D30+D22+D10</f>
        <v>15444.265564461786</v>
      </c>
      <c r="E32" s="57">
        <f>E27+E30+E22+E10</f>
        <v>1083.7559795403495</v>
      </c>
      <c r="F32" s="90">
        <f>F27+F30+F22+F10</f>
        <v>1</v>
      </c>
      <c r="G32" s="125">
        <f>G27+G30+G22+G10</f>
        <v>208424491.78022927</v>
      </c>
      <c r="H32" s="91"/>
      <c r="I32" s="125">
        <f>I27+I30+I22+I10</f>
        <v>208406497.19999999</v>
      </c>
    </row>
    <row r="33" spans="3:7" x14ac:dyDescent="0.2">
      <c r="C33" s="22"/>
      <c r="G33" s="69"/>
    </row>
    <row r="34" spans="3:7" x14ac:dyDescent="0.2">
      <c r="G34" s="69"/>
    </row>
    <row r="35" spans="3:7" x14ac:dyDescent="0.2">
      <c r="C35" s="22"/>
      <c r="D35" s="22"/>
    </row>
    <row r="36" spans="3:7" x14ac:dyDescent="0.2">
      <c r="C36" s="22"/>
      <c r="D36" s="22"/>
    </row>
    <row r="37" spans="3:7" x14ac:dyDescent="0.2">
      <c r="C37" s="22"/>
      <c r="D37" s="22"/>
    </row>
    <row r="38" spans="3:7" x14ac:dyDescent="0.2">
      <c r="C38" s="22"/>
      <c r="D38" s="22"/>
    </row>
    <row r="39" spans="3:7" x14ac:dyDescent="0.2">
      <c r="C39" s="22"/>
      <c r="D39" s="2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7A5C-520F-4A50-A61B-B3B94D668F13}">
  <dimension ref="B5:N64"/>
  <sheetViews>
    <sheetView showGridLines="0" tabSelected="1" topLeftCell="A7" zoomScale="85" zoomScaleNormal="85" workbookViewId="0">
      <pane xSplit="5" ySplit="2" topLeftCell="F9" activePane="bottomRight" state="frozen"/>
      <selection pane="topRight" activeCell="L7" sqref="L7"/>
      <selection pane="bottomLeft" activeCell="A9" sqref="A9"/>
      <selection pane="bottomRight" activeCell="K9" sqref="K9"/>
    </sheetView>
  </sheetViews>
  <sheetFormatPr defaultColWidth="8.7109375" defaultRowHeight="15" x14ac:dyDescent="0.2"/>
  <cols>
    <col min="1" max="1" width="8.7109375" style="2"/>
    <col min="2" max="2" width="38.42578125" style="2" customWidth="1"/>
    <col min="3" max="3" width="14" style="2" customWidth="1"/>
    <col min="4" max="5" width="13.85546875" style="2" customWidth="1"/>
    <col min="6" max="6" width="17.5703125" style="2" customWidth="1"/>
    <col min="7" max="7" width="14.42578125" style="2" customWidth="1"/>
    <col min="8" max="8" width="14.7109375" style="2" customWidth="1"/>
    <col min="9" max="9" width="15.140625" style="2" customWidth="1"/>
    <col min="10" max="10" width="15.5703125" style="2" customWidth="1"/>
    <col min="11" max="11" width="16.85546875" style="2" customWidth="1"/>
    <col min="12" max="12" width="14.85546875" style="2" customWidth="1"/>
    <col min="13" max="13" width="12" style="2" bestFit="1" customWidth="1"/>
    <col min="14" max="14" width="12.7109375" style="2" bestFit="1" customWidth="1"/>
    <col min="15" max="16384" width="8.7109375" style="2"/>
  </cols>
  <sheetData>
    <row r="5" spans="2:14" s="92" customFormat="1" ht="23.25" x14ac:dyDescent="0.35">
      <c r="B5" s="1" t="s">
        <v>86</v>
      </c>
    </row>
    <row r="6" spans="2:14" ht="51.6" customHeight="1" x14ac:dyDescent="0.25">
      <c r="B6" s="93"/>
      <c r="C6" s="94"/>
      <c r="D6" s="94"/>
      <c r="E6" s="94"/>
      <c r="F6" s="95"/>
      <c r="G6" s="62" t="s">
        <v>87</v>
      </c>
      <c r="H6" s="96"/>
      <c r="I6" s="97"/>
      <c r="J6" s="62" t="s">
        <v>87</v>
      </c>
      <c r="K6" s="96"/>
      <c r="L6" s="96"/>
    </row>
    <row r="7" spans="2:14" ht="18" x14ac:dyDescent="0.25">
      <c r="B7" s="96"/>
      <c r="C7" s="142" t="s">
        <v>88</v>
      </c>
      <c r="D7" s="142"/>
      <c r="E7" s="142"/>
      <c r="F7" s="98"/>
      <c r="G7" s="96">
        <v>1.9191E-2</v>
      </c>
      <c r="H7" s="96"/>
      <c r="I7" s="97"/>
      <c r="J7" s="96">
        <v>1.9191E-2</v>
      </c>
      <c r="K7" s="96"/>
      <c r="L7" s="96"/>
    </row>
    <row r="8" spans="2:14" ht="47.25" x14ac:dyDescent="0.25">
      <c r="B8" s="96" t="s">
        <v>1</v>
      </c>
      <c r="C8" s="99">
        <v>45839</v>
      </c>
      <c r="D8" s="99">
        <v>45870</v>
      </c>
      <c r="E8" s="99">
        <v>45901</v>
      </c>
      <c r="F8" s="100" t="s">
        <v>89</v>
      </c>
      <c r="G8" s="96" t="s">
        <v>90</v>
      </c>
      <c r="H8" s="62" t="s">
        <v>91</v>
      </c>
      <c r="I8" s="97" t="s">
        <v>92</v>
      </c>
      <c r="J8" s="96" t="s">
        <v>90</v>
      </c>
      <c r="K8" s="62" t="s">
        <v>93</v>
      </c>
      <c r="L8" s="96" t="s">
        <v>92</v>
      </c>
    </row>
    <row r="9" spans="2:14" ht="15.75" x14ac:dyDescent="0.25">
      <c r="B9" s="101" t="s">
        <v>94</v>
      </c>
      <c r="C9" s="102"/>
      <c r="D9" s="102"/>
      <c r="E9" s="102"/>
      <c r="F9" s="103"/>
      <c r="G9" s="104" t="s">
        <v>95</v>
      </c>
      <c r="I9" s="105"/>
      <c r="J9" s="104" t="s">
        <v>6</v>
      </c>
    </row>
    <row r="10" spans="2:14" x14ac:dyDescent="0.2">
      <c r="B10" s="18" t="s">
        <v>8</v>
      </c>
      <c r="C10" s="106">
        <v>847.02096627164997</v>
      </c>
      <c r="D10" s="106">
        <v>898.88539756782041</v>
      </c>
      <c r="E10" s="106">
        <v>846.33506044905005</v>
      </c>
      <c r="F10" s="107">
        <f>AVERAGE(C10:E10)</f>
        <v>864.08047476284025</v>
      </c>
      <c r="G10" s="108">
        <f>ROUND(F10*$G$7,2)</f>
        <v>16.579999999999998</v>
      </c>
      <c r="H10" s="108">
        <f>'Schedule 2'!H7</f>
        <v>8.93</v>
      </c>
      <c r="I10" s="109">
        <f>H10-G10</f>
        <v>-7.6499999999999986</v>
      </c>
      <c r="J10" s="108">
        <f>ROUND(E10*$J$7,2)</f>
        <v>16.239999999999998</v>
      </c>
      <c r="K10" s="108">
        <f>H10</f>
        <v>8.93</v>
      </c>
      <c r="L10" s="110">
        <f t="shared" ref="L10:L15" si="0">K10-J10</f>
        <v>-7.3099999999999987</v>
      </c>
      <c r="M10" s="68"/>
      <c r="N10" s="68"/>
    </row>
    <row r="11" spans="2:14" x14ac:dyDescent="0.2">
      <c r="B11" s="18" t="s">
        <v>10</v>
      </c>
      <c r="C11" s="106">
        <v>216.89462809917356</v>
      </c>
      <c r="D11" s="106">
        <v>219.09077002406326</v>
      </c>
      <c r="E11" s="106">
        <v>221.67789322823361</v>
      </c>
      <c r="F11" s="107">
        <f t="shared" ref="F11:F15" si="1">AVERAGE(C11:E11)</f>
        <v>219.2210971171568</v>
      </c>
      <c r="G11" s="108">
        <f t="shared" ref="G11:G15" si="2">ROUND(F11*$G$7,2)</f>
        <v>4.21</v>
      </c>
      <c r="H11" s="108">
        <f>'Schedule 2'!H7</f>
        <v>8.93</v>
      </c>
      <c r="I11" s="109">
        <f t="shared" ref="I11:I15" si="3">H11-G11</f>
        <v>4.72</v>
      </c>
      <c r="J11" s="108">
        <f t="shared" ref="J11:J15" si="4">ROUND(E11*$J$7,2)</f>
        <v>4.25</v>
      </c>
      <c r="K11" s="108">
        <f t="shared" ref="K11:K15" si="5">H11</f>
        <v>8.93</v>
      </c>
      <c r="L11" s="110">
        <f t="shared" si="0"/>
        <v>4.68</v>
      </c>
      <c r="M11" s="68"/>
      <c r="N11" s="68"/>
    </row>
    <row r="12" spans="2:14" x14ac:dyDescent="0.2">
      <c r="B12" s="18" t="s">
        <v>13</v>
      </c>
      <c r="C12" s="106">
        <v>199.87159825061264</v>
      </c>
      <c r="D12" s="106">
        <v>204.6088472296683</v>
      </c>
      <c r="E12" s="106">
        <v>201.60782666699606</v>
      </c>
      <c r="F12" s="107">
        <f t="shared" si="1"/>
        <v>202.02942404909231</v>
      </c>
      <c r="G12" s="108">
        <f t="shared" si="2"/>
        <v>3.88</v>
      </c>
      <c r="H12" s="108">
        <f>'Schedule 2'!H8</f>
        <v>7.9</v>
      </c>
      <c r="I12" s="109">
        <f t="shared" si="3"/>
        <v>4.0200000000000005</v>
      </c>
      <c r="J12" s="108">
        <f t="shared" si="4"/>
        <v>3.87</v>
      </c>
      <c r="K12" s="108">
        <f t="shared" si="5"/>
        <v>7.9</v>
      </c>
      <c r="L12" s="110">
        <f t="shared" si="0"/>
        <v>4.03</v>
      </c>
      <c r="M12" s="68"/>
      <c r="N12" s="68"/>
    </row>
    <row r="13" spans="2:14" x14ac:dyDescent="0.2">
      <c r="B13" s="18" t="s">
        <v>15</v>
      </c>
      <c r="C13" s="106">
        <v>684.60383430520415</v>
      </c>
      <c r="D13" s="106">
        <v>720.78292150993843</v>
      </c>
      <c r="E13" s="106">
        <v>702.41542870664944</v>
      </c>
      <c r="F13" s="107">
        <f t="shared" si="1"/>
        <v>702.60072817393063</v>
      </c>
      <c r="G13" s="108">
        <f t="shared" si="2"/>
        <v>13.48</v>
      </c>
      <c r="H13" s="108">
        <f>'Schedule 2'!H8</f>
        <v>7.9</v>
      </c>
      <c r="I13" s="109">
        <f t="shared" si="3"/>
        <v>-5.58</v>
      </c>
      <c r="J13" s="108">
        <f t="shared" si="4"/>
        <v>13.48</v>
      </c>
      <c r="K13" s="108">
        <f t="shared" si="5"/>
        <v>7.9</v>
      </c>
      <c r="L13" s="110">
        <f t="shared" si="0"/>
        <v>-5.58</v>
      </c>
      <c r="M13" s="68"/>
      <c r="N13" s="68"/>
    </row>
    <row r="14" spans="2:14" x14ac:dyDescent="0.2">
      <c r="B14" s="18" t="s">
        <v>17</v>
      </c>
      <c r="C14" s="106">
        <v>345.17998534810943</v>
      </c>
      <c r="D14" s="106">
        <v>219.34066960195912</v>
      </c>
      <c r="E14" s="106">
        <v>370.89308263931207</v>
      </c>
      <c r="F14" s="107">
        <f t="shared" si="1"/>
        <v>311.80457919646022</v>
      </c>
      <c r="G14" s="108">
        <f t="shared" si="2"/>
        <v>5.98</v>
      </c>
      <c r="H14" s="108">
        <f>'Schedule 2'!H9</f>
        <v>10.89</v>
      </c>
      <c r="I14" s="109">
        <f t="shared" si="3"/>
        <v>4.91</v>
      </c>
      <c r="J14" s="108">
        <f t="shared" si="4"/>
        <v>7.12</v>
      </c>
      <c r="K14" s="108">
        <f t="shared" si="5"/>
        <v>10.89</v>
      </c>
      <c r="L14" s="110">
        <f t="shared" si="0"/>
        <v>3.7700000000000005</v>
      </c>
      <c r="M14" s="68"/>
      <c r="N14" s="68"/>
    </row>
    <row r="15" spans="2:14" x14ac:dyDescent="0.2">
      <c r="B15" s="18" t="s">
        <v>19</v>
      </c>
      <c r="C15" s="106">
        <v>507.30718249641671</v>
      </c>
      <c r="D15" s="106">
        <v>553.36260006634188</v>
      </c>
      <c r="E15" s="106">
        <v>540.93397778650069</v>
      </c>
      <c r="F15" s="107">
        <f t="shared" si="1"/>
        <v>533.86792011641978</v>
      </c>
      <c r="G15" s="108">
        <f t="shared" si="2"/>
        <v>10.25</v>
      </c>
      <c r="H15" s="108">
        <f>'Schedule 2'!H9</f>
        <v>10.89</v>
      </c>
      <c r="I15" s="109">
        <f t="shared" si="3"/>
        <v>0.64000000000000057</v>
      </c>
      <c r="J15" s="108">
        <f t="shared" si="4"/>
        <v>10.38</v>
      </c>
      <c r="K15" s="108">
        <f t="shared" si="5"/>
        <v>10.89</v>
      </c>
      <c r="L15" s="110">
        <f t="shared" si="0"/>
        <v>0.50999999999999979</v>
      </c>
      <c r="M15" s="68"/>
      <c r="N15" s="68"/>
    </row>
    <row r="16" spans="2:14" x14ac:dyDescent="0.2">
      <c r="B16" s="111"/>
      <c r="C16" s="106"/>
      <c r="D16" s="106"/>
      <c r="E16" s="106"/>
      <c r="F16" s="103"/>
      <c r="G16" s="108"/>
      <c r="H16" s="108"/>
      <c r="I16" s="109"/>
      <c r="J16" s="108"/>
      <c r="K16" s="108"/>
      <c r="L16" s="110"/>
      <c r="M16" s="68"/>
      <c r="N16" s="68"/>
    </row>
    <row r="17" spans="2:14" ht="15.75" x14ac:dyDescent="0.25">
      <c r="B17" s="101" t="s">
        <v>96</v>
      </c>
      <c r="C17" s="106"/>
      <c r="D17" s="106"/>
      <c r="E17" s="106"/>
      <c r="F17" s="103"/>
      <c r="G17" s="108"/>
      <c r="H17" s="108"/>
      <c r="I17" s="109"/>
      <c r="J17" s="108"/>
      <c r="K17" s="108"/>
      <c r="L17" s="110"/>
      <c r="M17" s="68"/>
      <c r="N17" s="68"/>
    </row>
    <row r="18" spans="2:14" x14ac:dyDescent="0.2">
      <c r="B18" s="36" t="s">
        <v>21</v>
      </c>
      <c r="C18" s="106">
        <v>15</v>
      </c>
      <c r="D18" s="106">
        <v>14.66</v>
      </c>
      <c r="E18" s="106">
        <v>15</v>
      </c>
      <c r="F18" s="107">
        <f t="shared" ref="F18:F26" si="6">AVERAGE(C18:E18)</f>
        <v>14.886666666666665</v>
      </c>
      <c r="G18" s="108">
        <f t="shared" ref="G18:G26" si="7">ROUND(F18*$G$7,2)</f>
        <v>0.28999999999999998</v>
      </c>
      <c r="H18" s="108">
        <f>H48</f>
        <v>21.16</v>
      </c>
      <c r="I18" s="109">
        <f t="shared" ref="I18:I26" si="8">H18-G18</f>
        <v>20.87</v>
      </c>
      <c r="J18" s="108">
        <f t="shared" ref="J18:J26" si="9">ROUND(E18*$J$7,2)</f>
        <v>0.28999999999999998</v>
      </c>
      <c r="K18" s="108">
        <f>H18</f>
        <v>21.16</v>
      </c>
      <c r="L18" s="110">
        <f t="shared" ref="L18:L26" si="10">K18-J18</f>
        <v>20.87</v>
      </c>
      <c r="M18" s="68"/>
      <c r="N18" s="68"/>
    </row>
    <row r="19" spans="2:14" x14ac:dyDescent="0.2">
      <c r="B19" s="18" t="s">
        <v>22</v>
      </c>
      <c r="C19" s="106">
        <v>44260.4</v>
      </c>
      <c r="D19" s="106">
        <v>44260.4</v>
      </c>
      <c r="E19" s="106">
        <v>44260.4</v>
      </c>
      <c r="F19" s="107">
        <f t="shared" si="6"/>
        <v>44260.4</v>
      </c>
      <c r="G19" s="108">
        <f t="shared" si="7"/>
        <v>849.4</v>
      </c>
      <c r="H19" s="108">
        <f>'Schedule 2'!H13</f>
        <v>771.06</v>
      </c>
      <c r="I19" s="109">
        <f t="shared" si="8"/>
        <v>-78.340000000000032</v>
      </c>
      <c r="J19" s="108">
        <f t="shared" si="9"/>
        <v>849.4</v>
      </c>
      <c r="K19" s="108">
        <f t="shared" ref="K19:K26" si="11">H19</f>
        <v>771.06</v>
      </c>
      <c r="L19" s="110">
        <f t="shared" si="10"/>
        <v>-78.340000000000032</v>
      </c>
      <c r="M19" s="68"/>
      <c r="N19" s="68"/>
    </row>
    <row r="20" spans="2:14" x14ac:dyDescent="0.2">
      <c r="B20" s="18" t="s">
        <v>23</v>
      </c>
      <c r="C20" s="106">
        <v>403104</v>
      </c>
      <c r="D20" s="106">
        <v>403104</v>
      </c>
      <c r="E20" s="106">
        <v>403104</v>
      </c>
      <c r="F20" s="107">
        <f t="shared" si="6"/>
        <v>403104</v>
      </c>
      <c r="G20" s="108">
        <f t="shared" si="7"/>
        <v>7735.97</v>
      </c>
      <c r="H20" s="108">
        <f>'Schedule 2'!H13</f>
        <v>771.06</v>
      </c>
      <c r="I20" s="109">
        <f t="shared" si="8"/>
        <v>-6964.91</v>
      </c>
      <c r="J20" s="108">
        <f t="shared" si="9"/>
        <v>7735.97</v>
      </c>
      <c r="K20" s="108">
        <f t="shared" si="11"/>
        <v>771.06</v>
      </c>
      <c r="L20" s="110">
        <f t="shared" si="10"/>
        <v>-6964.91</v>
      </c>
      <c r="M20" s="68"/>
      <c r="N20" s="68"/>
    </row>
    <row r="21" spans="2:14" x14ac:dyDescent="0.2">
      <c r="B21" s="18" t="s">
        <v>24</v>
      </c>
      <c r="C21" s="106">
        <v>11512.567567567568</v>
      </c>
      <c r="D21" s="106">
        <v>11512.567567567568</v>
      </c>
      <c r="E21" s="106">
        <v>11512.567567567568</v>
      </c>
      <c r="F21" s="107">
        <f t="shared" si="6"/>
        <v>11512.567567567568</v>
      </c>
      <c r="G21" s="108">
        <f t="shared" si="7"/>
        <v>220.94</v>
      </c>
      <c r="H21" s="108">
        <f>'Schedule 2'!H13</f>
        <v>771.06</v>
      </c>
      <c r="I21" s="109">
        <f t="shared" si="8"/>
        <v>550.11999999999989</v>
      </c>
      <c r="J21" s="108">
        <f t="shared" si="9"/>
        <v>220.94</v>
      </c>
      <c r="K21" s="108">
        <f t="shared" si="11"/>
        <v>771.06</v>
      </c>
      <c r="L21" s="110">
        <f t="shared" si="10"/>
        <v>550.11999999999989</v>
      </c>
      <c r="M21" s="68"/>
      <c r="N21" s="68"/>
    </row>
    <row r="22" spans="2:14" x14ac:dyDescent="0.2">
      <c r="B22" s="18" t="s">
        <v>25</v>
      </c>
      <c r="C22" s="106">
        <v>10.49244060475162</v>
      </c>
      <c r="D22" s="106">
        <v>10.426025917926566</v>
      </c>
      <c r="E22" s="106">
        <v>10.17081081081081</v>
      </c>
      <c r="F22" s="107">
        <f t="shared" si="6"/>
        <v>10.363092444496333</v>
      </c>
      <c r="G22" s="108">
        <f t="shared" si="7"/>
        <v>0.2</v>
      </c>
      <c r="H22" s="108">
        <f>'Schedule 2'!H14</f>
        <v>0.5</v>
      </c>
      <c r="I22" s="109">
        <f t="shared" si="8"/>
        <v>0.3</v>
      </c>
      <c r="J22" s="108">
        <f t="shared" si="9"/>
        <v>0.2</v>
      </c>
      <c r="K22" s="108">
        <f t="shared" si="11"/>
        <v>0.5</v>
      </c>
      <c r="L22" s="110">
        <f t="shared" si="10"/>
        <v>0.3</v>
      </c>
      <c r="M22" s="68"/>
      <c r="N22" s="68"/>
    </row>
    <row r="23" spans="2:14" x14ac:dyDescent="0.2">
      <c r="B23" s="18" t="s">
        <v>26</v>
      </c>
      <c r="C23" s="106">
        <v>1559.6087738635863</v>
      </c>
      <c r="D23" s="106">
        <v>1900.4208283033149</v>
      </c>
      <c r="E23" s="106">
        <v>1660.4450839032645</v>
      </c>
      <c r="F23" s="107">
        <f t="shared" si="6"/>
        <v>1706.8248953567218</v>
      </c>
      <c r="G23" s="108">
        <f t="shared" si="7"/>
        <v>32.76</v>
      </c>
      <c r="H23" s="108">
        <f>'Schedule 2'!H15</f>
        <v>44.42</v>
      </c>
      <c r="I23" s="109">
        <f t="shared" si="8"/>
        <v>11.660000000000004</v>
      </c>
      <c r="J23" s="108">
        <f t="shared" si="9"/>
        <v>31.87</v>
      </c>
      <c r="K23" s="108">
        <f t="shared" si="11"/>
        <v>44.42</v>
      </c>
      <c r="L23" s="110">
        <f t="shared" si="10"/>
        <v>12.55</v>
      </c>
      <c r="M23" s="68"/>
      <c r="N23" s="68"/>
    </row>
    <row r="24" spans="2:14" x14ac:dyDescent="0.2">
      <c r="B24" s="18" t="s">
        <v>27</v>
      </c>
      <c r="C24" s="106">
        <v>31282.736033914272</v>
      </c>
      <c r="D24" s="106">
        <v>37236.779198783057</v>
      </c>
      <c r="E24" s="106">
        <v>32640.833991351759</v>
      </c>
      <c r="F24" s="107">
        <f t="shared" si="6"/>
        <v>33720.116408016365</v>
      </c>
      <c r="G24" s="108">
        <f t="shared" si="7"/>
        <v>647.12</v>
      </c>
      <c r="H24" s="108">
        <f>'Schedule 2'!H16</f>
        <v>790.81</v>
      </c>
      <c r="I24" s="109">
        <f t="shared" si="8"/>
        <v>143.68999999999994</v>
      </c>
      <c r="J24" s="108">
        <f t="shared" si="9"/>
        <v>626.41</v>
      </c>
      <c r="K24" s="108">
        <f>H24</f>
        <v>790.81</v>
      </c>
      <c r="L24" s="110">
        <f t="shared" si="10"/>
        <v>164.39999999999998</v>
      </c>
      <c r="M24" s="68"/>
      <c r="N24" s="68"/>
    </row>
    <row r="25" spans="2:14" x14ac:dyDescent="0.2">
      <c r="B25" s="18" t="s">
        <v>28</v>
      </c>
      <c r="C25" s="106">
        <v>373353.00755667506</v>
      </c>
      <c r="D25" s="106">
        <v>465989.82082537696</v>
      </c>
      <c r="E25" s="106">
        <v>383093.59749999997</v>
      </c>
      <c r="F25" s="107">
        <f t="shared" si="6"/>
        <v>407478.80862735066</v>
      </c>
      <c r="G25" s="108">
        <f t="shared" si="7"/>
        <v>7819.93</v>
      </c>
      <c r="H25" s="108">
        <f>'Schedule 2'!H17</f>
        <v>9646.9500000000007</v>
      </c>
      <c r="I25" s="109">
        <f t="shared" si="8"/>
        <v>1827.0200000000004</v>
      </c>
      <c r="J25" s="108">
        <f t="shared" si="9"/>
        <v>7351.95</v>
      </c>
      <c r="K25" s="108">
        <f t="shared" si="11"/>
        <v>9646.9500000000007</v>
      </c>
      <c r="L25" s="110">
        <f t="shared" si="10"/>
        <v>2295.0000000000009</v>
      </c>
      <c r="M25" s="68"/>
      <c r="N25" s="68"/>
    </row>
    <row r="26" spans="2:14" x14ac:dyDescent="0.2">
      <c r="B26" s="18" t="s">
        <v>29</v>
      </c>
      <c r="C26" s="106">
        <v>511500</v>
      </c>
      <c r="D26" s="106">
        <v>488400</v>
      </c>
      <c r="E26" s="106">
        <v>534600</v>
      </c>
      <c r="F26" s="107">
        <f t="shared" si="6"/>
        <v>511500</v>
      </c>
      <c r="G26" s="108">
        <f t="shared" si="7"/>
        <v>9816.2000000000007</v>
      </c>
      <c r="H26" s="108">
        <f>'Schedule 2'!H18</f>
        <v>13627.27</v>
      </c>
      <c r="I26" s="109">
        <f t="shared" si="8"/>
        <v>3811.0699999999997</v>
      </c>
      <c r="J26" s="108">
        <f t="shared" si="9"/>
        <v>10259.51</v>
      </c>
      <c r="K26" s="108">
        <f t="shared" si="11"/>
        <v>13627.27</v>
      </c>
      <c r="L26" s="110">
        <f t="shared" si="10"/>
        <v>3367.76</v>
      </c>
      <c r="M26" s="68"/>
      <c r="N26" s="68"/>
    </row>
    <row r="27" spans="2:14" x14ac:dyDescent="0.2">
      <c r="B27" s="111"/>
      <c r="C27" s="106"/>
      <c r="D27" s="106"/>
      <c r="E27" s="106"/>
      <c r="F27" s="103"/>
      <c r="G27" s="108"/>
      <c r="H27" s="108"/>
      <c r="I27" s="109"/>
      <c r="J27" s="108"/>
      <c r="K27" s="108"/>
      <c r="L27" s="110"/>
      <c r="M27" s="68"/>
      <c r="N27" s="68"/>
    </row>
    <row r="28" spans="2:14" ht="15.75" x14ac:dyDescent="0.25">
      <c r="B28" s="101" t="s">
        <v>97</v>
      </c>
      <c r="C28" s="106"/>
      <c r="D28" s="106"/>
      <c r="E28" s="106"/>
      <c r="F28" s="103"/>
      <c r="G28" s="108"/>
      <c r="H28" s="108"/>
      <c r="I28" s="109"/>
      <c r="J28" s="108"/>
      <c r="K28" s="108"/>
      <c r="L28" s="110"/>
      <c r="M28" s="68"/>
      <c r="N28" s="68"/>
    </row>
    <row r="29" spans="2:14" x14ac:dyDescent="0.2">
      <c r="B29" s="18" t="s">
        <v>30</v>
      </c>
      <c r="C29" s="106">
        <v>3028.0720720720719</v>
      </c>
      <c r="D29" s="106">
        <v>4381.0936936936941</v>
      </c>
      <c r="E29" s="106">
        <v>3212.9549549549552</v>
      </c>
      <c r="F29" s="107">
        <f t="shared" ref="F29:F35" si="12">AVERAGE(C29:E29)</f>
        <v>3540.7069069069071</v>
      </c>
      <c r="G29" s="108">
        <f t="shared" ref="G29:G35" si="13">ROUND(F29*$G$7,2)</f>
        <v>67.95</v>
      </c>
      <c r="H29" s="108">
        <f>'Schedule 2'!H15</f>
        <v>44.42</v>
      </c>
      <c r="I29" s="109">
        <f t="shared" ref="I29:I35" si="14">H29-G29</f>
        <v>-23.53</v>
      </c>
      <c r="J29" s="108">
        <f t="shared" ref="J29:J35" si="15">ROUND(E29*$J$7,2)</f>
        <v>61.66</v>
      </c>
      <c r="K29" s="108">
        <f t="shared" ref="K29:K35" si="16">H29</f>
        <v>44.42</v>
      </c>
      <c r="L29" s="110">
        <f t="shared" ref="L29:L35" si="17">K29-J29</f>
        <v>-17.239999999999995</v>
      </c>
      <c r="M29" s="68"/>
      <c r="N29" s="68"/>
    </row>
    <row r="30" spans="2:14" x14ac:dyDescent="0.2">
      <c r="B30" s="18" t="s">
        <v>31</v>
      </c>
      <c r="C30" s="106">
        <v>41625.632743362832</v>
      </c>
      <c r="D30" s="106">
        <v>43521.35933185841</v>
      </c>
      <c r="E30" s="106">
        <v>40367.148471615721</v>
      </c>
      <c r="F30" s="107">
        <f t="shared" si="12"/>
        <v>41838.046848945647</v>
      </c>
      <c r="G30" s="108">
        <f t="shared" si="13"/>
        <v>802.91</v>
      </c>
      <c r="H30" s="108">
        <f>'Schedule 2'!H16</f>
        <v>790.81</v>
      </c>
      <c r="I30" s="109">
        <f t="shared" si="14"/>
        <v>-12.100000000000023</v>
      </c>
      <c r="J30" s="108">
        <f t="shared" si="15"/>
        <v>774.69</v>
      </c>
      <c r="K30" s="108">
        <f t="shared" si="16"/>
        <v>790.81</v>
      </c>
      <c r="L30" s="110">
        <f t="shared" si="17"/>
        <v>16.119999999999891</v>
      </c>
      <c r="M30" s="68"/>
      <c r="N30" s="68"/>
    </row>
    <row r="31" spans="2:14" x14ac:dyDescent="0.2">
      <c r="B31" s="18" t="s">
        <v>32</v>
      </c>
      <c r="C31" s="106">
        <v>387654.29439252336</v>
      </c>
      <c r="D31" s="106">
        <v>436132.98055555555</v>
      </c>
      <c r="E31" s="106">
        <v>403833.06018518517</v>
      </c>
      <c r="F31" s="107">
        <f t="shared" si="12"/>
        <v>409206.77837775467</v>
      </c>
      <c r="G31" s="108">
        <f t="shared" si="13"/>
        <v>7853.09</v>
      </c>
      <c r="H31" s="108">
        <f>'Schedule 2'!H17</f>
        <v>9646.9500000000007</v>
      </c>
      <c r="I31" s="109">
        <f t="shared" si="14"/>
        <v>1793.8600000000006</v>
      </c>
      <c r="J31" s="108">
        <f t="shared" si="15"/>
        <v>7749.96</v>
      </c>
      <c r="K31" s="108">
        <f t="shared" si="16"/>
        <v>9646.9500000000007</v>
      </c>
      <c r="L31" s="110">
        <f t="shared" si="17"/>
        <v>1896.9900000000007</v>
      </c>
      <c r="M31" s="68"/>
      <c r="N31" s="68"/>
    </row>
    <row r="32" spans="2:14" x14ac:dyDescent="0.2">
      <c r="B32" s="18" t="s">
        <v>33</v>
      </c>
      <c r="C32" s="106">
        <v>7557080</v>
      </c>
      <c r="D32" s="106">
        <v>4982605</v>
      </c>
      <c r="E32" s="106">
        <v>6129881</v>
      </c>
      <c r="F32" s="107">
        <f t="shared" si="12"/>
        <v>6223188.666666667</v>
      </c>
      <c r="G32" s="108">
        <f t="shared" si="13"/>
        <v>119429.21</v>
      </c>
      <c r="H32" s="108">
        <f>'Schedule 2'!H19</f>
        <v>145731.85999999999</v>
      </c>
      <c r="I32" s="109">
        <f t="shared" si="14"/>
        <v>26302.64999999998</v>
      </c>
      <c r="J32" s="108">
        <f t="shared" si="15"/>
        <v>117638.55</v>
      </c>
      <c r="K32" s="108">
        <f t="shared" si="16"/>
        <v>145731.85999999999</v>
      </c>
      <c r="L32" s="110">
        <f t="shared" si="17"/>
        <v>28093.309999999983</v>
      </c>
      <c r="M32" s="68"/>
      <c r="N32" s="68"/>
    </row>
    <row r="33" spans="2:14" x14ac:dyDescent="0.2">
      <c r="B33" s="18" t="s">
        <v>34</v>
      </c>
      <c r="C33" s="106">
        <v>158832</v>
      </c>
      <c r="D33" s="106">
        <v>82856</v>
      </c>
      <c r="E33" s="106">
        <v>58454</v>
      </c>
      <c r="F33" s="107">
        <f t="shared" si="12"/>
        <v>100047.33333333333</v>
      </c>
      <c r="G33" s="108">
        <f t="shared" si="13"/>
        <v>1920.01</v>
      </c>
      <c r="H33" s="108">
        <f>'Schedule 2'!H20</f>
        <v>4986.13</v>
      </c>
      <c r="I33" s="109">
        <f t="shared" si="14"/>
        <v>3066.12</v>
      </c>
      <c r="J33" s="108">
        <f t="shared" si="15"/>
        <v>1121.79</v>
      </c>
      <c r="K33" s="108">
        <f t="shared" si="16"/>
        <v>4986.13</v>
      </c>
      <c r="L33" s="110">
        <f t="shared" si="17"/>
        <v>3864.34</v>
      </c>
      <c r="M33" s="68"/>
      <c r="N33" s="68"/>
    </row>
    <row r="34" spans="2:14" x14ac:dyDescent="0.2">
      <c r="B34" s="18" t="s">
        <v>35</v>
      </c>
      <c r="C34" s="106">
        <v>1616999.5</v>
      </c>
      <c r="D34" s="106">
        <v>1548142.4285714286</v>
      </c>
      <c r="E34" s="106">
        <v>1794209</v>
      </c>
      <c r="F34" s="107">
        <f t="shared" si="12"/>
        <v>1653116.9761904764</v>
      </c>
      <c r="G34" s="108">
        <f t="shared" si="13"/>
        <v>31724.97</v>
      </c>
      <c r="H34" s="108">
        <f>'Schedule 2'!H21</f>
        <v>43391.53</v>
      </c>
      <c r="I34" s="109">
        <f t="shared" si="14"/>
        <v>11666.559999999998</v>
      </c>
      <c r="J34" s="108">
        <f t="shared" si="15"/>
        <v>34432.660000000003</v>
      </c>
      <c r="K34" s="108">
        <f t="shared" si="16"/>
        <v>43391.53</v>
      </c>
      <c r="L34" s="110">
        <f t="shared" si="17"/>
        <v>8958.8699999999953</v>
      </c>
      <c r="M34" s="68"/>
      <c r="N34" s="68"/>
    </row>
    <row r="35" spans="2:14" x14ac:dyDescent="0.2">
      <c r="B35" s="18" t="s">
        <v>36</v>
      </c>
      <c r="C35" s="106">
        <v>492569.5</v>
      </c>
      <c r="D35" s="106">
        <v>580939.5</v>
      </c>
      <c r="E35" s="106">
        <v>548870</v>
      </c>
      <c r="F35" s="107">
        <f t="shared" si="12"/>
        <v>540793</v>
      </c>
      <c r="G35" s="108">
        <f t="shared" si="13"/>
        <v>10378.36</v>
      </c>
      <c r="H35" s="108">
        <f>'Schedule 2'!H21</f>
        <v>43391.53</v>
      </c>
      <c r="I35" s="109">
        <f t="shared" si="14"/>
        <v>33013.17</v>
      </c>
      <c r="J35" s="108">
        <f t="shared" si="15"/>
        <v>10533.36</v>
      </c>
      <c r="K35" s="108">
        <f t="shared" si="16"/>
        <v>43391.53</v>
      </c>
      <c r="L35" s="110">
        <f t="shared" si="17"/>
        <v>32858.17</v>
      </c>
      <c r="M35" s="68"/>
      <c r="N35" s="68"/>
    </row>
    <row r="36" spans="2:14" x14ac:dyDescent="0.2">
      <c r="B36" s="111"/>
      <c r="C36" s="106"/>
      <c r="D36" s="106"/>
      <c r="E36" s="106"/>
      <c r="F36" s="107"/>
      <c r="G36" s="108"/>
      <c r="H36" s="108"/>
      <c r="I36" s="109"/>
      <c r="J36" s="108"/>
      <c r="K36" s="108"/>
      <c r="L36" s="110"/>
      <c r="M36" s="68"/>
      <c r="N36" s="68"/>
    </row>
    <row r="37" spans="2:14" ht="15.75" x14ac:dyDescent="0.25">
      <c r="B37" s="112" t="s">
        <v>98</v>
      </c>
      <c r="C37" s="106"/>
      <c r="D37" s="106"/>
      <c r="E37" s="106"/>
      <c r="F37" s="103"/>
      <c r="G37" s="108"/>
      <c r="H37" s="108"/>
      <c r="I37" s="109"/>
      <c r="J37" s="108"/>
      <c r="K37" s="108"/>
      <c r="L37" s="110"/>
      <c r="M37" s="68"/>
      <c r="N37" s="68"/>
    </row>
    <row r="38" spans="2:14" x14ac:dyDescent="0.2">
      <c r="B38" s="18" t="s">
        <v>68</v>
      </c>
      <c r="C38" s="106">
        <v>1955.0027624309391</v>
      </c>
      <c r="D38" s="106">
        <v>2082.5060516605167</v>
      </c>
      <c r="E38" s="106">
        <v>1683.5093283582089</v>
      </c>
      <c r="F38" s="107">
        <f t="shared" ref="F38" si="18">AVERAGE(C38:E38)</f>
        <v>1907.0060474832217</v>
      </c>
      <c r="G38" s="108">
        <f>ROUND(F38*$G$7,2)</f>
        <v>36.6</v>
      </c>
      <c r="H38" s="108">
        <f>'Schedule 2'!H30</f>
        <v>48.04</v>
      </c>
      <c r="I38" s="109">
        <f>H38-G38</f>
        <v>11.439999999999998</v>
      </c>
      <c r="J38" s="108">
        <f>ROUND(E38*$J$7,2)</f>
        <v>32.31</v>
      </c>
      <c r="K38" s="108">
        <f t="shared" ref="K38" si="19">H38</f>
        <v>48.04</v>
      </c>
      <c r="L38" s="110">
        <f>K38-J38</f>
        <v>15.729999999999997</v>
      </c>
      <c r="M38" s="68"/>
      <c r="N38" s="68"/>
    </row>
    <row r="39" spans="2:14" x14ac:dyDescent="0.2">
      <c r="B39" s="18"/>
      <c r="C39" s="106"/>
      <c r="D39" s="106"/>
      <c r="E39" s="106"/>
      <c r="F39" s="103"/>
      <c r="G39" s="108"/>
      <c r="H39" s="108"/>
      <c r="I39" s="109"/>
      <c r="J39" s="108"/>
      <c r="K39" s="108"/>
      <c r="L39" s="110"/>
      <c r="M39" s="68"/>
      <c r="N39" s="68"/>
    </row>
    <row r="40" spans="2:14" x14ac:dyDescent="0.2">
      <c r="B40" s="18"/>
      <c r="C40" s="106"/>
      <c r="D40" s="106"/>
      <c r="E40" s="106"/>
      <c r="F40" s="103"/>
      <c r="G40" s="108"/>
      <c r="H40" s="108"/>
      <c r="I40" s="109"/>
      <c r="J40" s="108"/>
      <c r="K40" s="108"/>
      <c r="L40" s="110"/>
      <c r="M40" s="68"/>
      <c r="N40" s="68"/>
    </row>
    <row r="41" spans="2:14" ht="15.75" x14ac:dyDescent="0.25">
      <c r="B41" s="112" t="s">
        <v>99</v>
      </c>
      <c r="C41" s="106"/>
      <c r="D41" s="106"/>
      <c r="E41" s="106"/>
      <c r="F41" s="103"/>
      <c r="G41" s="108"/>
      <c r="H41" s="108"/>
      <c r="I41" s="109"/>
      <c r="J41" s="108"/>
      <c r="K41" s="108"/>
      <c r="L41" s="110"/>
      <c r="M41" s="68"/>
      <c r="N41" s="68"/>
    </row>
    <row r="42" spans="2:14" x14ac:dyDescent="0.2">
      <c r="B42" s="18" t="s">
        <v>67</v>
      </c>
      <c r="C42" s="106">
        <v>1663200</v>
      </c>
      <c r="D42" s="106">
        <v>1532790.6</v>
      </c>
      <c r="E42" s="106">
        <v>1625969.5</v>
      </c>
      <c r="F42" s="107">
        <f t="shared" ref="F42" si="20">AVERAGE(C42:E42)</f>
        <v>1607320.0333333332</v>
      </c>
      <c r="G42" s="108">
        <f>ROUND(F42*$G$7,2)</f>
        <v>30846.080000000002</v>
      </c>
      <c r="H42" s="108">
        <f>'Schedule 2'!H17</f>
        <v>9646.9500000000007</v>
      </c>
      <c r="I42" s="109">
        <f>H42-G42</f>
        <v>-21199.13</v>
      </c>
      <c r="J42" s="108">
        <f>ROUND(E42*$J$7,2)</f>
        <v>31203.98</v>
      </c>
      <c r="K42" s="108">
        <f t="shared" ref="K42" si="21">H42</f>
        <v>9646.9500000000007</v>
      </c>
      <c r="L42" s="110">
        <f>K42-J42</f>
        <v>-21557.03</v>
      </c>
      <c r="M42" s="68"/>
      <c r="N42" s="68"/>
    </row>
    <row r="43" spans="2:14" x14ac:dyDescent="0.2">
      <c r="B43" s="18"/>
      <c r="C43" s="106"/>
      <c r="D43" s="106"/>
      <c r="E43" s="106"/>
      <c r="F43" s="107"/>
      <c r="G43" s="108"/>
      <c r="H43" s="108"/>
      <c r="I43" s="109"/>
      <c r="J43" s="108"/>
      <c r="K43" s="108"/>
      <c r="L43" s="110"/>
      <c r="M43" s="68"/>
      <c r="N43" s="68"/>
    </row>
    <row r="44" spans="2:14" ht="15.75" x14ac:dyDescent="0.25">
      <c r="B44" s="112" t="s">
        <v>100</v>
      </c>
      <c r="C44" s="106"/>
      <c r="D44" s="106"/>
      <c r="E44" s="106"/>
      <c r="F44" s="103"/>
      <c r="G44" s="108"/>
      <c r="H44" s="108"/>
      <c r="I44" s="109"/>
      <c r="J44" s="108"/>
      <c r="K44" s="108"/>
      <c r="L44" s="110"/>
      <c r="M44" s="68"/>
      <c r="N44" s="68"/>
    </row>
    <row r="45" spans="2:14" x14ac:dyDescent="0.2">
      <c r="B45" s="18" t="s">
        <v>101</v>
      </c>
      <c r="C45" s="106">
        <v>1912.3333333333333</v>
      </c>
      <c r="D45" s="106">
        <v>1912.3333333333333</v>
      </c>
      <c r="E45" s="106">
        <v>1912.3333333333333</v>
      </c>
      <c r="F45" s="107">
        <f t="shared" ref="F45:F50" si="22">AVERAGE(C45:E45)</f>
        <v>1912.3333333333333</v>
      </c>
      <c r="G45" s="108">
        <f t="shared" ref="G45:G49" si="23">ROUND(F45*$G$7,2)</f>
        <v>36.700000000000003</v>
      </c>
      <c r="H45" s="108">
        <f>H48</f>
        <v>21.16</v>
      </c>
      <c r="I45" s="109">
        <f t="shared" ref="I45:I50" si="24">H45-G45</f>
        <v>-15.540000000000003</v>
      </c>
      <c r="J45" s="108">
        <f t="shared" ref="J45:J50" si="25">ROUND(E45*$J$7,2)</f>
        <v>36.700000000000003</v>
      </c>
      <c r="K45" s="108">
        <f t="shared" ref="K45:K50" si="26">H45</f>
        <v>21.16</v>
      </c>
      <c r="L45" s="110">
        <f t="shared" ref="L45:L50" si="27">K45-J45</f>
        <v>-15.540000000000003</v>
      </c>
      <c r="M45" s="75"/>
      <c r="N45" s="68"/>
    </row>
    <row r="46" spans="2:14" x14ac:dyDescent="0.2">
      <c r="B46" s="18" t="s">
        <v>62</v>
      </c>
      <c r="C46" s="106">
        <v>15888.04347826087</v>
      </c>
      <c r="D46" s="106">
        <v>17686.673565217392</v>
      </c>
      <c r="E46" s="106">
        <v>15952.565217391304</v>
      </c>
      <c r="F46" s="107">
        <f t="shared" si="22"/>
        <v>16509.09408695652</v>
      </c>
      <c r="G46" s="108">
        <f t="shared" si="23"/>
        <v>316.83</v>
      </c>
      <c r="H46" s="108">
        <f>'Schedule 2'!H25</f>
        <v>304.05</v>
      </c>
      <c r="I46" s="109">
        <f t="shared" si="24"/>
        <v>-12.779999999999973</v>
      </c>
      <c r="J46" s="108">
        <f t="shared" si="25"/>
        <v>306.14999999999998</v>
      </c>
      <c r="K46" s="108">
        <f t="shared" si="26"/>
        <v>304.05</v>
      </c>
      <c r="L46" s="110">
        <f t="shared" si="27"/>
        <v>-2.0999999999999659</v>
      </c>
      <c r="M46" s="75"/>
      <c r="N46" s="68"/>
    </row>
    <row r="47" spans="2:14" x14ac:dyDescent="0.2">
      <c r="B47" s="18" t="s">
        <v>63</v>
      </c>
      <c r="C47" s="106">
        <v>1182.1680672268908</v>
      </c>
      <c r="D47" s="106">
        <v>1250.790669456067</v>
      </c>
      <c r="E47" s="106">
        <v>1072.2166666666667</v>
      </c>
      <c r="F47" s="107">
        <f t="shared" si="22"/>
        <v>1168.3918011165415</v>
      </c>
      <c r="G47" s="108">
        <f t="shared" si="23"/>
        <v>22.42</v>
      </c>
      <c r="H47" s="108">
        <f>'Schedule 2'!H26</f>
        <v>21.16</v>
      </c>
      <c r="I47" s="109">
        <f t="shared" si="24"/>
        <v>-1.2600000000000016</v>
      </c>
      <c r="J47" s="108">
        <f t="shared" si="25"/>
        <v>20.58</v>
      </c>
      <c r="K47" s="108">
        <f t="shared" si="26"/>
        <v>21.16</v>
      </c>
      <c r="L47" s="110">
        <f t="shared" si="27"/>
        <v>0.58000000000000185</v>
      </c>
      <c r="M47" s="75"/>
      <c r="N47" s="68"/>
    </row>
    <row r="48" spans="2:14" x14ac:dyDescent="0.2">
      <c r="B48" s="18" t="s">
        <v>64</v>
      </c>
      <c r="C48" s="106">
        <v>725.18292682926824</v>
      </c>
      <c r="D48" s="106">
        <v>780.83317073170736</v>
      </c>
      <c r="E48" s="106">
        <v>702.83333333333337</v>
      </c>
      <c r="F48" s="107">
        <f t="shared" si="22"/>
        <v>736.28314363143636</v>
      </c>
      <c r="G48" s="108">
        <f t="shared" si="23"/>
        <v>14.13</v>
      </c>
      <c r="H48" s="108">
        <f>'Schedule 2'!H26</f>
        <v>21.16</v>
      </c>
      <c r="I48" s="109">
        <f t="shared" si="24"/>
        <v>7.0299999999999994</v>
      </c>
      <c r="J48" s="108">
        <f t="shared" si="25"/>
        <v>13.49</v>
      </c>
      <c r="K48" s="108">
        <f t="shared" si="26"/>
        <v>21.16</v>
      </c>
      <c r="L48" s="110">
        <f t="shared" si="27"/>
        <v>7.67</v>
      </c>
      <c r="M48" s="75"/>
      <c r="N48" s="68"/>
    </row>
    <row r="49" spans="2:14" x14ac:dyDescent="0.2">
      <c r="B49" s="18" t="s">
        <v>65</v>
      </c>
      <c r="C49" s="106">
        <v>175.28445747800586</v>
      </c>
      <c r="D49" s="106">
        <v>178.644375917768</v>
      </c>
      <c r="E49" s="106">
        <v>383.00147058823529</v>
      </c>
      <c r="F49" s="107">
        <f t="shared" si="22"/>
        <v>245.64343466133639</v>
      </c>
      <c r="G49" s="108">
        <f t="shared" si="23"/>
        <v>4.71</v>
      </c>
      <c r="H49" s="108">
        <f>'Schedule 2'!H26</f>
        <v>21.16</v>
      </c>
      <c r="I49" s="109">
        <f t="shared" si="24"/>
        <v>16.45</v>
      </c>
      <c r="J49" s="108">
        <f t="shared" si="25"/>
        <v>7.35</v>
      </c>
      <c r="K49" s="108">
        <f t="shared" si="26"/>
        <v>21.16</v>
      </c>
      <c r="L49" s="110">
        <f t="shared" si="27"/>
        <v>13.81</v>
      </c>
      <c r="M49" s="75"/>
      <c r="N49" s="68"/>
    </row>
    <row r="50" spans="2:14" x14ac:dyDescent="0.2">
      <c r="B50" s="46" t="s">
        <v>66</v>
      </c>
      <c r="C50" s="113">
        <v>1233.2323529411765</v>
      </c>
      <c r="D50" s="113">
        <v>1292.025549019608</v>
      </c>
      <c r="E50" s="113">
        <v>1015.6107843137255</v>
      </c>
      <c r="F50" s="128">
        <f t="shared" si="22"/>
        <v>1180.2895620915035</v>
      </c>
      <c r="G50" s="114">
        <f>ROUND(F50*$G$7,2)</f>
        <v>22.65</v>
      </c>
      <c r="H50" s="114">
        <f>'Schedule 2'!H26</f>
        <v>21.16</v>
      </c>
      <c r="I50" s="115">
        <f t="shared" si="24"/>
        <v>-1.4899999999999984</v>
      </c>
      <c r="J50" s="114">
        <f t="shared" si="25"/>
        <v>19.489999999999998</v>
      </c>
      <c r="K50" s="114">
        <f t="shared" si="26"/>
        <v>21.16</v>
      </c>
      <c r="L50" s="116">
        <f t="shared" si="27"/>
        <v>1.6700000000000017</v>
      </c>
      <c r="M50" s="75"/>
      <c r="N50" s="68"/>
    </row>
    <row r="51" spans="2:14" ht="21.6" customHeight="1" x14ac:dyDescent="0.25">
      <c r="B51" s="117"/>
    </row>
    <row r="52" spans="2:14" x14ac:dyDescent="0.2">
      <c r="F52" s="127"/>
    </row>
    <row r="53" spans="2:14" x14ac:dyDescent="0.2">
      <c r="F53" s="127"/>
      <c r="H53" s="118"/>
    </row>
    <row r="54" spans="2:14" x14ac:dyDescent="0.2">
      <c r="H54" s="118"/>
    </row>
    <row r="55" spans="2:14" x14ac:dyDescent="0.2">
      <c r="F55" s="119"/>
      <c r="G55" s="119"/>
      <c r="H55" s="118"/>
    </row>
    <row r="56" spans="2:14" x14ac:dyDescent="0.2">
      <c r="F56" s="120"/>
      <c r="G56" s="120"/>
      <c r="H56" s="118"/>
    </row>
    <row r="57" spans="2:14" x14ac:dyDescent="0.2">
      <c r="F57" s="120"/>
      <c r="G57" s="120"/>
      <c r="H57" s="118"/>
    </row>
    <row r="58" spans="2:14" x14ac:dyDescent="0.2">
      <c r="F58" s="120"/>
      <c r="G58" s="120"/>
      <c r="H58" s="118"/>
    </row>
    <row r="59" spans="2:14" x14ac:dyDescent="0.2">
      <c r="F59" s="120"/>
      <c r="G59" s="120"/>
      <c r="H59" s="118"/>
    </row>
    <row r="60" spans="2:14" x14ac:dyDescent="0.2">
      <c r="F60" s="120"/>
      <c r="G60" s="120"/>
      <c r="H60" s="120"/>
    </row>
    <row r="61" spans="2:14" x14ac:dyDescent="0.2">
      <c r="F61" s="120"/>
      <c r="G61" s="120"/>
      <c r="H61" s="120"/>
    </row>
    <row r="62" spans="2:14" x14ac:dyDescent="0.2">
      <c r="F62" s="120"/>
      <c r="G62" s="120"/>
      <c r="H62" s="120"/>
    </row>
    <row r="63" spans="2:14" x14ac:dyDescent="0.2">
      <c r="F63" s="121"/>
      <c r="G63" s="121"/>
      <c r="H63" s="121"/>
    </row>
    <row r="64" spans="2:14" x14ac:dyDescent="0.2">
      <c r="F64" s="120"/>
      <c r="G64" s="120"/>
      <c r="H64" s="120"/>
    </row>
  </sheetData>
  <mergeCells count="1">
    <mergeCell ref="C7:E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9748-6ACB-437B-A569-A4236C506F6A}">
  <dimension ref="B1:E43"/>
  <sheetViews>
    <sheetView showGridLines="0" zoomScale="85" zoomScaleNormal="85" workbookViewId="0">
      <selection activeCell="D45" sqref="D45"/>
    </sheetView>
  </sheetViews>
  <sheetFormatPr defaultColWidth="9.140625" defaultRowHeight="33" customHeight="1" x14ac:dyDescent="0.25"/>
  <cols>
    <col min="1" max="1" width="9.140625" style="132"/>
    <col min="2" max="2" width="41.42578125" style="130" customWidth="1"/>
    <col min="3" max="3" width="32.28515625" style="130" customWidth="1"/>
    <col min="4" max="4" width="47.85546875" style="130" customWidth="1"/>
    <col min="5" max="5" width="88.28515625" style="131" customWidth="1"/>
    <col min="6" max="16384" width="9.140625" style="132"/>
  </cols>
  <sheetData>
    <row r="1" spans="2:5" ht="33" customHeight="1" thickBot="1" x14ac:dyDescent="0.3"/>
    <row r="2" spans="2:5" ht="33" customHeight="1" x14ac:dyDescent="0.25">
      <c r="B2" s="133" t="s">
        <v>102</v>
      </c>
      <c r="C2" s="134" t="s">
        <v>103</v>
      </c>
      <c r="D2" s="134" t="s">
        <v>104</v>
      </c>
      <c r="E2" s="135" t="s">
        <v>105</v>
      </c>
    </row>
    <row r="3" spans="2:5" ht="33" customHeight="1" x14ac:dyDescent="0.25">
      <c r="B3" s="143" t="s">
        <v>106</v>
      </c>
      <c r="C3" s="136" t="s">
        <v>8</v>
      </c>
      <c r="D3" s="136" t="s">
        <v>107</v>
      </c>
      <c r="E3" s="137" t="s">
        <v>108</v>
      </c>
    </row>
    <row r="4" spans="2:5" ht="33" customHeight="1" x14ac:dyDescent="0.25">
      <c r="B4" s="143"/>
      <c r="C4" s="136" t="s">
        <v>10</v>
      </c>
      <c r="D4" s="136" t="s">
        <v>107</v>
      </c>
      <c r="E4" s="137" t="s">
        <v>109</v>
      </c>
    </row>
    <row r="5" spans="2:5" ht="33" customHeight="1" x14ac:dyDescent="0.25">
      <c r="B5" s="143"/>
      <c r="C5" s="136" t="s">
        <v>13</v>
      </c>
      <c r="D5" s="136" t="s">
        <v>110</v>
      </c>
      <c r="E5" s="137" t="s">
        <v>111</v>
      </c>
    </row>
    <row r="6" spans="2:5" ht="33" customHeight="1" x14ac:dyDescent="0.25">
      <c r="B6" s="143"/>
      <c r="C6" s="136" t="s">
        <v>15</v>
      </c>
      <c r="D6" s="136" t="s">
        <v>110</v>
      </c>
      <c r="E6" s="137" t="s">
        <v>112</v>
      </c>
    </row>
    <row r="7" spans="2:5" ht="33" customHeight="1" x14ac:dyDescent="0.25">
      <c r="B7" s="143"/>
      <c r="C7" s="136" t="s">
        <v>17</v>
      </c>
      <c r="D7" s="136" t="s">
        <v>113</v>
      </c>
      <c r="E7" s="137" t="s">
        <v>114</v>
      </c>
    </row>
    <row r="8" spans="2:5" ht="33" customHeight="1" x14ac:dyDescent="0.25">
      <c r="B8" s="143"/>
      <c r="C8" s="136" t="s">
        <v>19</v>
      </c>
      <c r="D8" s="136" t="s">
        <v>113</v>
      </c>
      <c r="E8" s="137" t="s">
        <v>115</v>
      </c>
    </row>
    <row r="9" spans="2:5" ht="33" customHeight="1" x14ac:dyDescent="0.25">
      <c r="B9" s="146" t="s">
        <v>116</v>
      </c>
      <c r="C9" s="136" t="s">
        <v>26</v>
      </c>
      <c r="D9" s="136" t="s">
        <v>117</v>
      </c>
      <c r="E9" s="137" t="s">
        <v>118</v>
      </c>
    </row>
    <row r="10" spans="2:5" ht="33" customHeight="1" x14ac:dyDescent="0.25">
      <c r="B10" s="146"/>
      <c r="C10" s="136" t="s">
        <v>27</v>
      </c>
      <c r="D10" s="136" t="s">
        <v>119</v>
      </c>
      <c r="E10" s="137" t="s">
        <v>120</v>
      </c>
    </row>
    <row r="11" spans="2:5" ht="33" customHeight="1" x14ac:dyDescent="0.25">
      <c r="B11" s="146"/>
      <c r="C11" s="136" t="s">
        <v>28</v>
      </c>
      <c r="D11" s="136" t="s">
        <v>121</v>
      </c>
      <c r="E11" s="137" t="s">
        <v>122</v>
      </c>
    </row>
    <row r="12" spans="2:5" ht="33" customHeight="1" x14ac:dyDescent="0.25">
      <c r="B12" s="146"/>
      <c r="C12" s="136" t="s">
        <v>29</v>
      </c>
      <c r="D12" s="136" t="s">
        <v>123</v>
      </c>
      <c r="E12" s="137" t="s">
        <v>124</v>
      </c>
    </row>
    <row r="13" spans="2:5" ht="33" customHeight="1" x14ac:dyDescent="0.25">
      <c r="B13" s="146"/>
      <c r="C13" s="136" t="s">
        <v>125</v>
      </c>
      <c r="D13" s="136" t="s">
        <v>126</v>
      </c>
      <c r="E13" s="137" t="s">
        <v>127</v>
      </c>
    </row>
    <row r="14" spans="2:5" ht="33" customHeight="1" x14ac:dyDescent="0.25">
      <c r="B14" s="146"/>
      <c r="C14" s="136" t="s">
        <v>22</v>
      </c>
      <c r="D14" s="136" t="s">
        <v>126</v>
      </c>
      <c r="E14" s="137" t="s">
        <v>128</v>
      </c>
    </row>
    <row r="15" spans="2:5" ht="33" customHeight="1" x14ac:dyDescent="0.25">
      <c r="B15" s="146"/>
      <c r="C15" s="136" t="s">
        <v>23</v>
      </c>
      <c r="D15" s="136" t="s">
        <v>126</v>
      </c>
      <c r="E15" s="137" t="s">
        <v>129</v>
      </c>
    </row>
    <row r="16" spans="2:5" s="139" customFormat="1" ht="33" customHeight="1" x14ac:dyDescent="0.3">
      <c r="B16" s="146"/>
      <c r="C16" s="136" t="s">
        <v>24</v>
      </c>
      <c r="D16" s="136" t="s">
        <v>126</v>
      </c>
      <c r="E16" s="137" t="s">
        <v>130</v>
      </c>
    </row>
    <row r="17" spans="2:5" ht="33" customHeight="1" x14ac:dyDescent="0.25">
      <c r="B17" s="146"/>
      <c r="C17" s="136" t="s">
        <v>25</v>
      </c>
      <c r="D17" s="136" t="s">
        <v>131</v>
      </c>
      <c r="E17" s="138" t="s">
        <v>132</v>
      </c>
    </row>
    <row r="18" spans="2:5" ht="33" customHeight="1" x14ac:dyDescent="0.25">
      <c r="B18" s="143" t="s">
        <v>133</v>
      </c>
      <c r="C18" s="136" t="s">
        <v>30</v>
      </c>
      <c r="D18" s="136" t="s">
        <v>134</v>
      </c>
      <c r="E18" s="137" t="s">
        <v>135</v>
      </c>
    </row>
    <row r="19" spans="2:5" ht="33" customHeight="1" x14ac:dyDescent="0.25">
      <c r="B19" s="143"/>
      <c r="C19" s="136" t="s">
        <v>31</v>
      </c>
      <c r="D19" s="136" t="s">
        <v>136</v>
      </c>
      <c r="E19" s="137" t="s">
        <v>137</v>
      </c>
    </row>
    <row r="20" spans="2:5" ht="33" customHeight="1" x14ac:dyDescent="0.25">
      <c r="B20" s="143"/>
      <c r="C20" s="136" t="s">
        <v>32</v>
      </c>
      <c r="D20" s="136" t="s">
        <v>121</v>
      </c>
      <c r="E20" s="137" t="s">
        <v>138</v>
      </c>
    </row>
    <row r="21" spans="2:5" ht="33" customHeight="1" x14ac:dyDescent="0.25">
      <c r="B21" s="143"/>
      <c r="C21" s="136" t="s">
        <v>34</v>
      </c>
      <c r="D21" s="136" t="s">
        <v>139</v>
      </c>
      <c r="E21" s="137" t="s">
        <v>140</v>
      </c>
    </row>
    <row r="22" spans="2:5" ht="33" customHeight="1" x14ac:dyDescent="0.25">
      <c r="B22" s="143"/>
      <c r="C22" s="136" t="s">
        <v>35</v>
      </c>
      <c r="D22" s="136" t="s">
        <v>141</v>
      </c>
      <c r="E22" s="137" t="s">
        <v>142</v>
      </c>
    </row>
    <row r="23" spans="2:5" ht="33" customHeight="1" x14ac:dyDescent="0.25">
      <c r="B23" s="143"/>
      <c r="C23" s="136" t="s">
        <v>36</v>
      </c>
      <c r="D23" s="136" t="s">
        <v>143</v>
      </c>
      <c r="E23" s="137" t="s">
        <v>144</v>
      </c>
    </row>
    <row r="24" spans="2:5" ht="33" customHeight="1" x14ac:dyDescent="0.25">
      <c r="B24" s="143"/>
      <c r="C24" s="136" t="s">
        <v>33</v>
      </c>
      <c r="D24" s="136" t="s">
        <v>145</v>
      </c>
      <c r="E24" s="137" t="s">
        <v>146</v>
      </c>
    </row>
    <row r="25" spans="2:5" ht="33" customHeight="1" x14ac:dyDescent="0.25">
      <c r="B25" s="143" t="s">
        <v>147</v>
      </c>
      <c r="C25" s="136" t="s">
        <v>62</v>
      </c>
      <c r="D25" s="136" t="s">
        <v>148</v>
      </c>
      <c r="E25" s="137" t="s">
        <v>149</v>
      </c>
    </row>
    <row r="26" spans="2:5" ht="33" customHeight="1" x14ac:dyDescent="0.25">
      <c r="B26" s="143"/>
      <c r="C26" s="136" t="s">
        <v>64</v>
      </c>
      <c r="D26" s="136" t="s">
        <v>150</v>
      </c>
      <c r="E26" s="137" t="s">
        <v>151</v>
      </c>
    </row>
    <row r="27" spans="2:5" ht="33" customHeight="1" x14ac:dyDescent="0.25">
      <c r="B27" s="143"/>
      <c r="C27" s="136" t="s">
        <v>65</v>
      </c>
      <c r="D27" s="136" t="s">
        <v>150</v>
      </c>
      <c r="E27" s="137" t="s">
        <v>152</v>
      </c>
    </row>
    <row r="28" spans="2:5" ht="33" customHeight="1" x14ac:dyDescent="0.25">
      <c r="B28" s="143"/>
      <c r="C28" s="136" t="s">
        <v>66</v>
      </c>
      <c r="D28" s="136" t="s">
        <v>150</v>
      </c>
      <c r="E28" s="137" t="s">
        <v>153</v>
      </c>
    </row>
    <row r="29" spans="2:5" ht="33" customHeight="1" x14ac:dyDescent="0.25">
      <c r="B29" s="143"/>
      <c r="C29" s="136" t="s">
        <v>63</v>
      </c>
      <c r="D29" s="136" t="s">
        <v>150</v>
      </c>
      <c r="E29" s="137" t="s">
        <v>154</v>
      </c>
    </row>
    <row r="30" spans="2:5" ht="33" customHeight="1" x14ac:dyDescent="0.25">
      <c r="B30" s="143"/>
      <c r="C30" s="136" t="s">
        <v>155</v>
      </c>
      <c r="D30" s="136"/>
      <c r="E30" s="137" t="s">
        <v>156</v>
      </c>
    </row>
    <row r="31" spans="2:5" ht="33" customHeight="1" x14ac:dyDescent="0.25">
      <c r="B31" s="143"/>
      <c r="C31" s="136" t="s">
        <v>157</v>
      </c>
      <c r="D31" s="136"/>
      <c r="E31" s="137" t="s">
        <v>158</v>
      </c>
    </row>
    <row r="32" spans="2:5" ht="33" customHeight="1" x14ac:dyDescent="0.25">
      <c r="B32" s="143"/>
      <c r="C32" s="136" t="s">
        <v>159</v>
      </c>
      <c r="D32" s="136"/>
      <c r="E32" s="137" t="s">
        <v>160</v>
      </c>
    </row>
    <row r="33" spans="2:5" ht="33" customHeight="1" x14ac:dyDescent="0.25">
      <c r="B33" s="143"/>
      <c r="C33" s="144" t="s">
        <v>161</v>
      </c>
      <c r="D33" s="144"/>
      <c r="E33" s="145" t="s">
        <v>162</v>
      </c>
    </row>
    <row r="34" spans="2:5" ht="33" customHeight="1" x14ac:dyDescent="0.25">
      <c r="B34" s="143"/>
      <c r="C34" s="144"/>
      <c r="D34" s="144"/>
      <c r="E34" s="145"/>
    </row>
    <row r="35" spans="2:5" ht="33" customHeight="1" x14ac:dyDescent="0.25">
      <c r="B35" s="143" t="s">
        <v>163</v>
      </c>
      <c r="C35" s="144" t="s">
        <v>67</v>
      </c>
      <c r="D35" s="144" t="s">
        <v>121</v>
      </c>
      <c r="E35" s="145" t="s">
        <v>164</v>
      </c>
    </row>
    <row r="36" spans="2:5" ht="33" customHeight="1" x14ac:dyDescent="0.25">
      <c r="B36" s="143"/>
      <c r="C36" s="144"/>
      <c r="D36" s="144"/>
      <c r="E36" s="145"/>
    </row>
    <row r="37" spans="2:5" ht="33" customHeight="1" x14ac:dyDescent="0.25">
      <c r="B37" s="143" t="s">
        <v>165</v>
      </c>
      <c r="C37" s="144" t="s">
        <v>68</v>
      </c>
      <c r="D37" s="144" t="s">
        <v>166</v>
      </c>
      <c r="E37" s="145" t="s">
        <v>167</v>
      </c>
    </row>
    <row r="38" spans="2:5" ht="33" customHeight="1" x14ac:dyDescent="0.25">
      <c r="B38" s="143"/>
      <c r="C38" s="144"/>
      <c r="D38" s="144"/>
      <c r="E38" s="145"/>
    </row>
    <row r="39" spans="2:5" ht="33" customHeight="1" x14ac:dyDescent="0.25">
      <c r="E39" s="140"/>
    </row>
    <row r="43" spans="2:5" ht="33" customHeight="1" x14ac:dyDescent="0.25">
      <c r="B43" s="141"/>
    </row>
  </sheetData>
  <mergeCells count="15">
    <mergeCell ref="B3:B8"/>
    <mergeCell ref="C33:C34"/>
    <mergeCell ref="B9:B17"/>
    <mergeCell ref="B18:B24"/>
    <mergeCell ref="B25:B34"/>
    <mergeCell ref="B35:B36"/>
    <mergeCell ref="C35:C36"/>
    <mergeCell ref="B37:B38"/>
    <mergeCell ref="C37:C38"/>
    <mergeCell ref="E33:E34"/>
    <mergeCell ref="D33:D34"/>
    <mergeCell ref="D35:D36"/>
    <mergeCell ref="E35:E36"/>
    <mergeCell ref="D37:D38"/>
    <mergeCell ref="E37:E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Schedule 1</vt:lpstr>
      <vt:lpstr>Schedule 2</vt:lpstr>
      <vt:lpstr>Schedule 3</vt:lpstr>
      <vt:lpstr>Schedule 4</vt:lpstr>
      <vt:lpstr>'Schedule 1'!_ftnref1</vt:lpstr>
      <vt:lpstr>'Schedule 2'!_ftnref1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Cruz de Jesús</dc:creator>
  <cp:lastModifiedBy>Maribel Cruz de Jesús</cp:lastModifiedBy>
  <cp:lastPrinted>2025-11-26T13:44:00Z</cp:lastPrinted>
  <dcterms:created xsi:type="dcterms:W3CDTF">1900-01-01T04:00:00Z</dcterms:created>
  <dcterms:modified xsi:type="dcterms:W3CDTF">2025-11-26T13:44:51Z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a1bc8a-c77f-42fc-94c5-4575f811706d_Enabled">
    <vt:lpwstr>true</vt:lpwstr>
  </property>
  <property fmtid="{D5CDD505-2E9C-101B-9397-08002B2CF9AE}" pid="3" name="MSIP_Label_e3a1bc8a-c77f-42fc-94c5-4575f811706d_SetDate">
    <vt:lpwstr>2025-11-25T15:47:22Z</vt:lpwstr>
  </property>
  <property fmtid="{D5CDD505-2E9C-101B-9397-08002B2CF9AE}" pid="4" name="MSIP_Label_e3a1bc8a-c77f-42fc-94c5-4575f811706d_Method">
    <vt:lpwstr>Standard</vt:lpwstr>
  </property>
  <property fmtid="{D5CDD505-2E9C-101B-9397-08002B2CF9AE}" pid="5" name="MSIP_Label_e3a1bc8a-c77f-42fc-94c5-4575f811706d_Name">
    <vt:lpwstr>e3a1bc8a-c77f-42fc-94c5-4575f811706d</vt:lpwstr>
  </property>
  <property fmtid="{D5CDD505-2E9C-101B-9397-08002B2CF9AE}" pid="6" name="MSIP_Label_e3a1bc8a-c77f-42fc-94c5-4575f811706d_SiteId">
    <vt:lpwstr>fb7083da-754c-45a4-8b6b-a05941a3a3e9</vt:lpwstr>
  </property>
  <property fmtid="{D5CDD505-2E9C-101B-9397-08002B2CF9AE}" pid="7" name="MSIP_Label_e3a1bc8a-c77f-42fc-94c5-4575f811706d_ActionId">
    <vt:lpwstr>9ca0305b-fc1d-46a8-9562-cdc4c82d4e39</vt:lpwstr>
  </property>
  <property fmtid="{D5CDD505-2E9C-101B-9397-08002B2CF9AE}" pid="8" name="MSIP_Label_e3a1bc8a-c77f-42fc-94c5-4575f811706d_ContentBits">
    <vt:lpwstr>0</vt:lpwstr>
  </property>
  <property fmtid="{D5CDD505-2E9C-101B-9397-08002B2CF9AE}" pid="9" name="MSIP_Label_e3a1bc8a-c77f-42fc-94c5-4575f811706d_Tag">
    <vt:lpwstr>10, 3, 0, 1</vt:lpwstr>
  </property>
</Properties>
</file>